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SUPERINTENDENCIA DE OBRAS  2018\PROJETOS 2018\CRIDAC ANTIGO\Planilhas\"/>
    </mc:Choice>
  </mc:AlternateContent>
  <bookViews>
    <workbookView xWindow="0" yWindow="0" windowWidth="14355" windowHeight="3210" tabRatio="691" firstSheet="9" activeTab="12"/>
  </bookViews>
  <sheets>
    <sheet name="Arquitetura" sheetId="32" state="hidden" r:id="rId1"/>
    <sheet name="Estrutural" sheetId="34" state="hidden" r:id="rId2"/>
    <sheet name="Metálica" sheetId="33" state="hidden" r:id="rId3"/>
    <sheet name="Sanitário" sheetId="36" state="hidden" r:id="rId4"/>
    <sheet name="Hidraulico" sheetId="35" state="hidden" r:id="rId5"/>
    <sheet name="Incendio" sheetId="37" state="hidden" r:id="rId6"/>
    <sheet name="Drenagem" sheetId="38" state="hidden" r:id="rId7"/>
    <sheet name="Elétrica" sheetId="39" state="hidden" r:id="rId8"/>
    <sheet name="LÓGICA" sheetId="40" state="hidden" r:id="rId9"/>
    <sheet name="Planilha Orçamentária " sheetId="5" r:id="rId10"/>
    <sheet name="RESUMO" sheetId="4" r:id="rId11"/>
    <sheet name="CRONOGRAMA" sheetId="3" r:id="rId12"/>
    <sheet name="MAPA DE COTAÇÃO" sheetId="13" r:id="rId13"/>
    <sheet name="ENCARGOS SOCIAIS" sheetId="2" r:id="rId14"/>
    <sheet name="BDI - Aliquota ISSQN - 5,0%" sheetId="6" r:id="rId15"/>
    <sheet name="Composições" sheetId="7" r:id="rId16"/>
    <sheet name="Referencia composição" sheetId="9" r:id="rId17"/>
    <sheet name="Plan1" sheetId="31" r:id="rId18"/>
  </sheets>
  <externalReferences>
    <externalReference r:id="rId19"/>
    <externalReference r:id="rId20"/>
  </externalReferences>
  <definedNames>
    <definedName name="_xlnm._FilterDatabase" localSheetId="0" hidden="1">Arquitetura!$I$1:$I$1680</definedName>
    <definedName name="_xlnm._FilterDatabase" localSheetId="15" hidden="1">Composições!$D$1:$D$770</definedName>
    <definedName name="_xlnm._FilterDatabase" localSheetId="9" hidden="1">'Planilha Orçamentária '!$C$1:$C$398</definedName>
    <definedName name="_xlnm.Print_Area" localSheetId="0">Arquitetura!$A$1:$K$1676</definedName>
    <definedName name="_xlnm.Print_Area" localSheetId="14">'BDI - Aliquota ISSQN - 5,0%'!$A$1:$C$34</definedName>
    <definedName name="_xlnm.Print_Area" localSheetId="15">Composições!$A$1:$I$770</definedName>
    <definedName name="_xlnm.Print_Area" localSheetId="11">CRONOGRAMA!$A$1:$X$34</definedName>
    <definedName name="_xlnm.Print_Area" localSheetId="6">Drenagem!$A$1:$XEL$41</definedName>
    <definedName name="_xlnm.Print_Area" localSheetId="13">'ENCARGOS SOCIAIS'!$A$1:$D$38</definedName>
    <definedName name="_xlnm.Print_Area" localSheetId="1">Estrutural!$A$1:$C$40</definedName>
    <definedName name="_xlnm.Print_Area" localSheetId="5">Incendio!$A$1:$AV$54</definedName>
    <definedName name="_xlnm.Print_Area" localSheetId="12">'MAPA DE COTAÇÃO'!$A$1:$J$154</definedName>
    <definedName name="_xlnm.Print_Area" localSheetId="9">'Planilha Orçamentária '!$A$1:$I$398</definedName>
    <definedName name="_xlnm.Print_Area" localSheetId="10">RESUMO!$A$1:$D$35</definedName>
    <definedName name="BDI">'[1]estimativa de custo IRMA DULCE'!$I$7</definedName>
    <definedName name="COMPOSICAO133" localSheetId="14">[1]ELÉTRICA!#REF!</definedName>
    <definedName name="COMPOSICAO133" localSheetId="11">[1]ELÉTRICA!#REF!</definedName>
    <definedName name="COMPOSICAO133" localSheetId="6">[1]ELÉTRICA!#REF!</definedName>
    <definedName name="COMPOSICAO133" localSheetId="13">[1]ELÉTRICA!#REF!</definedName>
    <definedName name="COMPOSICAO133" localSheetId="4">[1]ELÉTRICA!#REF!</definedName>
    <definedName name="COMPOSICAO133" localSheetId="5">[1]ELÉTRICA!#REF!</definedName>
    <definedName name="COMPOSICAO133" localSheetId="12">[1]ELÉTRICA!#REF!</definedName>
    <definedName name="COMPOSICAO133" localSheetId="10">[1]ELÉTRICA!#REF!</definedName>
    <definedName name="COMPOSICAO133" localSheetId="3">[1]ELÉTRICA!#REF!</definedName>
    <definedName name="COMPOSICAO133">[1]ELÉTRICA!#REF!</definedName>
    <definedName name="COMPOSICAOC138" localSheetId="14">[1]INFRA!#REF!</definedName>
    <definedName name="COMPOSICAOC138" localSheetId="11">[1]INFRA!#REF!</definedName>
    <definedName name="COMPOSICAOC138" localSheetId="6">[1]INFRA!#REF!</definedName>
    <definedName name="COMPOSICAOC138" localSheetId="13">[1]INFRA!#REF!</definedName>
    <definedName name="COMPOSICAOC138" localSheetId="4">[1]INFRA!#REF!</definedName>
    <definedName name="COMPOSICAOC138" localSheetId="5">[1]INFRA!#REF!</definedName>
    <definedName name="COMPOSICAOC138" localSheetId="12">[1]INFRA!#REF!</definedName>
    <definedName name="COMPOSICAOC138" localSheetId="10">[1]INFRA!#REF!</definedName>
    <definedName name="COMPOSICAOC138" localSheetId="3">[1]INFRA!#REF!</definedName>
    <definedName name="COMPOSICAOC138">[1]INFRA!#REF!</definedName>
    <definedName name="COMPOSICAOE131" localSheetId="14">[1]ELÉTRICA!#REF!</definedName>
    <definedName name="COMPOSICAOE131" localSheetId="11">[1]ELÉTRICA!#REF!</definedName>
    <definedName name="COMPOSICAOE131" localSheetId="6">[1]ELÉTRICA!#REF!</definedName>
    <definedName name="COMPOSICAOE131" localSheetId="13">[1]ELÉTRICA!#REF!</definedName>
    <definedName name="COMPOSICAOE131" localSheetId="4">[1]ELÉTRICA!#REF!</definedName>
    <definedName name="COMPOSICAOE131" localSheetId="5">[1]ELÉTRICA!#REF!</definedName>
    <definedName name="COMPOSICAOE131" localSheetId="12">[1]ELÉTRICA!#REF!</definedName>
    <definedName name="COMPOSICAOE131" localSheetId="10">[1]ELÉTRICA!#REF!</definedName>
    <definedName name="COMPOSICAOE131" localSheetId="3">[1]ELÉTRICA!#REF!</definedName>
    <definedName name="COMPOSICAOE131">[1]ELÉTRICA!#REF!</definedName>
    <definedName name="COMPOSICAOE132" localSheetId="14">[1]ELÉTRICA!#REF!</definedName>
    <definedName name="COMPOSICAOE132" localSheetId="11">[1]ELÉTRICA!#REF!</definedName>
    <definedName name="COMPOSICAOE132" localSheetId="6">[1]ELÉTRICA!#REF!</definedName>
    <definedName name="COMPOSICAOE132" localSheetId="13">[1]ELÉTRICA!#REF!</definedName>
    <definedName name="COMPOSICAOE132" localSheetId="4">[1]ELÉTRICA!#REF!</definedName>
    <definedName name="COMPOSICAOE132" localSheetId="5">[1]ELÉTRICA!#REF!</definedName>
    <definedName name="COMPOSICAOE132" localSheetId="12">[1]ELÉTRICA!#REF!</definedName>
    <definedName name="COMPOSICAOE132" localSheetId="10">[1]ELÉTRICA!#REF!</definedName>
    <definedName name="COMPOSICAOE132" localSheetId="3">[1]ELÉTRICA!#REF!</definedName>
    <definedName name="COMPOSICAOE132">[1]ELÉTRICA!#REF!</definedName>
    <definedName name="COMPOSICAOE133" localSheetId="14">[1]ELÉTRICA!#REF!</definedName>
    <definedName name="COMPOSICAOE133" localSheetId="11">[1]ELÉTRICA!#REF!</definedName>
    <definedName name="COMPOSICAOE133" localSheetId="13">[1]ELÉTRICA!#REF!</definedName>
    <definedName name="COMPOSICAOE133" localSheetId="5">[1]ELÉTRICA!#REF!</definedName>
    <definedName name="COMPOSICAOE133" localSheetId="12">[1]ELÉTRICA!#REF!</definedName>
    <definedName name="COMPOSICAOE133" localSheetId="10">[1]ELÉTRICA!#REF!</definedName>
    <definedName name="COMPOSICAOE133">[1]ELÉTRICA!#REF!</definedName>
    <definedName name="COMPOSICAOE134" localSheetId="14">[1]ELÉTRICA!#REF!</definedName>
    <definedName name="COMPOSICAOE134" localSheetId="11">[1]ELÉTRICA!#REF!</definedName>
    <definedName name="COMPOSICAOE134" localSheetId="13">[1]ELÉTRICA!#REF!</definedName>
    <definedName name="COMPOSICAOE134" localSheetId="5">[1]ELÉTRICA!#REF!</definedName>
    <definedName name="COMPOSICAOE134" localSheetId="12">[1]ELÉTRICA!#REF!</definedName>
    <definedName name="COMPOSICAOE134" localSheetId="10">[1]ELÉTRICA!#REF!</definedName>
    <definedName name="COMPOSICAOE134">[1]ELÉTRICA!#REF!</definedName>
    <definedName name="COMPOSICAOE136">[1]ELÉTRICA!$F$25</definedName>
    <definedName name="COMPOSICAOE137" localSheetId="14">[1]ELÉTRICA!#REF!</definedName>
    <definedName name="COMPOSICAOE137" localSheetId="11">[1]ELÉTRICA!#REF!</definedName>
    <definedName name="COMPOSICAOE137" localSheetId="6">[1]ELÉTRICA!#REF!</definedName>
    <definedName name="COMPOSICAOE137" localSheetId="13">[1]ELÉTRICA!#REF!</definedName>
    <definedName name="COMPOSICAOE137" localSheetId="4">[1]ELÉTRICA!#REF!</definedName>
    <definedName name="COMPOSICAOE137" localSheetId="5">[1]ELÉTRICA!#REF!</definedName>
    <definedName name="COMPOSICAOE137" localSheetId="12">[1]ELÉTRICA!#REF!</definedName>
    <definedName name="COMPOSICAOE137" localSheetId="10">[1]ELÉTRICA!#REF!</definedName>
    <definedName name="COMPOSICAOE137" localSheetId="3">[1]ELÉTRICA!#REF!</definedName>
    <definedName name="COMPOSICAOE137">[1]ELÉTRICA!#REF!</definedName>
    <definedName name="COMPOSICAOE139" localSheetId="14">[1]ELÉTRICA!#REF!</definedName>
    <definedName name="COMPOSICAOE139" localSheetId="11">[1]ELÉTRICA!#REF!</definedName>
    <definedName name="COMPOSICAOE139" localSheetId="6">[1]ELÉTRICA!#REF!</definedName>
    <definedName name="COMPOSICAOE139" localSheetId="13">[1]ELÉTRICA!#REF!</definedName>
    <definedName name="COMPOSICAOE139" localSheetId="4">[1]ELÉTRICA!#REF!</definedName>
    <definedName name="COMPOSICAOE139" localSheetId="5">[1]ELÉTRICA!#REF!</definedName>
    <definedName name="COMPOSICAOE139" localSheetId="12">[1]ELÉTRICA!#REF!</definedName>
    <definedName name="COMPOSICAOE139" localSheetId="10">[1]ELÉTRICA!#REF!</definedName>
    <definedName name="COMPOSICAOE139" localSheetId="3">[1]ELÉTRICA!#REF!</definedName>
    <definedName name="COMPOSICAOE139">[1]ELÉTRICA!#REF!</definedName>
    <definedName name="COMPOSICAOE140" localSheetId="14">[1]ELÉTRICA!#REF!</definedName>
    <definedName name="COMPOSICAOE140" localSheetId="11">[1]ELÉTRICA!#REF!</definedName>
    <definedName name="COMPOSICAOE140" localSheetId="6">[1]ELÉTRICA!#REF!</definedName>
    <definedName name="COMPOSICAOE140" localSheetId="13">[1]ELÉTRICA!#REF!</definedName>
    <definedName name="COMPOSICAOE140" localSheetId="4">[1]ELÉTRICA!#REF!</definedName>
    <definedName name="COMPOSICAOE140" localSheetId="5">[1]ELÉTRICA!#REF!</definedName>
    <definedName name="COMPOSICAOE140" localSheetId="12">[1]ELÉTRICA!#REF!</definedName>
    <definedName name="COMPOSICAOE140" localSheetId="10">[1]ELÉTRICA!#REF!</definedName>
    <definedName name="COMPOSICAOE140" localSheetId="3">[1]ELÉTRICA!#REF!</definedName>
    <definedName name="COMPOSICAOE140">[1]ELÉTRICA!#REF!</definedName>
    <definedName name="COMPOSICAOE141" localSheetId="14">[1]ELÉTRICA!#REF!</definedName>
    <definedName name="COMPOSICAOE141" localSheetId="11">[1]ELÉTRICA!#REF!</definedName>
    <definedName name="COMPOSICAOE141" localSheetId="6">[1]ELÉTRICA!#REF!</definedName>
    <definedName name="COMPOSICAOE141" localSheetId="13">[1]ELÉTRICA!#REF!</definedName>
    <definedName name="COMPOSICAOE141" localSheetId="4">[1]ELÉTRICA!#REF!</definedName>
    <definedName name="COMPOSICAOE141" localSheetId="5">[1]ELÉTRICA!#REF!</definedName>
    <definedName name="COMPOSICAOE141" localSheetId="12">[1]ELÉTRICA!#REF!</definedName>
    <definedName name="COMPOSICAOE141" localSheetId="10">[1]ELÉTRICA!#REF!</definedName>
    <definedName name="COMPOSICAOE141" localSheetId="3">[1]ELÉTRICA!#REF!</definedName>
    <definedName name="COMPOSICAOE141">[1]ELÉTRICA!#REF!</definedName>
    <definedName name="COMPOSICAOE142" localSheetId="14">[1]ELÉTRICA!#REF!</definedName>
    <definedName name="COMPOSICAOE142" localSheetId="11">[1]ELÉTRICA!#REF!</definedName>
    <definedName name="COMPOSICAOE142" localSheetId="13">[1]ELÉTRICA!#REF!</definedName>
    <definedName name="COMPOSICAOE142" localSheetId="5">[1]ELÉTRICA!#REF!</definedName>
    <definedName name="COMPOSICAOE142" localSheetId="12">[1]ELÉTRICA!#REF!</definedName>
    <definedName name="COMPOSICAOE142" localSheetId="10">[1]ELÉTRICA!#REF!</definedName>
    <definedName name="COMPOSICAOE142">[1]ELÉTRICA!#REF!</definedName>
    <definedName name="COMPOSICAOE143" localSheetId="14">[1]ELÉTRICA!#REF!</definedName>
    <definedName name="COMPOSICAOE143" localSheetId="11">[1]ELÉTRICA!#REF!</definedName>
    <definedName name="COMPOSICAOE143" localSheetId="13">[1]ELÉTRICA!#REF!</definedName>
    <definedName name="COMPOSICAOE143" localSheetId="5">[1]ELÉTRICA!#REF!</definedName>
    <definedName name="COMPOSICAOE143" localSheetId="12">[1]ELÉTRICA!#REF!</definedName>
    <definedName name="COMPOSICAOE143" localSheetId="10">[1]ELÉTRICA!#REF!</definedName>
    <definedName name="COMPOSICAOE143">[1]ELÉTRICA!#REF!</definedName>
    <definedName name="COMPOSICAOE144" localSheetId="14">[1]ELÉTRICA!#REF!</definedName>
    <definedName name="COMPOSICAOE144" localSheetId="11">[1]ELÉTRICA!#REF!</definedName>
    <definedName name="COMPOSICAOE144" localSheetId="13">[1]ELÉTRICA!#REF!</definedName>
    <definedName name="COMPOSICAOE144" localSheetId="5">[1]ELÉTRICA!#REF!</definedName>
    <definedName name="COMPOSICAOE144" localSheetId="12">[1]ELÉTRICA!#REF!</definedName>
    <definedName name="COMPOSICAOE144" localSheetId="10">[1]ELÉTRICA!#REF!</definedName>
    <definedName name="COMPOSICAOE144">[1]ELÉTRICA!#REF!</definedName>
    <definedName name="COMPOSICAOE145" localSheetId="14">[1]ELÉTRICA!#REF!</definedName>
    <definedName name="COMPOSICAOE145" localSheetId="11">[1]ELÉTRICA!#REF!</definedName>
    <definedName name="COMPOSICAOE145" localSheetId="13">[1]ELÉTRICA!#REF!</definedName>
    <definedName name="COMPOSICAOE145" localSheetId="5">[1]ELÉTRICA!#REF!</definedName>
    <definedName name="COMPOSICAOE145" localSheetId="12">[1]ELÉTRICA!#REF!</definedName>
    <definedName name="COMPOSICAOE145" localSheetId="10">[1]ELÉTRICA!#REF!</definedName>
    <definedName name="COMPOSICAOE145">[1]ELÉTRICA!#REF!</definedName>
    <definedName name="COMPOSICAOE146" localSheetId="14">[1]ELÉTRICA!#REF!</definedName>
    <definedName name="COMPOSICAOE146" localSheetId="11">[1]ELÉTRICA!#REF!</definedName>
    <definedName name="COMPOSICAOE146" localSheetId="13">[1]ELÉTRICA!#REF!</definedName>
    <definedName name="COMPOSICAOE146" localSheetId="5">[1]ELÉTRICA!#REF!</definedName>
    <definedName name="COMPOSICAOE146" localSheetId="12">[1]ELÉTRICA!#REF!</definedName>
    <definedName name="COMPOSICAOE146" localSheetId="10">[1]ELÉTRICA!#REF!</definedName>
    <definedName name="COMPOSICAOE146">[1]ELÉTRICA!#REF!</definedName>
    <definedName name="COMPOSICAOE147" localSheetId="14">[1]ELÉTRICA!#REF!</definedName>
    <definedName name="COMPOSICAOE147" localSheetId="11">[1]ELÉTRICA!#REF!</definedName>
    <definedName name="COMPOSICAOE147" localSheetId="13">[1]ELÉTRICA!#REF!</definedName>
    <definedName name="COMPOSICAOE147" localSheetId="5">[1]ELÉTRICA!#REF!</definedName>
    <definedName name="COMPOSICAOE147" localSheetId="12">[1]ELÉTRICA!#REF!</definedName>
    <definedName name="COMPOSICAOE147" localSheetId="10">[1]ELÉTRICA!#REF!</definedName>
    <definedName name="COMPOSICAOE147">[1]ELÉTRICA!#REF!</definedName>
    <definedName name="COMPOSICAOE148" localSheetId="14">[1]ELÉTRICA!#REF!</definedName>
    <definedName name="COMPOSICAOE148" localSheetId="11">[1]ELÉTRICA!#REF!</definedName>
    <definedName name="COMPOSICAOE148" localSheetId="13">[1]ELÉTRICA!#REF!</definedName>
    <definedName name="COMPOSICAOE148" localSheetId="5">[1]ELÉTRICA!#REF!</definedName>
    <definedName name="COMPOSICAOE148" localSheetId="12">[1]ELÉTRICA!#REF!</definedName>
    <definedName name="COMPOSICAOE148" localSheetId="10">[1]ELÉTRICA!#REF!</definedName>
    <definedName name="COMPOSICAOE148">[1]ELÉTRICA!#REF!</definedName>
    <definedName name="COMPOSICAOE149" localSheetId="14">[1]ELÉTRICA!#REF!</definedName>
    <definedName name="COMPOSICAOE149" localSheetId="11">[1]ELÉTRICA!#REF!</definedName>
    <definedName name="COMPOSICAOE149" localSheetId="13">[1]ELÉTRICA!#REF!</definedName>
    <definedName name="COMPOSICAOE149" localSheetId="5">[1]ELÉTRICA!#REF!</definedName>
    <definedName name="COMPOSICAOE149" localSheetId="12">[1]ELÉTRICA!#REF!</definedName>
    <definedName name="COMPOSICAOE149" localSheetId="10">[1]ELÉTRICA!#REF!</definedName>
    <definedName name="COMPOSICAOE149">[1]ELÉTRICA!#REF!</definedName>
    <definedName name="COMPOSICAOE150" localSheetId="14">[1]ELÉTRICA!#REF!</definedName>
    <definedName name="COMPOSICAOE150" localSheetId="11">[1]ELÉTRICA!#REF!</definedName>
    <definedName name="COMPOSICAOE150" localSheetId="13">[1]ELÉTRICA!#REF!</definedName>
    <definedName name="COMPOSICAOE150" localSheetId="5">[1]ELÉTRICA!#REF!</definedName>
    <definedName name="COMPOSICAOE150" localSheetId="12">[1]ELÉTRICA!#REF!</definedName>
    <definedName name="COMPOSICAOE150" localSheetId="10">[1]ELÉTRICA!#REF!</definedName>
    <definedName name="COMPOSICAOE150">[1]ELÉTRICA!#REF!</definedName>
    <definedName name="COMPOSICAOE151" localSheetId="14">[1]ELÉTRICA!#REF!</definedName>
    <definedName name="COMPOSICAOE151" localSheetId="11">[1]ELÉTRICA!#REF!</definedName>
    <definedName name="COMPOSICAOE151" localSheetId="13">[1]ELÉTRICA!#REF!</definedName>
    <definedName name="COMPOSICAOE151" localSheetId="5">[1]ELÉTRICA!#REF!</definedName>
    <definedName name="COMPOSICAOE151" localSheetId="12">[1]ELÉTRICA!#REF!</definedName>
    <definedName name="COMPOSICAOE151" localSheetId="10">[1]ELÉTRICA!#REF!</definedName>
    <definedName name="COMPOSICAOE151">[1]ELÉTRICA!#REF!</definedName>
    <definedName name="COMPOSICAOE152" localSheetId="14">[1]ELÉTRICA!#REF!</definedName>
    <definedName name="COMPOSICAOE152" localSheetId="11">[1]ELÉTRICA!#REF!</definedName>
    <definedName name="COMPOSICAOE152" localSheetId="13">[1]ELÉTRICA!#REF!</definedName>
    <definedName name="COMPOSICAOE152" localSheetId="5">[1]ELÉTRICA!#REF!</definedName>
    <definedName name="COMPOSICAOE152" localSheetId="12">[1]ELÉTRICA!#REF!</definedName>
    <definedName name="COMPOSICAOE152" localSheetId="10">[1]ELÉTRICA!#REF!</definedName>
    <definedName name="COMPOSICAOE152">[1]ELÉTRICA!#REF!</definedName>
    <definedName name="COMPOSICAOE154" localSheetId="14">[1]ELÉTRICA!#REF!</definedName>
    <definedName name="COMPOSICAOE154" localSheetId="11">[1]ELÉTRICA!#REF!</definedName>
    <definedName name="COMPOSICAOE154" localSheetId="13">[1]ELÉTRICA!#REF!</definedName>
    <definedName name="COMPOSICAOE154" localSheetId="5">[1]ELÉTRICA!#REF!</definedName>
    <definedName name="COMPOSICAOE154" localSheetId="12">[1]ELÉTRICA!#REF!</definedName>
    <definedName name="COMPOSICAOE154" localSheetId="10">[1]ELÉTRICA!#REF!</definedName>
    <definedName name="COMPOSICAOE154">[1]ELÉTRICA!#REF!</definedName>
    <definedName name="COMPOSICAOE19" localSheetId="14">#REF!</definedName>
    <definedName name="COMPOSICAOE19" localSheetId="11">#REF!</definedName>
    <definedName name="COMPOSICAOE19" localSheetId="6">#REF!</definedName>
    <definedName name="COMPOSICAOE19" localSheetId="13">#REF!</definedName>
    <definedName name="COMPOSICAOE19" localSheetId="4">#REF!</definedName>
    <definedName name="COMPOSICAOE19" localSheetId="5">#REF!</definedName>
    <definedName name="COMPOSICAOE19" localSheetId="12">#REF!</definedName>
    <definedName name="COMPOSICAOE19" localSheetId="10">#REF!</definedName>
    <definedName name="COMPOSICAOE19" localSheetId="3">#REF!</definedName>
    <definedName name="COMPOSICAOE19">#REF!</definedName>
    <definedName name="COMPOSICAOE20" localSheetId="14">#REF!</definedName>
    <definedName name="COMPOSICAOE20" localSheetId="11">#REF!</definedName>
    <definedName name="COMPOSICAOE20" localSheetId="6">#REF!</definedName>
    <definedName name="COMPOSICAOE20" localSheetId="13">#REF!</definedName>
    <definedName name="COMPOSICAOE20" localSheetId="4">#REF!</definedName>
    <definedName name="COMPOSICAOE20" localSheetId="5">#REF!</definedName>
    <definedName name="COMPOSICAOE20" localSheetId="12">#REF!</definedName>
    <definedName name="COMPOSICAOE20" localSheetId="10">#REF!</definedName>
    <definedName name="COMPOSICAOE20" localSheetId="3">#REF!</definedName>
    <definedName name="COMPOSICAOE20">#REF!</definedName>
    <definedName name="COMPOSICAOE21" localSheetId="14">#REF!</definedName>
    <definedName name="COMPOSICAOE21" localSheetId="11">#REF!</definedName>
    <definedName name="COMPOSICAOE21" localSheetId="6">#REF!</definedName>
    <definedName name="COMPOSICAOE21" localSheetId="13">#REF!</definedName>
    <definedName name="COMPOSICAOE21" localSheetId="4">#REF!</definedName>
    <definedName name="COMPOSICAOE21" localSheetId="5">#REF!</definedName>
    <definedName name="COMPOSICAOE21" localSheetId="12">#REF!</definedName>
    <definedName name="COMPOSICAOE21" localSheetId="10">#REF!</definedName>
    <definedName name="COMPOSICAOE21" localSheetId="3">#REF!</definedName>
    <definedName name="COMPOSICAOE21">#REF!</definedName>
    <definedName name="COMPOSICAOE22" localSheetId="14">#REF!</definedName>
    <definedName name="COMPOSICAOE22" localSheetId="11">#REF!</definedName>
    <definedName name="COMPOSICAOE22" localSheetId="6">#REF!</definedName>
    <definedName name="COMPOSICAOE22" localSheetId="13">#REF!</definedName>
    <definedName name="COMPOSICAOE22" localSheetId="4">#REF!</definedName>
    <definedName name="COMPOSICAOE22" localSheetId="5">#REF!</definedName>
    <definedName name="COMPOSICAOE22" localSheetId="12">#REF!</definedName>
    <definedName name="COMPOSICAOE22" localSheetId="10">#REF!</definedName>
    <definedName name="COMPOSICAOE22" localSheetId="3">#REF!</definedName>
    <definedName name="COMPOSICAOE22">#REF!</definedName>
    <definedName name="COMPOSICAOE23" localSheetId="14">#REF!</definedName>
    <definedName name="COMPOSICAOE23" localSheetId="11">#REF!</definedName>
    <definedName name="COMPOSICAOE23" localSheetId="6">#REF!</definedName>
    <definedName name="COMPOSICAOE23" localSheetId="13">#REF!</definedName>
    <definedName name="COMPOSICAOE23" localSheetId="4">#REF!</definedName>
    <definedName name="COMPOSICAOE23" localSheetId="5">#REF!</definedName>
    <definedName name="COMPOSICAOE23" localSheetId="12">#REF!</definedName>
    <definedName name="COMPOSICAOE23" localSheetId="10">#REF!</definedName>
    <definedName name="COMPOSICAOE23" localSheetId="3">#REF!</definedName>
    <definedName name="COMPOSICAOE23">#REF!</definedName>
    <definedName name="COMPOSICAOE24" localSheetId="14">#REF!</definedName>
    <definedName name="COMPOSICAOE24" localSheetId="11">#REF!</definedName>
    <definedName name="COMPOSICAOE24" localSheetId="6">#REF!</definedName>
    <definedName name="COMPOSICAOE24" localSheetId="13">#REF!</definedName>
    <definedName name="COMPOSICAOE24" localSheetId="4">#REF!</definedName>
    <definedName name="COMPOSICAOE24" localSheetId="5">#REF!</definedName>
    <definedName name="COMPOSICAOE24" localSheetId="12">#REF!</definedName>
    <definedName name="COMPOSICAOE24" localSheetId="10">#REF!</definedName>
    <definedName name="COMPOSICAOE24" localSheetId="3">#REF!</definedName>
    <definedName name="COMPOSICAOE24">#REF!</definedName>
    <definedName name="COMPOSICAOI1" localSheetId="14">#REF!</definedName>
    <definedName name="COMPOSICAOI1" localSheetId="11">#REF!</definedName>
    <definedName name="COMPOSICAOI1" localSheetId="6">#REF!</definedName>
    <definedName name="COMPOSICAOI1" localSheetId="13">#REF!</definedName>
    <definedName name="COMPOSICAOI1" localSheetId="4">#REF!</definedName>
    <definedName name="COMPOSICAOI1" localSheetId="5">#REF!</definedName>
    <definedName name="COMPOSICAOI1" localSheetId="12">#REF!</definedName>
    <definedName name="COMPOSICAOI1" localSheetId="10">#REF!</definedName>
    <definedName name="COMPOSICAOI1" localSheetId="3">#REF!</definedName>
    <definedName name="COMPOSICAOI1">#REF!</definedName>
    <definedName name="COMPOSICAOI10" localSheetId="14">#REF!</definedName>
    <definedName name="COMPOSICAOI10" localSheetId="11">#REF!</definedName>
    <definedName name="COMPOSICAOI10" localSheetId="6">#REF!</definedName>
    <definedName name="COMPOSICAOI10" localSheetId="13">#REF!</definedName>
    <definedName name="COMPOSICAOI10" localSheetId="4">#REF!</definedName>
    <definedName name="COMPOSICAOI10" localSheetId="5">#REF!</definedName>
    <definedName name="COMPOSICAOI10" localSheetId="12">#REF!</definedName>
    <definedName name="COMPOSICAOI10" localSheetId="10">#REF!</definedName>
    <definedName name="COMPOSICAOI10" localSheetId="3">#REF!</definedName>
    <definedName name="COMPOSICAOI10">#REF!</definedName>
    <definedName name="COMPOSICAOI100">[1]INFRA!$F$80</definedName>
    <definedName name="COMPOSICAOI101">[1]INFRA!$F$98</definedName>
    <definedName name="COMPOSICAOI102">[1]INFRA!$F$116</definedName>
    <definedName name="COMPOSICAOI103">[1]INFRA!$F$134</definedName>
    <definedName name="COMPOSICAOI104">[1]INFRA!$F$152</definedName>
    <definedName name="COMPOSICAOI105">[1]INFRA!$F$170</definedName>
    <definedName name="COMPOSICAOI106">[1]INFRA!$F$188</definedName>
    <definedName name="COMPOSICAOI107">[1]INFRA!$F$206</definedName>
    <definedName name="COMPOSICAOI108">[1]INFRA!$F$224</definedName>
    <definedName name="COMPOSICAOI109" localSheetId="14">[1]INFRA!#REF!</definedName>
    <definedName name="COMPOSICAOI109" localSheetId="11">[1]INFRA!#REF!</definedName>
    <definedName name="COMPOSICAOI109" localSheetId="6">[1]INFRA!#REF!</definedName>
    <definedName name="COMPOSICAOI109" localSheetId="13">[1]INFRA!#REF!</definedName>
    <definedName name="COMPOSICAOI109" localSheetId="4">[1]INFRA!#REF!</definedName>
    <definedName name="COMPOSICAOI109" localSheetId="5">[1]INFRA!#REF!</definedName>
    <definedName name="COMPOSICAOI109" localSheetId="12">[1]INFRA!#REF!</definedName>
    <definedName name="COMPOSICAOI109" localSheetId="10">[1]INFRA!#REF!</definedName>
    <definedName name="COMPOSICAOI109" localSheetId="3">[1]INFRA!#REF!</definedName>
    <definedName name="COMPOSICAOI109">[1]INFRA!#REF!</definedName>
    <definedName name="COMPOSICAOI11" localSheetId="14">#REF!</definedName>
    <definedName name="COMPOSICAOI11" localSheetId="11">#REF!</definedName>
    <definedName name="COMPOSICAOI11" localSheetId="6">#REF!</definedName>
    <definedName name="COMPOSICAOI11" localSheetId="13">#REF!</definedName>
    <definedName name="COMPOSICAOI11" localSheetId="4">#REF!</definedName>
    <definedName name="COMPOSICAOI11" localSheetId="5">#REF!</definedName>
    <definedName name="COMPOSICAOI11" localSheetId="12">#REF!</definedName>
    <definedName name="COMPOSICAOI11" localSheetId="10">#REF!</definedName>
    <definedName name="COMPOSICAOI11" localSheetId="3">#REF!</definedName>
    <definedName name="COMPOSICAOI11">#REF!</definedName>
    <definedName name="COMPOSICAOI110" localSheetId="14">[1]INFRA!#REF!</definedName>
    <definedName name="COMPOSICAOI110" localSheetId="11">[1]INFRA!#REF!</definedName>
    <definedName name="COMPOSICAOI110" localSheetId="6">[1]INFRA!#REF!</definedName>
    <definedName name="COMPOSICAOI110" localSheetId="13">[1]INFRA!#REF!</definedName>
    <definedName name="COMPOSICAOI110" localSheetId="4">[1]INFRA!#REF!</definedName>
    <definedName name="COMPOSICAOI110" localSheetId="5">[1]INFRA!#REF!</definedName>
    <definedName name="COMPOSICAOI110" localSheetId="12">[1]INFRA!#REF!</definedName>
    <definedName name="COMPOSICAOI110" localSheetId="10">[1]INFRA!#REF!</definedName>
    <definedName name="COMPOSICAOI110" localSheetId="3">[1]INFRA!#REF!</definedName>
    <definedName name="COMPOSICAOI110">[1]INFRA!#REF!</definedName>
    <definedName name="COMPOSICAOI111">[1]INFRA!$F$242</definedName>
    <definedName name="COMPOSICAOI112">[1]INFRA!$F$261</definedName>
    <definedName name="COMPOSICAOI113">[1]INFRA!$F$279</definedName>
    <definedName name="COMPOSICAOI114" localSheetId="14">[1]INFRA!#REF!</definedName>
    <definedName name="COMPOSICAOI114" localSheetId="11">[1]INFRA!#REF!</definedName>
    <definedName name="COMPOSICAOI114" localSheetId="6">[1]INFRA!#REF!</definedName>
    <definedName name="COMPOSICAOI114" localSheetId="13">[1]INFRA!#REF!</definedName>
    <definedName name="COMPOSICAOI114" localSheetId="4">[1]INFRA!#REF!</definedName>
    <definedName name="COMPOSICAOI114" localSheetId="5">[1]INFRA!#REF!</definedName>
    <definedName name="COMPOSICAOI114" localSheetId="12">[1]INFRA!#REF!</definedName>
    <definedName name="COMPOSICAOI114" localSheetId="10">[1]INFRA!#REF!</definedName>
    <definedName name="COMPOSICAOI114" localSheetId="3">[1]INFRA!#REF!</definedName>
    <definedName name="COMPOSICAOI114">[1]INFRA!#REF!</definedName>
    <definedName name="COMPOSICAOI115" localSheetId="14">[1]INFRA!#REF!</definedName>
    <definedName name="COMPOSICAOI115" localSheetId="11">[1]INFRA!#REF!</definedName>
    <definedName name="COMPOSICAOI115" localSheetId="6">[1]INFRA!#REF!</definedName>
    <definedName name="COMPOSICAOI115" localSheetId="13">[1]INFRA!#REF!</definedName>
    <definedName name="COMPOSICAOI115" localSheetId="4">[1]INFRA!#REF!</definedName>
    <definedName name="COMPOSICAOI115" localSheetId="5">[1]INFRA!#REF!</definedName>
    <definedName name="COMPOSICAOI115" localSheetId="12">[1]INFRA!#REF!</definedName>
    <definedName name="COMPOSICAOI115" localSheetId="10">[1]INFRA!#REF!</definedName>
    <definedName name="COMPOSICAOI115" localSheetId="3">[1]INFRA!#REF!</definedName>
    <definedName name="COMPOSICAOI115">[1]INFRA!#REF!</definedName>
    <definedName name="COMPOSICAOI116">[1]INFRA!$F$297</definedName>
    <definedName name="COMPOSICAOI117" localSheetId="14">[1]INFRA!#REF!</definedName>
    <definedName name="COMPOSICAOI117" localSheetId="11">[1]INFRA!#REF!</definedName>
    <definedName name="COMPOSICAOI117" localSheetId="6">[1]INFRA!#REF!</definedName>
    <definedName name="COMPOSICAOI117" localSheetId="13">[1]INFRA!#REF!</definedName>
    <definedName name="COMPOSICAOI117" localSheetId="4">[1]INFRA!#REF!</definedName>
    <definedName name="COMPOSICAOI117" localSheetId="5">[1]INFRA!#REF!</definedName>
    <definedName name="COMPOSICAOI117" localSheetId="12">[1]INFRA!#REF!</definedName>
    <definedName name="COMPOSICAOI117" localSheetId="10">[1]INFRA!#REF!</definedName>
    <definedName name="COMPOSICAOI117" localSheetId="3">[1]INFRA!#REF!</definedName>
    <definedName name="COMPOSICAOI117">[1]INFRA!#REF!</definedName>
    <definedName name="COMPOSICAOI118">[1]INFRA!$F$315</definedName>
    <definedName name="COMPOSICAOI119" localSheetId="14">[1]INFRA!#REF!</definedName>
    <definedName name="COMPOSICAOI119" localSheetId="11">[1]INFRA!#REF!</definedName>
    <definedName name="COMPOSICAOI119" localSheetId="6">[1]INFRA!#REF!</definedName>
    <definedName name="COMPOSICAOI119" localSheetId="13">[1]INFRA!#REF!</definedName>
    <definedName name="COMPOSICAOI119" localSheetId="4">[1]INFRA!#REF!</definedName>
    <definedName name="COMPOSICAOI119" localSheetId="5">[1]INFRA!#REF!</definedName>
    <definedName name="COMPOSICAOI119" localSheetId="12">[1]INFRA!#REF!</definedName>
    <definedName name="COMPOSICAOI119" localSheetId="10">[1]INFRA!#REF!</definedName>
    <definedName name="COMPOSICAOI119" localSheetId="3">[1]INFRA!#REF!</definedName>
    <definedName name="COMPOSICAOI119">[1]INFRA!#REF!</definedName>
    <definedName name="COMPOSICAOI12" localSheetId="14">#REF!</definedName>
    <definedName name="COMPOSICAOI12" localSheetId="11">#REF!</definedName>
    <definedName name="COMPOSICAOI12" localSheetId="6">#REF!</definedName>
    <definedName name="COMPOSICAOI12" localSheetId="13">#REF!</definedName>
    <definedName name="COMPOSICAOI12" localSheetId="4">#REF!</definedName>
    <definedName name="COMPOSICAOI12" localSheetId="5">#REF!</definedName>
    <definedName name="COMPOSICAOI12" localSheetId="12">#REF!</definedName>
    <definedName name="COMPOSICAOI12" localSheetId="10">#REF!</definedName>
    <definedName name="COMPOSICAOI12" localSheetId="3">#REF!</definedName>
    <definedName name="COMPOSICAOI12">#REF!</definedName>
    <definedName name="COMPOSICAOI120">[1]INFRA!$F$334</definedName>
    <definedName name="COMPOSICAOI121">[1]INFRA!$F$352</definedName>
    <definedName name="COMPOSICAOI122">[1]INFRA!$F$370</definedName>
    <definedName name="COMPOSICAOI123">[1]INFRA!$F$388</definedName>
    <definedName name="COMPOSICAOI124">[1]INFRA!$F$406</definedName>
    <definedName name="COMPOSICAOI125">[1]INFRA!$F$424</definedName>
    <definedName name="COMPOSICAOI126">[1]INFRA!$F$442</definedName>
    <definedName name="COMPOSICAOI127">[1]INFRA!$F$460</definedName>
    <definedName name="COMPOSICAOI128">[1]INFRA!$F$478</definedName>
    <definedName name="COMPOSICAOI129">[1]INFRA!$F$496</definedName>
    <definedName name="COMPOSICAOI13" localSheetId="14">#REF!</definedName>
    <definedName name="COMPOSICAOI13" localSheetId="11">#REF!</definedName>
    <definedName name="COMPOSICAOI13" localSheetId="6">#REF!</definedName>
    <definedName name="COMPOSICAOI13" localSheetId="13">#REF!</definedName>
    <definedName name="COMPOSICAOI13" localSheetId="4">#REF!</definedName>
    <definedName name="COMPOSICAOI13" localSheetId="5">#REF!</definedName>
    <definedName name="COMPOSICAOI13" localSheetId="12">#REF!</definedName>
    <definedName name="COMPOSICAOI13" localSheetId="10">#REF!</definedName>
    <definedName name="COMPOSICAOI13" localSheetId="3">#REF!</definedName>
    <definedName name="COMPOSICAOI13">#REF!</definedName>
    <definedName name="COMPOSICAOI130">[1]INFRA!$F$514</definedName>
    <definedName name="COMPOSICAOI135" localSheetId="14">[1]ELÉTRICA!#REF!</definedName>
    <definedName name="COMPOSICAOI135" localSheetId="11">[1]ELÉTRICA!#REF!</definedName>
    <definedName name="COMPOSICAOI135" localSheetId="6">[1]ELÉTRICA!#REF!</definedName>
    <definedName name="COMPOSICAOI135" localSheetId="13">[1]ELÉTRICA!#REF!</definedName>
    <definedName name="COMPOSICAOI135" localSheetId="4">[1]ELÉTRICA!#REF!</definedName>
    <definedName name="COMPOSICAOI135" localSheetId="5">[1]ELÉTRICA!#REF!</definedName>
    <definedName name="COMPOSICAOI135" localSheetId="12">[1]ELÉTRICA!#REF!</definedName>
    <definedName name="COMPOSICAOI135" localSheetId="10">[1]ELÉTRICA!#REF!</definedName>
    <definedName name="COMPOSICAOI135" localSheetId="3">[1]ELÉTRICA!#REF!</definedName>
    <definedName name="COMPOSICAOI135">[1]ELÉTRICA!#REF!</definedName>
    <definedName name="COMPOSICAOI14" localSheetId="14">#REF!</definedName>
    <definedName name="COMPOSICAOI14" localSheetId="11">#REF!</definedName>
    <definedName name="COMPOSICAOI14" localSheetId="6">#REF!</definedName>
    <definedName name="COMPOSICAOI14" localSheetId="13">#REF!</definedName>
    <definedName name="COMPOSICAOI14" localSheetId="4">#REF!</definedName>
    <definedName name="COMPOSICAOI14" localSheetId="5">#REF!</definedName>
    <definedName name="COMPOSICAOI14" localSheetId="12">#REF!</definedName>
    <definedName name="COMPOSICAOI14" localSheetId="10">#REF!</definedName>
    <definedName name="COMPOSICAOI14" localSheetId="3">#REF!</definedName>
    <definedName name="COMPOSICAOI14">#REF!</definedName>
    <definedName name="COMPOSICAOI15" localSheetId="14">#REF!</definedName>
    <definedName name="COMPOSICAOI15" localSheetId="11">#REF!</definedName>
    <definedName name="COMPOSICAOI15" localSheetId="6">#REF!</definedName>
    <definedName name="COMPOSICAOI15" localSheetId="13">#REF!</definedName>
    <definedName name="COMPOSICAOI15" localSheetId="4">#REF!</definedName>
    <definedName name="COMPOSICAOI15" localSheetId="5">#REF!</definedName>
    <definedName name="COMPOSICAOI15" localSheetId="12">#REF!</definedName>
    <definedName name="COMPOSICAOI15" localSheetId="10">#REF!</definedName>
    <definedName name="COMPOSICAOI15" localSheetId="3">#REF!</definedName>
    <definedName name="COMPOSICAOI15">#REF!</definedName>
    <definedName name="COMPOSICAOI153" localSheetId="14">[1]INFRA!#REF!</definedName>
    <definedName name="COMPOSICAOI153" localSheetId="11">[1]INFRA!#REF!</definedName>
    <definedName name="COMPOSICAOI153" localSheetId="6">[1]INFRA!#REF!</definedName>
    <definedName name="COMPOSICAOI153" localSheetId="13">[1]INFRA!#REF!</definedName>
    <definedName name="COMPOSICAOI153" localSheetId="4">[1]INFRA!#REF!</definedName>
    <definedName name="COMPOSICAOI153" localSheetId="5">[1]INFRA!#REF!</definedName>
    <definedName name="COMPOSICAOI153" localSheetId="12">[1]INFRA!#REF!</definedName>
    <definedName name="COMPOSICAOI153" localSheetId="10">[1]INFRA!#REF!</definedName>
    <definedName name="COMPOSICAOI153" localSheetId="3">[1]INFRA!#REF!</definedName>
    <definedName name="COMPOSICAOI153">[1]INFRA!#REF!</definedName>
    <definedName name="COMPOSICAOI155" localSheetId="14">[1]INFRA!#REF!</definedName>
    <definedName name="COMPOSICAOI155" localSheetId="11">[1]INFRA!#REF!</definedName>
    <definedName name="COMPOSICAOI155" localSheetId="6">[1]INFRA!#REF!</definedName>
    <definedName name="COMPOSICAOI155" localSheetId="13">[1]INFRA!#REF!</definedName>
    <definedName name="COMPOSICAOI155" localSheetId="4">[1]INFRA!#REF!</definedName>
    <definedName name="COMPOSICAOI155" localSheetId="5">[1]INFRA!#REF!</definedName>
    <definedName name="COMPOSICAOI155" localSheetId="12">[1]INFRA!#REF!</definedName>
    <definedName name="COMPOSICAOI155" localSheetId="10">[1]INFRA!#REF!</definedName>
    <definedName name="COMPOSICAOI155" localSheetId="3">[1]INFRA!#REF!</definedName>
    <definedName name="COMPOSICAOI155">[1]INFRA!#REF!</definedName>
    <definedName name="COMPOSICAOI156" localSheetId="14">[1]INFRA!#REF!</definedName>
    <definedName name="COMPOSICAOI156" localSheetId="11">[1]INFRA!#REF!</definedName>
    <definedName name="COMPOSICAOI156" localSheetId="6">[1]INFRA!#REF!</definedName>
    <definedName name="COMPOSICAOI156" localSheetId="13">[1]INFRA!#REF!</definedName>
    <definedName name="COMPOSICAOI156" localSheetId="4">[1]INFRA!#REF!</definedName>
    <definedName name="COMPOSICAOI156" localSheetId="5">[1]INFRA!#REF!</definedName>
    <definedName name="COMPOSICAOI156" localSheetId="12">[1]INFRA!#REF!</definedName>
    <definedName name="COMPOSICAOI156" localSheetId="10">[1]INFRA!#REF!</definedName>
    <definedName name="COMPOSICAOI156" localSheetId="3">[1]INFRA!#REF!</definedName>
    <definedName name="COMPOSICAOI156">[1]INFRA!#REF!</definedName>
    <definedName name="COMPOSICAOI157" localSheetId="14">[1]INFRA!#REF!</definedName>
    <definedName name="COMPOSICAOI157" localSheetId="11">[1]INFRA!#REF!</definedName>
    <definedName name="COMPOSICAOI157" localSheetId="6">[1]INFRA!#REF!</definedName>
    <definedName name="COMPOSICAOI157" localSheetId="13">[1]INFRA!#REF!</definedName>
    <definedName name="COMPOSICAOI157" localSheetId="4">[1]INFRA!#REF!</definedName>
    <definedName name="COMPOSICAOI157" localSheetId="5">[1]INFRA!#REF!</definedName>
    <definedName name="COMPOSICAOI157" localSheetId="12">[1]INFRA!#REF!</definedName>
    <definedName name="COMPOSICAOI157" localSheetId="10">[1]INFRA!#REF!</definedName>
    <definedName name="COMPOSICAOI157" localSheetId="3">[1]INFRA!#REF!</definedName>
    <definedName name="COMPOSICAOI157">[1]INFRA!#REF!</definedName>
    <definedName name="COMPOSICAOI16" localSheetId="14">#REF!</definedName>
    <definedName name="COMPOSICAOI16" localSheetId="11">#REF!</definedName>
    <definedName name="COMPOSICAOI16" localSheetId="6">#REF!</definedName>
    <definedName name="COMPOSICAOI16" localSheetId="13">#REF!</definedName>
    <definedName name="COMPOSICAOI16" localSheetId="4">#REF!</definedName>
    <definedName name="COMPOSICAOI16" localSheetId="5">#REF!</definedName>
    <definedName name="COMPOSICAOI16" localSheetId="12">#REF!</definedName>
    <definedName name="COMPOSICAOI16" localSheetId="10">#REF!</definedName>
    <definedName name="COMPOSICAOI16" localSheetId="3">#REF!</definedName>
    <definedName name="COMPOSICAOI16">#REF!</definedName>
    <definedName name="COMPOSICAOI17" localSheetId="14">#REF!</definedName>
    <definedName name="COMPOSICAOI17" localSheetId="11">#REF!</definedName>
    <definedName name="COMPOSICAOI17" localSheetId="6">#REF!</definedName>
    <definedName name="COMPOSICAOI17" localSheetId="13">#REF!</definedName>
    <definedName name="COMPOSICAOI17" localSheetId="4">#REF!</definedName>
    <definedName name="COMPOSICAOI17" localSheetId="5">#REF!</definedName>
    <definedName name="COMPOSICAOI17" localSheetId="12">#REF!</definedName>
    <definedName name="COMPOSICAOI17" localSheetId="10">#REF!</definedName>
    <definedName name="COMPOSICAOI17" localSheetId="3">#REF!</definedName>
    <definedName name="COMPOSICAOI17">#REF!</definedName>
    <definedName name="COMPOSICAOI18" localSheetId="14">#REF!</definedName>
    <definedName name="COMPOSICAOI18" localSheetId="11">#REF!</definedName>
    <definedName name="COMPOSICAOI18" localSheetId="6">#REF!</definedName>
    <definedName name="COMPOSICAOI18" localSheetId="13">#REF!</definedName>
    <definedName name="COMPOSICAOI18" localSheetId="4">#REF!</definedName>
    <definedName name="COMPOSICAOI18" localSheetId="5">#REF!</definedName>
    <definedName name="COMPOSICAOI18" localSheetId="12">#REF!</definedName>
    <definedName name="COMPOSICAOI18" localSheetId="10">#REF!</definedName>
    <definedName name="COMPOSICAOI18" localSheetId="3">#REF!</definedName>
    <definedName name="COMPOSICAOI18">#REF!</definedName>
    <definedName name="COMPOSICAOI2" localSheetId="14">#REF!</definedName>
    <definedName name="COMPOSICAOI2" localSheetId="11">#REF!</definedName>
    <definedName name="COMPOSICAOI2" localSheetId="6">#REF!</definedName>
    <definedName name="COMPOSICAOI2" localSheetId="13">#REF!</definedName>
    <definedName name="COMPOSICAOI2" localSheetId="4">#REF!</definedName>
    <definedName name="COMPOSICAOI2" localSheetId="5">#REF!</definedName>
    <definedName name="COMPOSICAOI2" localSheetId="12">#REF!</definedName>
    <definedName name="COMPOSICAOI2" localSheetId="10">#REF!</definedName>
    <definedName name="COMPOSICAOI2" localSheetId="3">#REF!</definedName>
    <definedName name="COMPOSICAOI2">#REF!</definedName>
    <definedName name="COMPOSICAOI200" localSheetId="14">[1]INFRA!#REF!</definedName>
    <definedName name="COMPOSICAOI200" localSheetId="11">[1]INFRA!#REF!</definedName>
    <definedName name="COMPOSICAOI200" localSheetId="6">[1]INFRA!#REF!</definedName>
    <definedName name="COMPOSICAOI200" localSheetId="13">[1]INFRA!#REF!</definedName>
    <definedName name="COMPOSICAOI200" localSheetId="4">[1]INFRA!#REF!</definedName>
    <definedName name="COMPOSICAOI200" localSheetId="5">[1]INFRA!#REF!</definedName>
    <definedName name="COMPOSICAOI200" localSheetId="12">[1]INFRA!#REF!</definedName>
    <definedName name="COMPOSICAOI200" localSheetId="10">[1]INFRA!#REF!</definedName>
    <definedName name="COMPOSICAOI200" localSheetId="3">[1]INFRA!#REF!</definedName>
    <definedName name="COMPOSICAOI200">[1]INFRA!#REF!</definedName>
    <definedName name="COMPOSICAOI202" localSheetId="14">[1]INFRA!#REF!</definedName>
    <definedName name="COMPOSICAOI202" localSheetId="11">[1]INFRA!#REF!</definedName>
    <definedName name="COMPOSICAOI202" localSheetId="6">[1]INFRA!#REF!</definedName>
    <definedName name="COMPOSICAOI202" localSheetId="13">[1]INFRA!#REF!</definedName>
    <definedName name="COMPOSICAOI202" localSheetId="4">[1]INFRA!#REF!</definedName>
    <definedName name="COMPOSICAOI202" localSheetId="5">[1]INFRA!#REF!</definedName>
    <definedName name="COMPOSICAOI202" localSheetId="12">[1]INFRA!#REF!</definedName>
    <definedName name="COMPOSICAOI202" localSheetId="10">[1]INFRA!#REF!</definedName>
    <definedName name="COMPOSICAOI202" localSheetId="3">[1]INFRA!#REF!</definedName>
    <definedName name="COMPOSICAOI202">[1]INFRA!#REF!</definedName>
    <definedName name="COMPOSICAOI203">[1]INFRA!$F$532</definedName>
    <definedName name="COMPOSICAOI204" localSheetId="14">[1]INFRA!#REF!</definedName>
    <definedName name="COMPOSICAOI204" localSheetId="11">[1]INFRA!#REF!</definedName>
    <definedName name="COMPOSICAOI204" localSheetId="6">[1]INFRA!#REF!</definedName>
    <definedName name="COMPOSICAOI204" localSheetId="13">[1]INFRA!#REF!</definedName>
    <definedName name="COMPOSICAOI204" localSheetId="4">[1]INFRA!#REF!</definedName>
    <definedName name="COMPOSICAOI204" localSheetId="5">[1]INFRA!#REF!</definedName>
    <definedName name="COMPOSICAOI204" localSheetId="12">[1]INFRA!#REF!</definedName>
    <definedName name="COMPOSICAOI204" localSheetId="10">[1]INFRA!#REF!</definedName>
    <definedName name="COMPOSICAOI204" localSheetId="3">[1]INFRA!#REF!</definedName>
    <definedName name="COMPOSICAOI204">[1]INFRA!#REF!</definedName>
    <definedName name="COMPOSICAOI3" localSheetId="14">#REF!</definedName>
    <definedName name="COMPOSICAOI3" localSheetId="11">#REF!</definedName>
    <definedName name="COMPOSICAOI3" localSheetId="6">#REF!</definedName>
    <definedName name="COMPOSICAOI3" localSheetId="13">#REF!</definedName>
    <definedName name="COMPOSICAOI3" localSheetId="4">#REF!</definedName>
    <definedName name="COMPOSICAOI3" localSheetId="5">#REF!</definedName>
    <definedName name="COMPOSICAOI3" localSheetId="12">#REF!</definedName>
    <definedName name="COMPOSICAOI3" localSheetId="10">#REF!</definedName>
    <definedName name="COMPOSICAOI3" localSheetId="3">#REF!</definedName>
    <definedName name="COMPOSICAOI3">#REF!</definedName>
    <definedName name="COMPOSICAOI4" localSheetId="14">#REF!</definedName>
    <definedName name="COMPOSICAOI4" localSheetId="11">#REF!</definedName>
    <definedName name="COMPOSICAOI4" localSheetId="6">#REF!</definedName>
    <definedName name="COMPOSICAOI4" localSheetId="13">#REF!</definedName>
    <definedName name="COMPOSICAOI4" localSheetId="4">#REF!</definedName>
    <definedName name="COMPOSICAOI4" localSheetId="5">#REF!</definedName>
    <definedName name="COMPOSICAOI4" localSheetId="12">#REF!</definedName>
    <definedName name="COMPOSICAOI4" localSheetId="10">#REF!</definedName>
    <definedName name="COMPOSICAOI4" localSheetId="3">#REF!</definedName>
    <definedName name="COMPOSICAOI4">#REF!</definedName>
    <definedName name="COMPOSICAOI5" localSheetId="14">#REF!</definedName>
    <definedName name="COMPOSICAOI5" localSheetId="11">#REF!</definedName>
    <definedName name="COMPOSICAOI5" localSheetId="6">#REF!</definedName>
    <definedName name="COMPOSICAOI5" localSheetId="13">#REF!</definedName>
    <definedName name="COMPOSICAOI5" localSheetId="4">#REF!</definedName>
    <definedName name="COMPOSICAOI5" localSheetId="5">#REF!</definedName>
    <definedName name="COMPOSICAOI5" localSheetId="12">#REF!</definedName>
    <definedName name="COMPOSICAOI5" localSheetId="10">#REF!</definedName>
    <definedName name="COMPOSICAOI5" localSheetId="3">#REF!</definedName>
    <definedName name="COMPOSICAOI5">#REF!</definedName>
    <definedName name="COMPOSICAOI6" localSheetId="14">#REF!</definedName>
    <definedName name="COMPOSICAOI6" localSheetId="11">#REF!</definedName>
    <definedName name="COMPOSICAOI6" localSheetId="6">#REF!</definedName>
    <definedName name="COMPOSICAOI6" localSheetId="13">#REF!</definedName>
    <definedName name="COMPOSICAOI6" localSheetId="4">#REF!</definedName>
    <definedName name="COMPOSICAOI6" localSheetId="5">#REF!</definedName>
    <definedName name="COMPOSICAOI6" localSheetId="12">#REF!</definedName>
    <definedName name="COMPOSICAOI6" localSheetId="10">#REF!</definedName>
    <definedName name="COMPOSICAOI6" localSheetId="3">#REF!</definedName>
    <definedName name="COMPOSICAOI6">#REF!</definedName>
    <definedName name="COMPOSICAOI7" localSheetId="14">#REF!</definedName>
    <definedName name="COMPOSICAOI7" localSheetId="11">#REF!</definedName>
    <definedName name="COMPOSICAOI7" localSheetId="6">#REF!</definedName>
    <definedName name="COMPOSICAOI7" localSheetId="13">#REF!</definedName>
    <definedName name="COMPOSICAOI7" localSheetId="4">#REF!</definedName>
    <definedName name="COMPOSICAOI7" localSheetId="5">#REF!</definedName>
    <definedName name="COMPOSICAOI7" localSheetId="12">#REF!</definedName>
    <definedName name="COMPOSICAOI7" localSheetId="10">#REF!</definedName>
    <definedName name="COMPOSICAOI7" localSheetId="3">#REF!</definedName>
    <definedName name="COMPOSICAOI7">#REF!</definedName>
    <definedName name="COMPOSICAOI8" localSheetId="14">#REF!</definedName>
    <definedName name="COMPOSICAOI8" localSheetId="11">#REF!</definedName>
    <definedName name="COMPOSICAOI8" localSheetId="6">#REF!</definedName>
    <definedName name="COMPOSICAOI8" localSheetId="13">#REF!</definedName>
    <definedName name="COMPOSICAOI8" localSheetId="4">#REF!</definedName>
    <definedName name="COMPOSICAOI8" localSheetId="5">#REF!</definedName>
    <definedName name="COMPOSICAOI8" localSheetId="12">#REF!</definedName>
    <definedName name="COMPOSICAOI8" localSheetId="10">#REF!</definedName>
    <definedName name="COMPOSICAOI8" localSheetId="3">#REF!</definedName>
    <definedName name="COMPOSICAOI8">#REF!</definedName>
    <definedName name="COMPOSICAOI87" localSheetId="14">[1]INFRA!#REF!</definedName>
    <definedName name="COMPOSICAOI87" localSheetId="11">[1]INFRA!#REF!</definedName>
    <definedName name="COMPOSICAOI87" localSheetId="6">[1]INFRA!#REF!</definedName>
    <definedName name="COMPOSICAOI87" localSheetId="13">[1]INFRA!#REF!</definedName>
    <definedName name="COMPOSICAOI87" localSheetId="4">[1]INFRA!#REF!</definedName>
    <definedName name="COMPOSICAOI87" localSheetId="5">[1]INFRA!#REF!</definedName>
    <definedName name="COMPOSICAOI87" localSheetId="12">[1]INFRA!#REF!</definedName>
    <definedName name="COMPOSICAOI87" localSheetId="10">[1]INFRA!#REF!</definedName>
    <definedName name="COMPOSICAOI87" localSheetId="3">[1]INFRA!#REF!</definedName>
    <definedName name="COMPOSICAOI87">[1]INFRA!#REF!</definedName>
    <definedName name="COMPOSICAOI88" localSheetId="14">[1]INFRA!#REF!</definedName>
    <definedName name="COMPOSICAOI88" localSheetId="11">[1]INFRA!#REF!</definedName>
    <definedName name="COMPOSICAOI88" localSheetId="6">[1]INFRA!#REF!</definedName>
    <definedName name="COMPOSICAOI88" localSheetId="13">[1]INFRA!#REF!</definedName>
    <definedName name="COMPOSICAOI88" localSheetId="4">[1]INFRA!#REF!</definedName>
    <definedName name="COMPOSICAOI88" localSheetId="5">[1]INFRA!#REF!</definedName>
    <definedName name="COMPOSICAOI88" localSheetId="12">[1]INFRA!#REF!</definedName>
    <definedName name="COMPOSICAOI88" localSheetId="10">[1]INFRA!#REF!</definedName>
    <definedName name="COMPOSICAOI88" localSheetId="3">[1]INFRA!#REF!</definedName>
    <definedName name="COMPOSICAOI88">[1]INFRA!#REF!</definedName>
    <definedName name="COMPOSICAOI89" localSheetId="14">[1]INFRA!#REF!</definedName>
    <definedName name="COMPOSICAOI89" localSheetId="11">[1]INFRA!#REF!</definedName>
    <definedName name="COMPOSICAOI89" localSheetId="6">[1]INFRA!#REF!</definedName>
    <definedName name="COMPOSICAOI89" localSheetId="13">[1]INFRA!#REF!</definedName>
    <definedName name="COMPOSICAOI89" localSheetId="4">[1]INFRA!#REF!</definedName>
    <definedName name="COMPOSICAOI89" localSheetId="5">[1]INFRA!#REF!</definedName>
    <definedName name="COMPOSICAOI89" localSheetId="12">[1]INFRA!#REF!</definedName>
    <definedName name="COMPOSICAOI89" localSheetId="10">[1]INFRA!#REF!</definedName>
    <definedName name="COMPOSICAOI89" localSheetId="3">[1]INFRA!#REF!</definedName>
    <definedName name="COMPOSICAOI89">[1]INFRA!#REF!</definedName>
    <definedName name="COMPOSICAOI9">[1]INFRA!$F$27</definedName>
    <definedName name="COMPOSICAOI90" localSheetId="14">[1]INFRA!#REF!</definedName>
    <definedName name="COMPOSICAOI90" localSheetId="11">[1]INFRA!#REF!</definedName>
    <definedName name="COMPOSICAOI90" localSheetId="6">[1]INFRA!#REF!</definedName>
    <definedName name="COMPOSICAOI90" localSheetId="13">[1]INFRA!#REF!</definedName>
    <definedName name="COMPOSICAOI90" localSheetId="4">[1]INFRA!#REF!</definedName>
    <definedName name="COMPOSICAOI90" localSheetId="5">[1]INFRA!#REF!</definedName>
    <definedName name="COMPOSICAOI90" localSheetId="12">[1]INFRA!#REF!</definedName>
    <definedName name="COMPOSICAOI90" localSheetId="10">[1]INFRA!#REF!</definedName>
    <definedName name="COMPOSICAOI90" localSheetId="3">[1]INFRA!#REF!</definedName>
    <definedName name="COMPOSICAOI90">[1]INFRA!#REF!</definedName>
    <definedName name="COMPOSICAOI91" localSheetId="14">[1]INFRA!#REF!</definedName>
    <definedName name="COMPOSICAOI91" localSheetId="11">[1]INFRA!#REF!</definedName>
    <definedName name="COMPOSICAOI91" localSheetId="6">[1]INFRA!#REF!</definedName>
    <definedName name="COMPOSICAOI91" localSheetId="13">[1]INFRA!#REF!</definedName>
    <definedName name="COMPOSICAOI91" localSheetId="4">[1]INFRA!#REF!</definedName>
    <definedName name="COMPOSICAOI91" localSheetId="5">[1]INFRA!#REF!</definedName>
    <definedName name="COMPOSICAOI91" localSheetId="12">[1]INFRA!#REF!</definedName>
    <definedName name="COMPOSICAOI91" localSheetId="10">[1]INFRA!#REF!</definedName>
    <definedName name="COMPOSICAOI91" localSheetId="3">[1]INFRA!#REF!</definedName>
    <definedName name="COMPOSICAOI91">[1]INFRA!#REF!</definedName>
    <definedName name="COMPOSICAOI92" localSheetId="14">[1]INFRA!#REF!</definedName>
    <definedName name="COMPOSICAOI92" localSheetId="11">[1]INFRA!#REF!</definedName>
    <definedName name="COMPOSICAOI92" localSheetId="6">[1]INFRA!#REF!</definedName>
    <definedName name="COMPOSICAOI92" localSheetId="13">[1]INFRA!#REF!</definedName>
    <definedName name="COMPOSICAOI92" localSheetId="4">[1]INFRA!#REF!</definedName>
    <definedName name="COMPOSICAOI92" localSheetId="5">[1]INFRA!#REF!</definedName>
    <definedName name="COMPOSICAOI92" localSheetId="12">[1]INFRA!#REF!</definedName>
    <definedName name="COMPOSICAOI92" localSheetId="10">[1]INFRA!#REF!</definedName>
    <definedName name="COMPOSICAOI92" localSheetId="3">[1]INFRA!#REF!</definedName>
    <definedName name="COMPOSICAOI92">[1]INFRA!#REF!</definedName>
    <definedName name="COMPOSICAOI93" localSheetId="14">[1]INFRA!#REF!</definedName>
    <definedName name="COMPOSICAOI93" localSheetId="11">[1]INFRA!#REF!</definedName>
    <definedName name="COMPOSICAOI93" localSheetId="6">[1]INFRA!#REF!</definedName>
    <definedName name="COMPOSICAOI93" localSheetId="13">[1]INFRA!#REF!</definedName>
    <definedName name="COMPOSICAOI93" localSheetId="4">[1]INFRA!#REF!</definedName>
    <definedName name="COMPOSICAOI93" localSheetId="5">[1]INFRA!#REF!</definedName>
    <definedName name="COMPOSICAOI93" localSheetId="12">[1]INFRA!#REF!</definedName>
    <definedName name="COMPOSICAOI93" localSheetId="10">[1]INFRA!#REF!</definedName>
    <definedName name="COMPOSICAOI93" localSheetId="3">[1]INFRA!#REF!</definedName>
    <definedName name="COMPOSICAOI93">[1]INFRA!#REF!</definedName>
    <definedName name="COMPOSICAOI94" localSheetId="14">[1]INFRA!#REF!</definedName>
    <definedName name="COMPOSICAOI94" localSheetId="11">[1]INFRA!#REF!</definedName>
    <definedName name="COMPOSICAOI94" localSheetId="13">[1]INFRA!#REF!</definedName>
    <definedName name="COMPOSICAOI94" localSheetId="5">[1]INFRA!#REF!</definedName>
    <definedName name="COMPOSICAOI94" localSheetId="12">[1]INFRA!#REF!</definedName>
    <definedName name="COMPOSICAOI94" localSheetId="10">[1]INFRA!#REF!</definedName>
    <definedName name="COMPOSICAOI94">[1]INFRA!#REF!</definedName>
    <definedName name="COMPOSICAOI95">[1]INFRA!$F$44</definedName>
    <definedName name="COMPOSICAOI96" localSheetId="14">[1]INFRA!#REF!</definedName>
    <definedName name="COMPOSICAOI96" localSheetId="11">[1]INFRA!#REF!</definedName>
    <definedName name="COMPOSICAOI96" localSheetId="6">[1]INFRA!#REF!</definedName>
    <definedName name="COMPOSICAOI96" localSheetId="13">[1]INFRA!#REF!</definedName>
    <definedName name="COMPOSICAOI96" localSheetId="4">[1]INFRA!#REF!</definedName>
    <definedName name="COMPOSICAOI96" localSheetId="5">[1]INFRA!#REF!</definedName>
    <definedName name="COMPOSICAOI96" localSheetId="12">[1]INFRA!#REF!</definedName>
    <definedName name="COMPOSICAOI96" localSheetId="10">[1]INFRA!#REF!</definedName>
    <definedName name="COMPOSICAOI96" localSheetId="3">[1]INFRA!#REF!</definedName>
    <definedName name="COMPOSICAOI96">[1]INFRA!#REF!</definedName>
    <definedName name="COMPOSICAOI97" localSheetId="14">[1]INFRA!#REF!</definedName>
    <definedName name="COMPOSICAOI97" localSheetId="11">[1]INFRA!#REF!</definedName>
    <definedName name="COMPOSICAOI97" localSheetId="6">[1]INFRA!#REF!</definedName>
    <definedName name="COMPOSICAOI97" localSheetId="13">[1]INFRA!#REF!</definedName>
    <definedName name="COMPOSICAOI97" localSheetId="4">[1]INFRA!#REF!</definedName>
    <definedName name="COMPOSICAOI97" localSheetId="5">[1]INFRA!#REF!</definedName>
    <definedName name="COMPOSICAOI97" localSheetId="12">[1]INFRA!#REF!</definedName>
    <definedName name="COMPOSICAOI97" localSheetId="10">[1]INFRA!#REF!</definedName>
    <definedName name="COMPOSICAOI97" localSheetId="3">[1]INFRA!#REF!</definedName>
    <definedName name="COMPOSICAOI97">[1]INFRA!#REF!</definedName>
    <definedName name="COMPOSICAOI98" localSheetId="14">[1]INFRA!#REF!</definedName>
    <definedName name="COMPOSICAOI98" localSheetId="11">[1]INFRA!#REF!</definedName>
    <definedName name="COMPOSICAOI98" localSheetId="6">[1]INFRA!#REF!</definedName>
    <definedName name="COMPOSICAOI98" localSheetId="13">[1]INFRA!#REF!</definedName>
    <definedName name="COMPOSICAOI98" localSheetId="4">[1]INFRA!#REF!</definedName>
    <definedName name="COMPOSICAOI98" localSheetId="5">[1]INFRA!#REF!</definedName>
    <definedName name="COMPOSICAOI98" localSheetId="12">[1]INFRA!#REF!</definedName>
    <definedName name="COMPOSICAOI98" localSheetId="10">[1]INFRA!#REF!</definedName>
    <definedName name="COMPOSICAOI98" localSheetId="3">[1]INFRA!#REF!</definedName>
    <definedName name="COMPOSICAOI98">[1]INFRA!#REF!</definedName>
    <definedName name="COMPOSICAOI99">[1]INFRA!$F$62</definedName>
    <definedName name="COMPOSICAOL64">'[1]LÓGICA 2'!$F$24</definedName>
    <definedName name="COMPOSICAOL65">'[1]LÓGICA 2'!$F$42</definedName>
    <definedName name="COMPOSICAOL67">'[1]LÓGICA 2'!$F$78</definedName>
    <definedName name="COMPOSICAOL68">'[1]LÓGICA 2'!$F$96</definedName>
    <definedName name="COMPOSICAOL69">'[1]LÓGICA 2'!$F$116</definedName>
    <definedName name="COMPOSICAOL70">'[1]LÓGICA 2'!$F$134</definedName>
    <definedName name="COMPOSICAOL71" localSheetId="14">'[1]LÓGICA 2'!#REF!</definedName>
    <definedName name="COMPOSICAOL71" localSheetId="11">'[1]LÓGICA 2'!#REF!</definedName>
    <definedName name="COMPOSICAOL71" localSheetId="6">'[1]LÓGICA 2'!#REF!</definedName>
    <definedName name="COMPOSICAOL71" localSheetId="13">'[1]LÓGICA 2'!#REF!</definedName>
    <definedName name="COMPOSICAOL71" localSheetId="4">'[1]LÓGICA 2'!#REF!</definedName>
    <definedName name="COMPOSICAOL71" localSheetId="5">'[1]LÓGICA 2'!#REF!</definedName>
    <definedName name="COMPOSICAOL71" localSheetId="12">'[1]LÓGICA 2'!#REF!</definedName>
    <definedName name="COMPOSICAOL71" localSheetId="10">'[1]LÓGICA 2'!#REF!</definedName>
    <definedName name="COMPOSICAOL71" localSheetId="3">'[1]LÓGICA 2'!#REF!</definedName>
    <definedName name="COMPOSICAOL71">'[1]LÓGICA 2'!#REF!</definedName>
    <definedName name="COMPOSICAOL72">'[1]LÓGICA 2'!$F$155</definedName>
    <definedName name="COMPOSICAOL73">'[1]LÓGICA 2'!$F$177</definedName>
    <definedName name="COMPOSICAOL74" localSheetId="14">'[1]LÓGICA 2'!#REF!</definedName>
    <definedName name="COMPOSICAOL74" localSheetId="11">'[1]LÓGICA 2'!#REF!</definedName>
    <definedName name="COMPOSICAOL74" localSheetId="6">'[1]LÓGICA 2'!#REF!</definedName>
    <definedName name="COMPOSICAOL74" localSheetId="13">'[1]LÓGICA 2'!#REF!</definedName>
    <definedName name="COMPOSICAOL74" localSheetId="4">'[1]LÓGICA 2'!#REF!</definedName>
    <definedName name="COMPOSICAOL74" localSheetId="5">'[1]LÓGICA 2'!#REF!</definedName>
    <definedName name="COMPOSICAOL74" localSheetId="12">'[1]LÓGICA 2'!#REF!</definedName>
    <definedName name="COMPOSICAOL74" localSheetId="10">'[1]LÓGICA 2'!#REF!</definedName>
    <definedName name="COMPOSICAOL74" localSheetId="3">'[1]LÓGICA 2'!#REF!</definedName>
    <definedName name="COMPOSICAOL74">'[1]LÓGICA 2'!#REF!</definedName>
    <definedName name="COMPOSICAOL75" localSheetId="14">'[1]LÓGICA 2'!#REF!</definedName>
    <definedName name="COMPOSICAOL75" localSheetId="11">'[1]LÓGICA 2'!#REF!</definedName>
    <definedName name="COMPOSICAOL75" localSheetId="6">'[1]LÓGICA 2'!#REF!</definedName>
    <definedName name="COMPOSICAOL75" localSheetId="13">'[1]LÓGICA 2'!#REF!</definedName>
    <definedName name="COMPOSICAOL75" localSheetId="4">'[1]LÓGICA 2'!#REF!</definedName>
    <definedName name="COMPOSICAOL75" localSheetId="5">'[1]LÓGICA 2'!#REF!</definedName>
    <definedName name="COMPOSICAOL75" localSheetId="12">'[1]LÓGICA 2'!#REF!</definedName>
    <definedName name="COMPOSICAOL75" localSheetId="10">'[1]LÓGICA 2'!#REF!</definedName>
    <definedName name="COMPOSICAOL75" localSheetId="3">'[1]LÓGICA 2'!#REF!</definedName>
    <definedName name="COMPOSICAOL75">'[1]LÓGICA 2'!#REF!</definedName>
    <definedName name="COMPOSICAOL76">'[1]LÓGICA 2'!$F$195</definedName>
    <definedName name="COMPOSICAOL77">'[1]LÓGICA 2'!$F$213</definedName>
    <definedName name="COMPOSICAOL78">'[1]LÓGICA 2'!$F$231</definedName>
    <definedName name="COMPOSICAOL79">'[1]LÓGICA 2'!$F$249</definedName>
    <definedName name="COMPOSICAOL80">'[1]LÓGICA 2'!$F$267</definedName>
    <definedName name="COMPOSICAOL81">'[1]LÓGICA 2'!$F$285</definedName>
    <definedName name="COMPOSICAOL82">'[1]LÓGICA 2'!$F$303</definedName>
    <definedName name="COMPOSICAOL83" localSheetId="14">'[1]LÓGICA 2'!#REF!</definedName>
    <definedName name="COMPOSICAOL83" localSheetId="11">'[1]LÓGICA 2'!#REF!</definedName>
    <definedName name="COMPOSICAOL83" localSheetId="6">'[1]LÓGICA 2'!#REF!</definedName>
    <definedName name="COMPOSICAOL83" localSheetId="13">'[1]LÓGICA 2'!#REF!</definedName>
    <definedName name="COMPOSICAOL83" localSheetId="4">'[1]LÓGICA 2'!#REF!</definedName>
    <definedName name="COMPOSICAOL83" localSheetId="5">'[1]LÓGICA 2'!#REF!</definedName>
    <definedName name="COMPOSICAOL83" localSheetId="12">'[1]LÓGICA 2'!#REF!</definedName>
    <definedName name="COMPOSICAOL83" localSheetId="10">'[1]LÓGICA 2'!#REF!</definedName>
    <definedName name="COMPOSICAOL83" localSheetId="3">'[1]LÓGICA 2'!#REF!</definedName>
    <definedName name="COMPOSICAOL83">'[1]LÓGICA 2'!#REF!</definedName>
    <definedName name="COMPOSICAOL84">'[1]LÓGICA 2'!$F$321</definedName>
    <definedName name="COMPOSICAOL85">'[1]LÓGICA 2'!$F$339</definedName>
    <definedName name="COMPOSICAOL86">'[1]LÓGICA 2'!$F$357</definedName>
    <definedName name="COMPOSICAOL87">'[1]LÓGICA 2'!$F$374</definedName>
    <definedName name="eqrrewr" localSheetId="14">[1]INFRA!#REF!</definedName>
    <definedName name="eqrrewr" localSheetId="11">[1]INFRA!#REF!</definedName>
    <definedName name="eqrrewr" localSheetId="6">[1]INFRA!#REF!</definedName>
    <definedName name="eqrrewr" localSheetId="13">[1]INFRA!#REF!</definedName>
    <definedName name="eqrrewr" localSheetId="4">[1]INFRA!#REF!</definedName>
    <definedName name="eqrrewr" localSheetId="5">[1]INFRA!#REF!</definedName>
    <definedName name="eqrrewr" localSheetId="12">[1]INFRA!#REF!</definedName>
    <definedName name="eqrrewr" localSheetId="10">[1]INFRA!#REF!</definedName>
    <definedName name="eqrrewr" localSheetId="3">[1]INFRA!#REF!</definedName>
    <definedName name="eqrrewr">[1]INFRA!#REF!</definedName>
    <definedName name="Serviços">[2]Solum!$A$3:$AD$2430</definedName>
  </definedNames>
  <calcPr calcId="162913"/>
</workbook>
</file>

<file path=xl/calcChain.xml><?xml version="1.0" encoding="utf-8"?>
<calcChain xmlns="http://schemas.openxmlformats.org/spreadsheetml/2006/main">
  <c r="B5" i="4" l="1"/>
  <c r="A35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F338" i="5"/>
  <c r="F339" i="5"/>
  <c r="F334" i="5"/>
  <c r="F335" i="5"/>
  <c r="F336" i="5"/>
  <c r="F337" i="5"/>
  <c r="F329" i="5"/>
  <c r="F330" i="5"/>
  <c r="F331" i="5"/>
  <c r="F332" i="5"/>
  <c r="F333" i="5"/>
  <c r="F325" i="5"/>
  <c r="F326" i="5"/>
  <c r="F327" i="5"/>
  <c r="F328" i="5"/>
  <c r="F322" i="5"/>
  <c r="F323" i="5"/>
  <c r="F324" i="5"/>
  <c r="F319" i="5"/>
  <c r="F320" i="5"/>
  <c r="F321" i="5"/>
  <c r="F315" i="5"/>
  <c r="F316" i="5"/>
  <c r="F317" i="5"/>
  <c r="F318" i="5"/>
  <c r="F312" i="5"/>
  <c r="F313" i="5"/>
  <c r="F314" i="5"/>
  <c r="F309" i="5"/>
  <c r="F310" i="5"/>
  <c r="F311" i="5"/>
  <c r="F306" i="5"/>
  <c r="F307" i="5"/>
  <c r="F308" i="5"/>
  <c r="F302" i="5"/>
  <c r="F303" i="5"/>
  <c r="F304" i="5"/>
  <c r="F305" i="5"/>
  <c r="F301" i="5"/>
  <c r="C39" i="40"/>
  <c r="C37" i="40"/>
  <c r="C35" i="40"/>
  <c r="C34" i="40"/>
  <c r="C33" i="40"/>
  <c r="C8" i="40"/>
  <c r="C5" i="40"/>
  <c r="F297" i="5" l="1"/>
  <c r="F298" i="5"/>
  <c r="F299" i="5"/>
  <c r="F296" i="5"/>
  <c r="F295" i="5"/>
  <c r="F293" i="5"/>
  <c r="F294" i="5"/>
  <c r="F289" i="5"/>
  <c r="F290" i="5"/>
  <c r="F291" i="5"/>
  <c r="F285" i="5"/>
  <c r="F286" i="5"/>
  <c r="F287" i="5"/>
  <c r="F288" i="5"/>
  <c r="F284" i="5"/>
  <c r="F273" i="5"/>
  <c r="F274" i="5"/>
  <c r="F275" i="5"/>
  <c r="F276" i="5"/>
  <c r="F277" i="5"/>
  <c r="F278" i="5"/>
  <c r="F279" i="5"/>
  <c r="F280" i="5"/>
  <c r="F281" i="5"/>
  <c r="F282" i="5"/>
  <c r="F283" i="5"/>
  <c r="F269" i="5"/>
  <c r="F270" i="5"/>
  <c r="F271" i="5"/>
  <c r="F272" i="5"/>
  <c r="F266" i="5"/>
  <c r="F267" i="5"/>
  <c r="F268" i="5"/>
  <c r="F263" i="5"/>
  <c r="F265" i="5"/>
  <c r="F261" i="5"/>
  <c r="F262" i="5"/>
  <c r="F258" i="5"/>
  <c r="F260" i="5"/>
  <c r="F254" i="5"/>
  <c r="F255" i="5"/>
  <c r="F256" i="5"/>
  <c r="F251" i="5"/>
  <c r="F252" i="5"/>
  <c r="F250" i="5"/>
  <c r="F248" i="5"/>
  <c r="F249" i="5"/>
  <c r="F245" i="5"/>
  <c r="F246" i="5"/>
  <c r="F247" i="5"/>
  <c r="F242" i="5"/>
  <c r="F243" i="5"/>
  <c r="F240" i="5"/>
  <c r="F241" i="5"/>
  <c r="C61" i="39"/>
  <c r="C56" i="39"/>
  <c r="F292" i="5" s="1"/>
  <c r="C44" i="39"/>
  <c r="C43" i="39"/>
  <c r="C33" i="39"/>
  <c r="C28" i="39"/>
  <c r="F264" i="5" s="1"/>
  <c r="C26" i="39"/>
  <c r="C23" i="39"/>
  <c r="F259" i="5" s="1"/>
  <c r="C21" i="39"/>
  <c r="F257" i="5" s="1"/>
  <c r="C17" i="39"/>
  <c r="F253" i="5" s="1"/>
  <c r="C13" i="39"/>
  <c r="C12" i="39"/>
  <c r="C8" i="39"/>
  <c r="F244" i="5" s="1"/>
  <c r="C3" i="39"/>
  <c r="F239" i="5" s="1"/>
  <c r="C2" i="39"/>
  <c r="F238" i="5" s="1"/>
  <c r="F234" i="5" l="1"/>
  <c r="F235" i="5"/>
  <c r="F236" i="5"/>
  <c r="F233" i="5"/>
  <c r="F231" i="5"/>
  <c r="F232" i="5"/>
  <c r="F228" i="5"/>
  <c r="F229" i="5"/>
  <c r="F230" i="5"/>
  <c r="F224" i="5"/>
  <c r="F225" i="5"/>
  <c r="F226" i="5"/>
  <c r="F227" i="5"/>
  <c r="F221" i="5"/>
  <c r="F222" i="5"/>
  <c r="F223" i="5"/>
  <c r="F218" i="5"/>
  <c r="F219" i="5"/>
  <c r="F220" i="5"/>
  <c r="F216" i="5"/>
  <c r="F217" i="5"/>
  <c r="F214" i="5"/>
  <c r="F215" i="5"/>
  <c r="F210" i="5"/>
  <c r="F211" i="5"/>
  <c r="F212" i="5"/>
  <c r="F213" i="5"/>
  <c r="F209" i="5"/>
  <c r="F208" i="5"/>
  <c r="F207" i="5"/>
  <c r="F204" i="5"/>
  <c r="F205" i="5"/>
  <c r="F206" i="5"/>
  <c r="F203" i="5"/>
  <c r="F382" i="5" l="1"/>
  <c r="F381" i="5"/>
  <c r="F380" i="5"/>
  <c r="F379" i="5"/>
  <c r="F378" i="5"/>
  <c r="F376" i="5"/>
  <c r="F377" i="5"/>
  <c r="F373" i="5"/>
  <c r="F374" i="5"/>
  <c r="F375" i="5"/>
  <c r="F371" i="5"/>
  <c r="F372" i="5"/>
  <c r="F370" i="5"/>
  <c r="F367" i="5"/>
  <c r="F368" i="5"/>
  <c r="F369" i="5"/>
  <c r="F364" i="5"/>
  <c r="F365" i="5"/>
  <c r="F366" i="5"/>
  <c r="F360" i="5"/>
  <c r="F361" i="5"/>
  <c r="F362" i="5"/>
  <c r="F363" i="5"/>
  <c r="F359" i="5"/>
  <c r="F348" i="5"/>
  <c r="F349" i="5"/>
  <c r="F350" i="5"/>
  <c r="F351" i="5"/>
  <c r="F352" i="5"/>
  <c r="F354" i="5"/>
  <c r="F355" i="5"/>
  <c r="F357" i="5"/>
  <c r="F347" i="5"/>
  <c r="F346" i="5"/>
  <c r="F342" i="5"/>
  <c r="F343" i="5"/>
  <c r="F344" i="5"/>
  <c r="F345" i="5"/>
  <c r="F341" i="5"/>
  <c r="F24" i="37"/>
  <c r="F358" i="5" s="1"/>
  <c r="F22" i="37"/>
  <c r="F356" i="5" s="1"/>
  <c r="F19" i="37"/>
  <c r="F353" i="5" s="1"/>
  <c r="F198" i="5" l="1"/>
  <c r="F199" i="5"/>
  <c r="F200" i="5"/>
  <c r="F201" i="5"/>
  <c r="F197" i="5"/>
  <c r="F194" i="5"/>
  <c r="F195" i="5"/>
  <c r="F196" i="5"/>
  <c r="F190" i="5"/>
  <c r="F191" i="5"/>
  <c r="F192" i="5"/>
  <c r="F193" i="5"/>
  <c r="F186" i="5"/>
  <c r="F187" i="5"/>
  <c r="F188" i="5"/>
  <c r="F189" i="5"/>
  <c r="F183" i="5"/>
  <c r="F184" i="5"/>
  <c r="F185" i="5"/>
  <c r="F180" i="5"/>
  <c r="F181" i="5"/>
  <c r="F182" i="5"/>
  <c r="F178" i="5"/>
  <c r="F179" i="5"/>
  <c r="F175" i="5"/>
  <c r="F176" i="5"/>
  <c r="F177" i="5"/>
  <c r="F174" i="5"/>
  <c r="F173" i="5"/>
  <c r="F171" i="5"/>
  <c r="F172" i="5"/>
  <c r="F170" i="5"/>
  <c r="F166" i="5"/>
  <c r="F167" i="5"/>
  <c r="F168" i="5"/>
  <c r="F165" i="5"/>
  <c r="F163" i="5"/>
  <c r="F164" i="5"/>
  <c r="F162" i="5"/>
  <c r="F156" i="5"/>
  <c r="F157" i="5"/>
  <c r="F158" i="5"/>
  <c r="F159" i="5"/>
  <c r="F160" i="5"/>
  <c r="F161" i="5"/>
  <c r="F152" i="5"/>
  <c r="F153" i="5"/>
  <c r="F154" i="5"/>
  <c r="F155" i="5"/>
  <c r="F148" i="5"/>
  <c r="F149" i="5"/>
  <c r="F150" i="5"/>
  <c r="F151" i="5"/>
  <c r="F143" i="5"/>
  <c r="F144" i="5"/>
  <c r="F145" i="5"/>
  <c r="F146" i="5"/>
  <c r="F147" i="5"/>
  <c r="F138" i="5"/>
  <c r="F139" i="5"/>
  <c r="F140" i="5"/>
  <c r="F141" i="5"/>
  <c r="F142" i="5"/>
  <c r="F134" i="5"/>
  <c r="F135" i="5"/>
  <c r="F136" i="5"/>
  <c r="F137" i="5"/>
  <c r="F133" i="5"/>
  <c r="F130" i="5"/>
  <c r="F131" i="5"/>
  <c r="F132" i="5"/>
  <c r="F129" i="5"/>
  <c r="F66" i="5" l="1"/>
  <c r="F67" i="5"/>
  <c r="F65" i="5"/>
  <c r="F64" i="5"/>
  <c r="F62" i="5"/>
  <c r="F63" i="5"/>
  <c r="F60" i="5"/>
  <c r="F61" i="5"/>
  <c r="F57" i="5"/>
  <c r="F58" i="5"/>
  <c r="F59" i="5"/>
  <c r="F56" i="5"/>
  <c r="F48" i="5"/>
  <c r="F49" i="5"/>
  <c r="F50" i="5"/>
  <c r="F51" i="5"/>
  <c r="F52" i="5"/>
  <c r="F53" i="5"/>
  <c r="F54" i="5"/>
  <c r="F47" i="5"/>
  <c r="F10" i="5"/>
  <c r="F46" i="5"/>
  <c r="F45" i="5"/>
  <c r="F39" i="5"/>
  <c r="F38" i="5"/>
  <c r="F42" i="5"/>
  <c r="F43" i="5"/>
  <c r="F44" i="5"/>
  <c r="F41" i="5"/>
  <c r="F91" i="5"/>
  <c r="F92" i="5"/>
  <c r="F90" i="5"/>
  <c r="F88" i="5"/>
  <c r="F89" i="5" s="1"/>
  <c r="B37" i="34"/>
  <c r="B38" i="34" s="1"/>
  <c r="B35" i="34"/>
  <c r="B34" i="34"/>
  <c r="B33" i="34"/>
  <c r="B31" i="34"/>
  <c r="B30" i="34"/>
  <c r="B29" i="34"/>
  <c r="B28" i="34"/>
  <c r="B27" i="34"/>
  <c r="B26" i="34"/>
  <c r="B25" i="34"/>
  <c r="B20" i="34"/>
  <c r="B19" i="34"/>
  <c r="B18" i="34"/>
  <c r="B17" i="34"/>
  <c r="B16" i="34"/>
  <c r="B15" i="34"/>
  <c r="B9" i="34" s="1"/>
  <c r="B10" i="34"/>
  <c r="B6" i="34"/>
  <c r="B7" i="34" s="1"/>
  <c r="B5" i="34"/>
  <c r="B4" i="34"/>
  <c r="B8" i="34" s="1"/>
  <c r="F31" i="33" l="1"/>
  <c r="E31" i="33"/>
  <c r="E37" i="33" s="1"/>
  <c r="F23" i="33"/>
  <c r="F24" i="33" s="1"/>
  <c r="E23" i="33"/>
  <c r="F22" i="33"/>
  <c r="F21" i="33"/>
  <c r="E16" i="33"/>
  <c r="F16" i="33" s="1"/>
  <c r="F14" i="33"/>
  <c r="F15" i="33" s="1"/>
  <c r="F9" i="33"/>
  <c r="F10" i="33" s="1"/>
  <c r="E9" i="33"/>
  <c r="F8" i="33"/>
  <c r="E7" i="33"/>
  <c r="F7" i="33" s="1"/>
  <c r="E6" i="33"/>
  <c r="F6" i="33" s="1"/>
  <c r="E5" i="33"/>
  <c r="F5" i="33" s="1"/>
  <c r="F4" i="33"/>
  <c r="E36" i="33" l="1"/>
  <c r="E39" i="33"/>
  <c r="F17" i="33"/>
  <c r="E38" i="33"/>
  <c r="I398" i="32" l="1"/>
  <c r="I396" i="32"/>
  <c r="K396" i="32" s="1"/>
  <c r="F8" i="5"/>
  <c r="K1674" i="32"/>
  <c r="K1675" i="32" s="1"/>
  <c r="F394" i="5" s="1"/>
  <c r="K1671" i="32"/>
  <c r="K1670" i="32"/>
  <c r="K1672" i="32" s="1"/>
  <c r="F393" i="5" s="1"/>
  <c r="K1668" i="32"/>
  <c r="F392" i="5" s="1"/>
  <c r="K1594" i="32"/>
  <c r="F391" i="5" s="1"/>
  <c r="K1582" i="32"/>
  <c r="F390" i="5" s="1"/>
  <c r="K1566" i="32"/>
  <c r="K1564" i="32"/>
  <c r="K1562" i="32"/>
  <c r="K1560" i="32"/>
  <c r="K1558" i="32"/>
  <c r="K1555" i="32"/>
  <c r="F387" i="5" s="1"/>
  <c r="K1480" i="32"/>
  <c r="K1479" i="32"/>
  <c r="K1476" i="32"/>
  <c r="K1469" i="32"/>
  <c r="K1466" i="32"/>
  <c r="F385" i="5" s="1"/>
  <c r="K1441" i="32"/>
  <c r="K1440" i="32"/>
  <c r="K1439" i="32"/>
  <c r="K1438" i="32"/>
  <c r="K1436" i="32"/>
  <c r="K1435" i="32"/>
  <c r="K1433" i="32"/>
  <c r="K1432" i="32"/>
  <c r="K1431" i="32"/>
  <c r="K1430" i="32"/>
  <c r="K1428" i="32"/>
  <c r="K1427" i="32"/>
  <c r="K1426" i="32"/>
  <c r="K1425" i="32"/>
  <c r="K1423" i="32"/>
  <c r="K1422" i="32"/>
  <c r="K1421" i="32"/>
  <c r="K1416" i="32"/>
  <c r="K1414" i="32"/>
  <c r="K1412" i="32"/>
  <c r="K1410" i="32"/>
  <c r="K1409" i="32"/>
  <c r="K1408" i="32"/>
  <c r="K1407" i="32"/>
  <c r="K1403" i="32"/>
  <c r="K1401" i="32"/>
  <c r="K1399" i="32"/>
  <c r="K1397" i="32"/>
  <c r="K1396" i="32"/>
  <c r="K1395" i="32"/>
  <c r="K1394" i="32"/>
  <c r="K1393" i="32"/>
  <c r="K1389" i="32"/>
  <c r="K1387" i="32"/>
  <c r="K1385" i="32"/>
  <c r="K1381" i="32"/>
  <c r="K1379" i="32"/>
  <c r="K1375" i="32"/>
  <c r="K1373" i="32"/>
  <c r="K1372" i="32"/>
  <c r="K1371" i="32"/>
  <c r="K1370" i="32"/>
  <c r="K1369" i="32"/>
  <c r="K1368" i="32"/>
  <c r="K1367" i="32"/>
  <c r="K1366" i="32"/>
  <c r="K1365" i="32"/>
  <c r="K1364" i="32"/>
  <c r="K1359" i="32"/>
  <c r="K1358" i="32"/>
  <c r="K1357" i="32"/>
  <c r="K1356" i="32"/>
  <c r="K1355" i="32"/>
  <c r="K1354" i="32"/>
  <c r="K1352" i="32"/>
  <c r="K1351" i="32"/>
  <c r="K1350" i="32"/>
  <c r="K1349" i="32"/>
  <c r="K1348" i="32"/>
  <c r="K1347" i="32"/>
  <c r="K1346" i="32"/>
  <c r="K1345" i="32"/>
  <c r="K1344" i="32"/>
  <c r="K1343" i="32"/>
  <c r="K1342" i="32"/>
  <c r="K1341" i="32"/>
  <c r="K1340" i="32"/>
  <c r="K1338" i="32"/>
  <c r="K1337" i="32"/>
  <c r="K1336" i="32"/>
  <c r="K1335" i="32"/>
  <c r="K1334" i="32"/>
  <c r="K1333" i="32"/>
  <c r="K1332" i="32"/>
  <c r="K1331" i="32"/>
  <c r="K1330" i="32"/>
  <c r="K1329" i="32"/>
  <c r="K1328" i="32"/>
  <c r="K1327" i="32"/>
  <c r="K1326" i="32"/>
  <c r="K1325" i="32"/>
  <c r="K1324" i="32"/>
  <c r="K1323" i="32"/>
  <c r="K1321" i="32"/>
  <c r="K1320" i="32"/>
  <c r="K1319" i="32"/>
  <c r="K1318" i="32"/>
  <c r="K1316" i="32"/>
  <c r="K1315" i="32"/>
  <c r="K1314" i="32"/>
  <c r="K1313" i="32"/>
  <c r="K1312" i="32"/>
  <c r="K1311" i="32"/>
  <c r="K1310" i="32"/>
  <c r="K1309" i="32"/>
  <c r="K1308" i="32"/>
  <c r="K1307" i="32"/>
  <c r="K1306" i="32"/>
  <c r="K1305" i="32"/>
  <c r="K1301" i="32"/>
  <c r="K1300" i="32"/>
  <c r="K1299" i="32"/>
  <c r="K1298" i="32"/>
  <c r="K1297" i="32"/>
  <c r="K1296" i="32"/>
  <c r="K1294" i="32"/>
  <c r="K1293" i="32"/>
  <c r="K1292" i="32"/>
  <c r="K1291" i="32"/>
  <c r="K1290" i="32"/>
  <c r="K1289" i="32"/>
  <c r="K1288" i="32"/>
  <c r="K1287" i="32"/>
  <c r="K1286" i="32"/>
  <c r="K1285" i="32"/>
  <c r="K1284" i="32"/>
  <c r="K1283" i="32"/>
  <c r="K1282" i="32"/>
  <c r="K1280" i="32"/>
  <c r="K1279" i="32"/>
  <c r="K1278" i="32"/>
  <c r="K1277" i="32"/>
  <c r="K1276" i="32"/>
  <c r="K1275" i="32"/>
  <c r="K1274" i="32"/>
  <c r="K1273" i="32"/>
  <c r="K1272" i="32"/>
  <c r="K1271" i="32"/>
  <c r="K1270" i="32"/>
  <c r="K1269" i="32"/>
  <c r="K1268" i="32"/>
  <c r="K1267" i="32"/>
  <c r="K1266" i="32"/>
  <c r="K1265" i="32"/>
  <c r="K1263" i="32"/>
  <c r="K1262" i="32"/>
  <c r="K1261" i="32"/>
  <c r="K1260" i="32"/>
  <c r="K1259" i="32"/>
  <c r="K1258" i="32"/>
  <c r="K1257" i="32"/>
  <c r="K1256" i="32"/>
  <c r="K1255" i="32"/>
  <c r="K1254" i="32"/>
  <c r="K1253" i="32"/>
  <c r="K1252" i="32"/>
  <c r="K1251" i="32"/>
  <c r="K1250" i="32"/>
  <c r="K1249" i="32"/>
  <c r="K1248" i="32"/>
  <c r="K1247" i="32"/>
  <c r="K1246" i="32"/>
  <c r="K1245" i="32"/>
  <c r="K1244" i="32"/>
  <c r="K1243" i="32"/>
  <c r="K1242" i="32"/>
  <c r="K1241" i="32"/>
  <c r="K1240" i="32"/>
  <c r="K1239" i="32"/>
  <c r="K1235" i="32"/>
  <c r="K1234" i="32"/>
  <c r="K1233" i="32"/>
  <c r="K1229" i="32"/>
  <c r="K1230" i="32" s="1"/>
  <c r="F118" i="5" s="1"/>
  <c r="I1225" i="32"/>
  <c r="K1225" i="32" s="1"/>
  <c r="K1226" i="32" s="1"/>
  <c r="F116" i="5" s="1"/>
  <c r="I1222" i="32"/>
  <c r="K1222" i="32" s="1"/>
  <c r="K1223" i="32" s="1"/>
  <c r="F115" i="5" s="1"/>
  <c r="K1219" i="32"/>
  <c r="K1218" i="32"/>
  <c r="K1217" i="32"/>
  <c r="K1216" i="32"/>
  <c r="K1215" i="32"/>
  <c r="K1214" i="32"/>
  <c r="K1213" i="32"/>
  <c r="K1212" i="32"/>
  <c r="K1210" i="32"/>
  <c r="K1209" i="32"/>
  <c r="K1208" i="32"/>
  <c r="K1207" i="32"/>
  <c r="K1205" i="32"/>
  <c r="K1204" i="32"/>
  <c r="K1203" i="32"/>
  <c r="K1202" i="32"/>
  <c r="K1200" i="32"/>
  <c r="K1199" i="32"/>
  <c r="K1198" i="32"/>
  <c r="K1197" i="32"/>
  <c r="K1196" i="32"/>
  <c r="K1195" i="32"/>
  <c r="K1194" i="32"/>
  <c r="K1192" i="32"/>
  <c r="K1191" i="32"/>
  <c r="K1190" i="32"/>
  <c r="K1189" i="32"/>
  <c r="K1188" i="32"/>
  <c r="K1183" i="32"/>
  <c r="K1181" i="32"/>
  <c r="K1179" i="32"/>
  <c r="K1177" i="32"/>
  <c r="K1176" i="32"/>
  <c r="K1175" i="32"/>
  <c r="K1174" i="32"/>
  <c r="K1173" i="32"/>
  <c r="K1172" i="32"/>
  <c r="K1171" i="32"/>
  <c r="K1170" i="32"/>
  <c r="K1169" i="32"/>
  <c r="K1168" i="32"/>
  <c r="K1167" i="32"/>
  <c r="K1166" i="32"/>
  <c r="K1165" i="32"/>
  <c r="K1164" i="32"/>
  <c r="K1163" i="32"/>
  <c r="K1162" i="32"/>
  <c r="K1161" i="32"/>
  <c r="K1160" i="32"/>
  <c r="K1159" i="32"/>
  <c r="K1158" i="32"/>
  <c r="K1157" i="32"/>
  <c r="K1155" i="32"/>
  <c r="K1154" i="32"/>
  <c r="J1150" i="32"/>
  <c r="K1150" i="32" s="1"/>
  <c r="J1148" i="32"/>
  <c r="G1148" i="32"/>
  <c r="J1146" i="32"/>
  <c r="G1146" i="32"/>
  <c r="K1144" i="32"/>
  <c r="K1142" i="32"/>
  <c r="G1140" i="32"/>
  <c r="K1140" i="32" s="1"/>
  <c r="K1139" i="32"/>
  <c r="K1138" i="32"/>
  <c r="K1137" i="32"/>
  <c r="J1133" i="32"/>
  <c r="K1133" i="32" s="1"/>
  <c r="J1131" i="32"/>
  <c r="G1131" i="32"/>
  <c r="J1129" i="32"/>
  <c r="G1129" i="32"/>
  <c r="K1127" i="32"/>
  <c r="K1125" i="32"/>
  <c r="G1123" i="32"/>
  <c r="K1123" i="32" s="1"/>
  <c r="K1122" i="32"/>
  <c r="K1121" i="32"/>
  <c r="K1120" i="32"/>
  <c r="K1116" i="32"/>
  <c r="H1116" i="32"/>
  <c r="K1114" i="32"/>
  <c r="K1113" i="32"/>
  <c r="K1112" i="32"/>
  <c r="K1111" i="32"/>
  <c r="K1110" i="32"/>
  <c r="K1109" i="32"/>
  <c r="K1108" i="32"/>
  <c r="K1107" i="32"/>
  <c r="K1106" i="32"/>
  <c r="K1105" i="32"/>
  <c r="K1104" i="32"/>
  <c r="K1103" i="32"/>
  <c r="K1102" i="32"/>
  <c r="K1100" i="32"/>
  <c r="K1099" i="32"/>
  <c r="K1098" i="32"/>
  <c r="K1097" i="32"/>
  <c r="K1096" i="32"/>
  <c r="K1095" i="32"/>
  <c r="K1094" i="32"/>
  <c r="K1093" i="32"/>
  <c r="K1092" i="32"/>
  <c r="K1091" i="32"/>
  <c r="K1090" i="32"/>
  <c r="K1089" i="32"/>
  <c r="K1088" i="32"/>
  <c r="K1087" i="32"/>
  <c r="K1086" i="32"/>
  <c r="K1085" i="32"/>
  <c r="K1084" i="32"/>
  <c r="K1082" i="32"/>
  <c r="K1081" i="32"/>
  <c r="K1080" i="32"/>
  <c r="K1079" i="32"/>
  <c r="K1078" i="32"/>
  <c r="K1077" i="32"/>
  <c r="K1076" i="32"/>
  <c r="K1075" i="32"/>
  <c r="K1074" i="32"/>
  <c r="K1073" i="32"/>
  <c r="K1072" i="32"/>
  <c r="K1071" i="32"/>
  <c r="K1070" i="32"/>
  <c r="K1069" i="32"/>
  <c r="K1068" i="32"/>
  <c r="K1067" i="32"/>
  <c r="K1065" i="32"/>
  <c r="K1064" i="32"/>
  <c r="K1063" i="32"/>
  <c r="K1062" i="32"/>
  <c r="K1061" i="32"/>
  <c r="K1060" i="32"/>
  <c r="K1059" i="32"/>
  <c r="K1058" i="32"/>
  <c r="K1057" i="32"/>
  <c r="K1056" i="32"/>
  <c r="K1055" i="32"/>
  <c r="K1054" i="32"/>
  <c r="K1053" i="32"/>
  <c r="K1052" i="32"/>
  <c r="K1051" i="32"/>
  <c r="K1050" i="32"/>
  <c r="K1049" i="32"/>
  <c r="K1048" i="32"/>
  <c r="K1047" i="32"/>
  <c r="K1046" i="32"/>
  <c r="K1045" i="32"/>
  <c r="K1044" i="32"/>
  <c r="K1043" i="32"/>
  <c r="K1042" i="32"/>
  <c r="K1041" i="32"/>
  <c r="K1039" i="32"/>
  <c r="K1038" i="32"/>
  <c r="K1037" i="32"/>
  <c r="K1036" i="32"/>
  <c r="K1035" i="32"/>
  <c r="K1034" i="32"/>
  <c r="K1033" i="32"/>
  <c r="K1032" i="32"/>
  <c r="K1031" i="32"/>
  <c r="K1030" i="32"/>
  <c r="K1029" i="32"/>
  <c r="K1028" i="32"/>
  <c r="K1027" i="32"/>
  <c r="K1026" i="32"/>
  <c r="K1025" i="32"/>
  <c r="K1024" i="32"/>
  <c r="K1023" i="32"/>
  <c r="K1022" i="32"/>
  <c r="K1018" i="32"/>
  <c r="H1018" i="32"/>
  <c r="K1016" i="32"/>
  <c r="K1015" i="32"/>
  <c r="K1014" i="32"/>
  <c r="K1012" i="32"/>
  <c r="K1011" i="32"/>
  <c r="K1010" i="32"/>
  <c r="K1009" i="32"/>
  <c r="K1008" i="32"/>
  <c r="I1004" i="32"/>
  <c r="K1004" i="32" s="1"/>
  <c r="I1003" i="32"/>
  <c r="K1003" i="32" s="1"/>
  <c r="I1002" i="32"/>
  <c r="K1002" i="32" s="1"/>
  <c r="I1001" i="32"/>
  <c r="K1001" i="32" s="1"/>
  <c r="I1000" i="32"/>
  <c r="K1000" i="32" s="1"/>
  <c r="I999" i="32"/>
  <c r="K999" i="32" s="1"/>
  <c r="I998" i="32"/>
  <c r="K998" i="32" s="1"/>
  <c r="I997" i="32"/>
  <c r="K997" i="32" s="1"/>
  <c r="I996" i="32"/>
  <c r="K996" i="32" s="1"/>
  <c r="I995" i="32"/>
  <c r="K995" i="32" s="1"/>
  <c r="I994" i="32"/>
  <c r="K994" i="32" s="1"/>
  <c r="I993" i="32"/>
  <c r="K993" i="32" s="1"/>
  <c r="I992" i="32"/>
  <c r="K992" i="32" s="1"/>
  <c r="I991" i="32"/>
  <c r="K991" i="32" s="1"/>
  <c r="I990" i="32"/>
  <c r="K990" i="32" s="1"/>
  <c r="I989" i="32"/>
  <c r="K989" i="32" s="1"/>
  <c r="I988" i="32"/>
  <c r="K988" i="32" s="1"/>
  <c r="I986" i="32"/>
  <c r="G986" i="32"/>
  <c r="I985" i="32"/>
  <c r="G985" i="32"/>
  <c r="I984" i="32"/>
  <c r="G984" i="32"/>
  <c r="I983" i="32"/>
  <c r="G983" i="32"/>
  <c r="I982" i="32"/>
  <c r="G982" i="32"/>
  <c r="I981" i="32"/>
  <c r="G981" i="32"/>
  <c r="I980" i="32"/>
  <c r="G980" i="32"/>
  <c r="I979" i="32"/>
  <c r="G979" i="32"/>
  <c r="I978" i="32"/>
  <c r="G978" i="32"/>
  <c r="I977" i="32"/>
  <c r="G977" i="32"/>
  <c r="I976" i="32"/>
  <c r="G976" i="32"/>
  <c r="I975" i="32"/>
  <c r="G975" i="32"/>
  <c r="I974" i="32"/>
  <c r="G974" i="32"/>
  <c r="I973" i="32"/>
  <c r="K973" i="32" s="1"/>
  <c r="I972" i="32"/>
  <c r="K972" i="32" s="1"/>
  <c r="I971" i="32"/>
  <c r="K971" i="32" s="1"/>
  <c r="I970" i="32"/>
  <c r="K970" i="32" s="1"/>
  <c r="I968" i="32"/>
  <c r="G968" i="32"/>
  <c r="I967" i="32"/>
  <c r="G967" i="32"/>
  <c r="I966" i="32"/>
  <c r="G966" i="32"/>
  <c r="I965" i="32"/>
  <c r="H965" i="32"/>
  <c r="G965" i="32"/>
  <c r="I964" i="32"/>
  <c r="H964" i="32"/>
  <c r="G964" i="32"/>
  <c r="I963" i="32"/>
  <c r="G963" i="32"/>
  <c r="I962" i="32"/>
  <c r="G962" i="32"/>
  <c r="I961" i="32"/>
  <c r="G961" i="32"/>
  <c r="I960" i="32"/>
  <c r="G960" i="32"/>
  <c r="I959" i="32"/>
  <c r="G959" i="32"/>
  <c r="I958" i="32"/>
  <c r="G958" i="32"/>
  <c r="I957" i="32"/>
  <c r="G957" i="32"/>
  <c r="I956" i="32"/>
  <c r="H956" i="32"/>
  <c r="G956" i="32"/>
  <c r="I955" i="32"/>
  <c r="H955" i="32"/>
  <c r="G955" i="32"/>
  <c r="I954" i="32"/>
  <c r="G954" i="32"/>
  <c r="I953" i="32"/>
  <c r="G953" i="32"/>
  <c r="I951" i="32"/>
  <c r="K951" i="32" s="1"/>
  <c r="I950" i="32"/>
  <c r="K950" i="32" s="1"/>
  <c r="I949" i="32"/>
  <c r="K949" i="32" s="1"/>
  <c r="I948" i="32"/>
  <c r="K948" i="32" s="1"/>
  <c r="I947" i="32"/>
  <c r="H947" i="32"/>
  <c r="I946" i="32"/>
  <c r="H946" i="32"/>
  <c r="I945" i="32"/>
  <c r="K945" i="32" s="1"/>
  <c r="I944" i="32"/>
  <c r="K944" i="32" s="1"/>
  <c r="I943" i="32"/>
  <c r="K943" i="32" s="1"/>
  <c r="I942" i="32"/>
  <c r="K942" i="32" s="1"/>
  <c r="I941" i="32"/>
  <c r="K941" i="32" s="1"/>
  <c r="I940" i="32"/>
  <c r="K940" i="32" s="1"/>
  <c r="I939" i="32"/>
  <c r="K939" i="32" s="1"/>
  <c r="I938" i="32"/>
  <c r="K938" i="32" s="1"/>
  <c r="I937" i="32"/>
  <c r="K937" i="32" s="1"/>
  <c r="I936" i="32"/>
  <c r="H936" i="32"/>
  <c r="I935" i="32"/>
  <c r="K935" i="32" s="1"/>
  <c r="I934" i="32"/>
  <c r="H934" i="32"/>
  <c r="I933" i="32"/>
  <c r="H933" i="32"/>
  <c r="I932" i="32"/>
  <c r="H932" i="32"/>
  <c r="I931" i="32"/>
  <c r="H931" i="32"/>
  <c r="I930" i="32"/>
  <c r="K930" i="32" s="1"/>
  <c r="I929" i="32"/>
  <c r="K929" i="32" s="1"/>
  <c r="I928" i="32"/>
  <c r="K928" i="32" s="1"/>
  <c r="I926" i="32"/>
  <c r="K926" i="32" s="1"/>
  <c r="K925" i="32"/>
  <c r="I924" i="32"/>
  <c r="K924" i="32" s="1"/>
  <c r="I923" i="32"/>
  <c r="K923" i="32" s="1"/>
  <c r="I922" i="32"/>
  <c r="K922" i="32" s="1"/>
  <c r="I921" i="32"/>
  <c r="K921" i="32" s="1"/>
  <c r="I920" i="32"/>
  <c r="K920" i="32" s="1"/>
  <c r="I919" i="32"/>
  <c r="K919" i="32" s="1"/>
  <c r="I918" i="32"/>
  <c r="K918" i="32" s="1"/>
  <c r="I917" i="32"/>
  <c r="H917" i="32"/>
  <c r="I916" i="32"/>
  <c r="H916" i="32"/>
  <c r="I915" i="32"/>
  <c r="K915" i="32" s="1"/>
  <c r="I914" i="32"/>
  <c r="K914" i="32" s="1"/>
  <c r="K913" i="32"/>
  <c r="I913" i="32"/>
  <c r="I912" i="32"/>
  <c r="K912" i="32" s="1"/>
  <c r="I911" i="32"/>
  <c r="K911" i="32" s="1"/>
  <c r="I910" i="32"/>
  <c r="K910" i="32" s="1"/>
  <c r="I909" i="32"/>
  <c r="K909" i="32" s="1"/>
  <c r="I904" i="32"/>
  <c r="K904" i="32" s="1"/>
  <c r="I903" i="32"/>
  <c r="K903" i="32" s="1"/>
  <c r="I902" i="32"/>
  <c r="K902" i="32" s="1"/>
  <c r="I901" i="32"/>
  <c r="K901" i="32" s="1"/>
  <c r="I900" i="32"/>
  <c r="K900" i="32" s="1"/>
  <c r="I899" i="32"/>
  <c r="K899" i="32" s="1"/>
  <c r="I898" i="32"/>
  <c r="K898" i="32" s="1"/>
  <c r="I897" i="32"/>
  <c r="K897" i="32" s="1"/>
  <c r="I896" i="32"/>
  <c r="K896" i="32" s="1"/>
  <c r="I895" i="32"/>
  <c r="K895" i="32" s="1"/>
  <c r="I894" i="32"/>
  <c r="K894" i="32" s="1"/>
  <c r="I893" i="32"/>
  <c r="K893" i="32" s="1"/>
  <c r="I892" i="32"/>
  <c r="K892" i="32" s="1"/>
  <c r="I891" i="32"/>
  <c r="K891" i="32" s="1"/>
  <c r="I890" i="32"/>
  <c r="K890" i="32" s="1"/>
  <c r="I889" i="32"/>
  <c r="K889" i="32" s="1"/>
  <c r="I888" i="32"/>
  <c r="K888" i="32" s="1"/>
  <c r="I886" i="32"/>
  <c r="G886" i="32"/>
  <c r="I885" i="32"/>
  <c r="G885" i="32"/>
  <c r="I884" i="32"/>
  <c r="G884" i="32"/>
  <c r="I883" i="32"/>
  <c r="G883" i="32"/>
  <c r="I882" i="32"/>
  <c r="G882" i="32"/>
  <c r="I881" i="32"/>
  <c r="G881" i="32"/>
  <c r="I880" i="32"/>
  <c r="G880" i="32"/>
  <c r="I879" i="32"/>
  <c r="G879" i="32"/>
  <c r="I878" i="32"/>
  <c r="G878" i="32"/>
  <c r="I877" i="32"/>
  <c r="G877" i="32"/>
  <c r="I876" i="32"/>
  <c r="G876" i="32"/>
  <c r="I875" i="32"/>
  <c r="G875" i="32"/>
  <c r="I874" i="32"/>
  <c r="G874" i="32"/>
  <c r="I873" i="32"/>
  <c r="K873" i="32" s="1"/>
  <c r="I872" i="32"/>
  <c r="K872" i="32" s="1"/>
  <c r="I871" i="32"/>
  <c r="K871" i="32" s="1"/>
  <c r="I870" i="32"/>
  <c r="K870" i="32" s="1"/>
  <c r="I868" i="32"/>
  <c r="G868" i="32"/>
  <c r="I867" i="32"/>
  <c r="G867" i="32"/>
  <c r="I866" i="32"/>
  <c r="G866" i="32"/>
  <c r="I865" i="32"/>
  <c r="H865" i="32"/>
  <c r="G865" i="32"/>
  <c r="I864" i="32"/>
  <c r="H864" i="32"/>
  <c r="G864" i="32"/>
  <c r="I863" i="32"/>
  <c r="G863" i="32"/>
  <c r="I862" i="32"/>
  <c r="G862" i="32"/>
  <c r="I861" i="32"/>
  <c r="G861" i="32"/>
  <c r="I860" i="32"/>
  <c r="G860" i="32"/>
  <c r="I859" i="32"/>
  <c r="G859" i="32"/>
  <c r="I858" i="32"/>
  <c r="G858" i="32"/>
  <c r="I857" i="32"/>
  <c r="G857" i="32"/>
  <c r="I856" i="32"/>
  <c r="H856" i="32"/>
  <c r="G856" i="32"/>
  <c r="I855" i="32"/>
  <c r="H855" i="32"/>
  <c r="G855" i="32"/>
  <c r="I854" i="32"/>
  <c r="G854" i="32"/>
  <c r="I853" i="32"/>
  <c r="G853" i="32"/>
  <c r="I851" i="32"/>
  <c r="K851" i="32" s="1"/>
  <c r="I850" i="32"/>
  <c r="K850" i="32" s="1"/>
  <c r="I849" i="32"/>
  <c r="K849" i="32" s="1"/>
  <c r="I848" i="32"/>
  <c r="K848" i="32" s="1"/>
  <c r="I847" i="32"/>
  <c r="H847" i="32"/>
  <c r="I846" i="32"/>
  <c r="H846" i="32"/>
  <c r="I845" i="32"/>
  <c r="K845" i="32" s="1"/>
  <c r="I844" i="32"/>
  <c r="K844" i="32" s="1"/>
  <c r="I843" i="32"/>
  <c r="K843" i="32" s="1"/>
  <c r="I842" i="32"/>
  <c r="K842" i="32" s="1"/>
  <c r="I841" i="32"/>
  <c r="K841" i="32" s="1"/>
  <c r="I840" i="32"/>
  <c r="K840" i="32" s="1"/>
  <c r="I839" i="32"/>
  <c r="K839" i="32" s="1"/>
  <c r="I838" i="32"/>
  <c r="K838" i="32" s="1"/>
  <c r="I837" i="32"/>
  <c r="K837" i="32" s="1"/>
  <c r="I836" i="32"/>
  <c r="H836" i="32"/>
  <c r="I835" i="32"/>
  <c r="K835" i="32" s="1"/>
  <c r="I834" i="32"/>
  <c r="H834" i="32"/>
  <c r="I833" i="32"/>
  <c r="H833" i="32"/>
  <c r="I832" i="32"/>
  <c r="H832" i="32"/>
  <c r="I831" i="32"/>
  <c r="H831" i="32"/>
  <c r="I830" i="32"/>
  <c r="K830" i="32" s="1"/>
  <c r="I829" i="32"/>
  <c r="K829" i="32" s="1"/>
  <c r="I828" i="32"/>
  <c r="K828" i="32" s="1"/>
  <c r="I826" i="32"/>
  <c r="K826" i="32" s="1"/>
  <c r="K825" i="32"/>
  <c r="I824" i="32"/>
  <c r="K824" i="32" s="1"/>
  <c r="I823" i="32"/>
  <c r="K823" i="32" s="1"/>
  <c r="I822" i="32"/>
  <c r="K822" i="32" s="1"/>
  <c r="I821" i="32"/>
  <c r="K821" i="32" s="1"/>
  <c r="I820" i="32"/>
  <c r="K820" i="32" s="1"/>
  <c r="I819" i="32"/>
  <c r="K819" i="32" s="1"/>
  <c r="I818" i="32"/>
  <c r="K818" i="32" s="1"/>
  <c r="I817" i="32"/>
  <c r="H817" i="32"/>
  <c r="I816" i="32"/>
  <c r="H816" i="32"/>
  <c r="I815" i="32"/>
  <c r="K815" i="32" s="1"/>
  <c r="I814" i="32"/>
  <c r="K814" i="32" s="1"/>
  <c r="I813" i="32"/>
  <c r="K813" i="32" s="1"/>
  <c r="I812" i="32"/>
  <c r="K812" i="32" s="1"/>
  <c r="I811" i="32"/>
  <c r="K811" i="32" s="1"/>
  <c r="I810" i="32"/>
  <c r="K810" i="32" s="1"/>
  <c r="I809" i="32"/>
  <c r="K809" i="32" s="1"/>
  <c r="K804" i="32"/>
  <c r="K803" i="32"/>
  <c r="K802" i="32"/>
  <c r="K800" i="32"/>
  <c r="K799" i="32"/>
  <c r="K798" i="32"/>
  <c r="K797" i="32"/>
  <c r="K796" i="32"/>
  <c r="K792" i="32"/>
  <c r="F103" i="5" s="1"/>
  <c r="G787" i="32"/>
  <c r="K787" i="32" s="1"/>
  <c r="G786" i="32"/>
  <c r="K786" i="32" s="1"/>
  <c r="I784" i="32"/>
  <c r="K784" i="32" s="1"/>
  <c r="I783" i="32"/>
  <c r="K783" i="32" s="1"/>
  <c r="I782" i="32"/>
  <c r="K782" i="32" s="1"/>
  <c r="I781" i="32"/>
  <c r="K781" i="32" s="1"/>
  <c r="I779" i="32"/>
  <c r="K779" i="32" s="1"/>
  <c r="I778" i="32"/>
  <c r="K778" i="32" s="1"/>
  <c r="I776" i="32"/>
  <c r="K776" i="32" s="1"/>
  <c r="I775" i="32"/>
  <c r="K775" i="32" s="1"/>
  <c r="I774" i="32"/>
  <c r="K774" i="32" s="1"/>
  <c r="I773" i="32"/>
  <c r="K773" i="32" s="1"/>
  <c r="I771" i="32"/>
  <c r="K771" i="32" s="1"/>
  <c r="G770" i="32"/>
  <c r="K770" i="32" s="1"/>
  <c r="I769" i="32"/>
  <c r="K769" i="32" s="1"/>
  <c r="I768" i="32"/>
  <c r="K768" i="32" s="1"/>
  <c r="I767" i="32"/>
  <c r="K767" i="32" s="1"/>
  <c r="I766" i="32"/>
  <c r="K766" i="32" s="1"/>
  <c r="I765" i="32"/>
  <c r="K765" i="32" s="1"/>
  <c r="I764" i="32"/>
  <c r="K764" i="32" s="1"/>
  <c r="I762" i="32"/>
  <c r="K762" i="32" s="1"/>
  <c r="I761" i="32"/>
  <c r="K761" i="32" s="1"/>
  <c r="I760" i="32"/>
  <c r="K760" i="32" s="1"/>
  <c r="J756" i="32"/>
  <c r="K756" i="32" s="1"/>
  <c r="J755" i="32"/>
  <c r="K755" i="32" s="1"/>
  <c r="J754" i="32"/>
  <c r="K754" i="32" s="1"/>
  <c r="J753" i="32"/>
  <c r="K753" i="32" s="1"/>
  <c r="J751" i="32"/>
  <c r="K751" i="32" s="1"/>
  <c r="J750" i="32"/>
  <c r="K750" i="32" s="1"/>
  <c r="J749" i="32"/>
  <c r="K749" i="32" s="1"/>
  <c r="J748" i="32"/>
  <c r="K748" i="32" s="1"/>
  <c r="J747" i="32"/>
  <c r="K747" i="32" s="1"/>
  <c r="J745" i="32"/>
  <c r="K745" i="32" s="1"/>
  <c r="J744" i="32"/>
  <c r="K744" i="32" s="1"/>
  <c r="J743" i="32"/>
  <c r="K743" i="32" s="1"/>
  <c r="G740" i="32"/>
  <c r="K740" i="32" s="1"/>
  <c r="K738" i="32"/>
  <c r="K737" i="32"/>
  <c r="K736" i="32"/>
  <c r="J734" i="32"/>
  <c r="G734" i="32"/>
  <c r="K733" i="32"/>
  <c r="K732" i="32"/>
  <c r="J731" i="32"/>
  <c r="K731" i="32" s="1"/>
  <c r="J730" i="32"/>
  <c r="K730" i="32" s="1"/>
  <c r="G729" i="32"/>
  <c r="K729" i="32" s="1"/>
  <c r="K728" i="32"/>
  <c r="J727" i="32"/>
  <c r="G727" i="32"/>
  <c r="K726" i="32"/>
  <c r="J725" i="32"/>
  <c r="K725" i="32" s="1"/>
  <c r="K724" i="32"/>
  <c r="K723" i="32"/>
  <c r="K722" i="32"/>
  <c r="J720" i="32"/>
  <c r="G720" i="32"/>
  <c r="K719" i="32"/>
  <c r="K718" i="32"/>
  <c r="K717" i="32"/>
  <c r="K716" i="32"/>
  <c r="K715" i="32"/>
  <c r="K713" i="32"/>
  <c r="J712" i="32"/>
  <c r="K712" i="32" s="1"/>
  <c r="K711" i="32"/>
  <c r="K710" i="32"/>
  <c r="K709" i="32"/>
  <c r="J708" i="32"/>
  <c r="K708" i="32" s="1"/>
  <c r="K707" i="32"/>
  <c r="K706" i="32"/>
  <c r="G705" i="32"/>
  <c r="K705" i="32" s="1"/>
  <c r="G704" i="32"/>
  <c r="K704" i="32" s="1"/>
  <c r="J703" i="32"/>
  <c r="G703" i="32"/>
  <c r="J702" i="32"/>
  <c r="K702" i="32" s="1"/>
  <c r="K701" i="32"/>
  <c r="K700" i="32"/>
  <c r="K699" i="32"/>
  <c r="J697" i="32"/>
  <c r="G697" i="32"/>
  <c r="K696" i="32"/>
  <c r="H695" i="32"/>
  <c r="K695" i="32" s="1"/>
  <c r="K694" i="32"/>
  <c r="J693" i="32"/>
  <c r="G693" i="32"/>
  <c r="K691" i="32"/>
  <c r="K690" i="32"/>
  <c r="K689" i="32"/>
  <c r="K688" i="32"/>
  <c r="G687" i="32"/>
  <c r="K687" i="32" s="1"/>
  <c r="J686" i="32"/>
  <c r="G686" i="32"/>
  <c r="K684" i="32"/>
  <c r="K683" i="32"/>
  <c r="K682" i="32"/>
  <c r="K681" i="32"/>
  <c r="K680" i="32"/>
  <c r="K679" i="32"/>
  <c r="K678" i="32"/>
  <c r="K677" i="32"/>
  <c r="G673" i="32"/>
  <c r="K673" i="32" s="1"/>
  <c r="K671" i="32"/>
  <c r="K670" i="32"/>
  <c r="K669" i="32"/>
  <c r="I667" i="32"/>
  <c r="G667" i="32"/>
  <c r="K666" i="32"/>
  <c r="K665" i="32"/>
  <c r="I664" i="32"/>
  <c r="K664" i="32" s="1"/>
  <c r="I663" i="32"/>
  <c r="K663" i="32" s="1"/>
  <c r="G662" i="32"/>
  <c r="K662" i="32" s="1"/>
  <c r="K661" i="32"/>
  <c r="I660" i="32"/>
  <c r="G660" i="32"/>
  <c r="K659" i="32"/>
  <c r="I658" i="32"/>
  <c r="K658" i="32" s="1"/>
  <c r="K657" i="32"/>
  <c r="K656" i="32"/>
  <c r="K655" i="32"/>
  <c r="J653" i="32"/>
  <c r="G653" i="32"/>
  <c r="K652" i="32"/>
  <c r="K651" i="32"/>
  <c r="K650" i="32"/>
  <c r="K649" i="32"/>
  <c r="K648" i="32"/>
  <c r="K646" i="32"/>
  <c r="J645" i="32"/>
  <c r="K645" i="32" s="1"/>
  <c r="K644" i="32"/>
  <c r="K643" i="32"/>
  <c r="K642" i="32"/>
  <c r="J641" i="32"/>
  <c r="K641" i="32" s="1"/>
  <c r="K640" i="32"/>
  <c r="K639" i="32"/>
  <c r="G638" i="32"/>
  <c r="K638" i="32" s="1"/>
  <c r="G637" i="32"/>
  <c r="K637" i="32" s="1"/>
  <c r="J636" i="32"/>
  <c r="G636" i="32"/>
  <c r="J635" i="32"/>
  <c r="K635" i="32" s="1"/>
  <c r="K634" i="32"/>
  <c r="K633" i="32"/>
  <c r="K632" i="32"/>
  <c r="J630" i="32"/>
  <c r="G630" i="32"/>
  <c r="K629" i="32"/>
  <c r="H628" i="32"/>
  <c r="K628" i="32" s="1"/>
  <c r="K627" i="32"/>
  <c r="J626" i="32"/>
  <c r="G626" i="32"/>
  <c r="K624" i="32"/>
  <c r="K623" i="32"/>
  <c r="K622" i="32"/>
  <c r="K621" i="32"/>
  <c r="G620" i="32"/>
  <c r="K620" i="32" s="1"/>
  <c r="J619" i="32"/>
  <c r="G619" i="32"/>
  <c r="K617" i="32"/>
  <c r="K616" i="32"/>
  <c r="K615" i="32"/>
  <c r="K614" i="32"/>
  <c r="K613" i="32"/>
  <c r="K612" i="32"/>
  <c r="K611" i="32"/>
  <c r="K610" i="32"/>
  <c r="H604" i="32"/>
  <c r="K604" i="32" s="1"/>
  <c r="K602" i="32"/>
  <c r="K600" i="32"/>
  <c r="K598" i="32"/>
  <c r="K596" i="32"/>
  <c r="K594" i="32"/>
  <c r="K589" i="32"/>
  <c r="K590" i="32" s="1"/>
  <c r="F96" i="5" s="1"/>
  <c r="K586" i="32"/>
  <c r="K587" i="32" s="1"/>
  <c r="F95" i="5" s="1"/>
  <c r="K583" i="32"/>
  <c r="K584" i="32" s="1"/>
  <c r="F94" i="5" s="1"/>
  <c r="K580" i="32"/>
  <c r="K581" i="32" s="1"/>
  <c r="F93" i="5" s="1"/>
  <c r="K576" i="32"/>
  <c r="K577" i="32" s="1"/>
  <c r="F84" i="5" s="1"/>
  <c r="K573" i="32"/>
  <c r="K571" i="32"/>
  <c r="K570" i="32"/>
  <c r="K566" i="32"/>
  <c r="K567" i="32" s="1"/>
  <c r="F82" i="5" s="1"/>
  <c r="K563" i="32"/>
  <c r="K561" i="32"/>
  <c r="K559" i="32"/>
  <c r="K557" i="32"/>
  <c r="K553" i="32"/>
  <c r="K554" i="32" s="1"/>
  <c r="F80" i="5" s="1"/>
  <c r="K549" i="32"/>
  <c r="K548" i="32"/>
  <c r="K544" i="32"/>
  <c r="K542" i="32"/>
  <c r="K541" i="32"/>
  <c r="K539" i="32"/>
  <c r="K538" i="32"/>
  <c r="K536" i="32"/>
  <c r="K535" i="32"/>
  <c r="K533" i="32"/>
  <c r="K532" i="32"/>
  <c r="K528" i="32"/>
  <c r="K526" i="32"/>
  <c r="K524" i="32"/>
  <c r="K502" i="32"/>
  <c r="K501" i="32"/>
  <c r="K500" i="32"/>
  <c r="W499" i="32"/>
  <c r="K499" i="32"/>
  <c r="W498" i="32"/>
  <c r="K498" i="32"/>
  <c r="K497" i="32"/>
  <c r="K496" i="32"/>
  <c r="W495" i="32"/>
  <c r="K495" i="32"/>
  <c r="W493" i="32"/>
  <c r="W492" i="32"/>
  <c r="G490" i="32"/>
  <c r="K490" i="32" s="1"/>
  <c r="K491" i="32" s="1"/>
  <c r="F75" i="5" s="1"/>
  <c r="K487" i="32"/>
  <c r="G486" i="32"/>
  <c r="K486" i="32" s="1"/>
  <c r="G483" i="32"/>
  <c r="K483" i="32" s="1"/>
  <c r="K484" i="32" s="1"/>
  <c r="F73" i="5" s="1"/>
  <c r="G480" i="32"/>
  <c r="K480" i="32" s="1"/>
  <c r="K481" i="32" s="1"/>
  <c r="F72" i="5" s="1"/>
  <c r="I477" i="32"/>
  <c r="G477" i="32"/>
  <c r="I476" i="32"/>
  <c r="K476" i="32" s="1"/>
  <c r="G476" i="32"/>
  <c r="I472" i="32"/>
  <c r="G472" i="32"/>
  <c r="I470" i="32"/>
  <c r="K470" i="32" s="1"/>
  <c r="I469" i="32"/>
  <c r="K469" i="32" s="1"/>
  <c r="K468" i="32"/>
  <c r="K467" i="32"/>
  <c r="K466" i="32"/>
  <c r="G465" i="32"/>
  <c r="K465" i="32" s="1"/>
  <c r="I464" i="32"/>
  <c r="K464" i="32" s="1"/>
  <c r="W461" i="32"/>
  <c r="G460" i="32"/>
  <c r="K460" i="32" s="1"/>
  <c r="K458" i="32"/>
  <c r="K456" i="32"/>
  <c r="K454" i="32"/>
  <c r="K453" i="32"/>
  <c r="I452" i="32"/>
  <c r="G452" i="32"/>
  <c r="K452" i="32" s="1"/>
  <c r="G451" i="32"/>
  <c r="K451" i="32" s="1"/>
  <c r="K450" i="32"/>
  <c r="I449" i="32"/>
  <c r="G449" i="32"/>
  <c r="K448" i="32"/>
  <c r="I447" i="32"/>
  <c r="K447" i="32" s="1"/>
  <c r="K446" i="32"/>
  <c r="K445" i="32"/>
  <c r="K444" i="32"/>
  <c r="K442" i="32"/>
  <c r="K441" i="32"/>
  <c r="K440" i="32"/>
  <c r="K439" i="32"/>
  <c r="K438" i="32"/>
  <c r="K436" i="32"/>
  <c r="V435" i="32"/>
  <c r="K435" i="32"/>
  <c r="K434" i="32"/>
  <c r="K433" i="32"/>
  <c r="I432" i="32"/>
  <c r="K432" i="32" s="1"/>
  <c r="K431" i="32"/>
  <c r="K430" i="32"/>
  <c r="G429" i="32"/>
  <c r="K429" i="32" s="1"/>
  <c r="G428" i="32"/>
  <c r="K428" i="32" s="1"/>
  <c r="I427" i="32"/>
  <c r="G427" i="32"/>
  <c r="I426" i="32"/>
  <c r="K426" i="32" s="1"/>
  <c r="K425" i="32"/>
  <c r="K424" i="32"/>
  <c r="K423" i="32"/>
  <c r="K421" i="32"/>
  <c r="I420" i="32"/>
  <c r="G420" i="32"/>
  <c r="K418" i="32"/>
  <c r="K417" i="32"/>
  <c r="K416" i="32"/>
  <c r="K415" i="32"/>
  <c r="G414" i="32"/>
  <c r="K414" i="32" s="1"/>
  <c r="I413" i="32"/>
  <c r="G413" i="32"/>
  <c r="K411" i="32"/>
  <c r="K410" i="32"/>
  <c r="K409" i="32"/>
  <c r="K408" i="32"/>
  <c r="K407" i="32"/>
  <c r="K386" i="32"/>
  <c r="F36" i="5" s="1"/>
  <c r="H382" i="32"/>
  <c r="K382" i="32" s="1"/>
  <c r="F34" i="5" s="1"/>
  <c r="K380" i="32"/>
  <c r="F33" i="5" s="1"/>
  <c r="K378" i="32"/>
  <c r="F32" i="5" s="1"/>
  <c r="K376" i="32"/>
  <c r="F31" i="5" s="1"/>
  <c r="K374" i="32"/>
  <c r="F30" i="5" s="1"/>
  <c r="K372" i="32"/>
  <c r="F29" i="5" s="1"/>
  <c r="K370" i="32"/>
  <c r="F28" i="5" s="1"/>
  <c r="K368" i="32"/>
  <c r="F27" i="5" s="1"/>
  <c r="K366" i="32"/>
  <c r="K364" i="32"/>
  <c r="K359" i="32"/>
  <c r="K358" i="32"/>
  <c r="K354" i="32"/>
  <c r="K352" i="32"/>
  <c r="K241" i="32"/>
  <c r="K239" i="32"/>
  <c r="K339" i="32"/>
  <c r="K338" i="32"/>
  <c r="K336" i="32"/>
  <c r="K335" i="32"/>
  <c r="G331" i="32"/>
  <c r="K331" i="32" s="1"/>
  <c r="K330" i="32"/>
  <c r="I328" i="32"/>
  <c r="K328" i="32" s="1"/>
  <c r="G327" i="32"/>
  <c r="K327" i="32" s="1"/>
  <c r="I325" i="32"/>
  <c r="K325" i="32" s="1"/>
  <c r="I324" i="32"/>
  <c r="K324" i="32" s="1"/>
  <c r="I323" i="32"/>
  <c r="K323" i="32" s="1"/>
  <c r="K237" i="32"/>
  <c r="K236" i="32"/>
  <c r="K234" i="32"/>
  <c r="K233" i="32"/>
  <c r="K231" i="32"/>
  <c r="K230" i="32"/>
  <c r="K228" i="32"/>
  <c r="K227" i="32"/>
  <c r="K225" i="32"/>
  <c r="K224" i="32"/>
  <c r="K319" i="32"/>
  <c r="I317" i="32"/>
  <c r="K317" i="32" s="1"/>
  <c r="I316" i="32"/>
  <c r="K316" i="32" s="1"/>
  <c r="I315" i="32"/>
  <c r="K315" i="32" s="1"/>
  <c r="I314" i="32"/>
  <c r="K314" i="32" s="1"/>
  <c r="I313" i="32"/>
  <c r="K313" i="32" s="1"/>
  <c r="K312" i="32"/>
  <c r="I311" i="32"/>
  <c r="K311" i="32" s="1"/>
  <c r="I310" i="32"/>
  <c r="K310" i="32" s="1"/>
  <c r="I309" i="32"/>
  <c r="K309" i="32" s="1"/>
  <c r="I308" i="32"/>
  <c r="K308" i="32" s="1"/>
  <c r="I307" i="32"/>
  <c r="K307" i="32" s="1"/>
  <c r="I306" i="32"/>
  <c r="K306" i="32" s="1"/>
  <c r="I305" i="32"/>
  <c r="K305" i="32" s="1"/>
  <c r="G304" i="32"/>
  <c r="K304" i="32" s="1"/>
  <c r="I303" i="32"/>
  <c r="G303" i="32"/>
  <c r="K303" i="32" s="1"/>
  <c r="I301" i="32"/>
  <c r="G301" i="32"/>
  <c r="I300" i="32"/>
  <c r="G300" i="32"/>
  <c r="G299" i="32"/>
  <c r="K299" i="32" s="1"/>
  <c r="K298" i="32"/>
  <c r="I297" i="32"/>
  <c r="G297" i="32"/>
  <c r="K296" i="32"/>
  <c r="K295" i="32"/>
  <c r="K294" i="32"/>
  <c r="K292" i="32"/>
  <c r="K291" i="32"/>
  <c r="K290" i="32"/>
  <c r="K289" i="32"/>
  <c r="I288" i="32"/>
  <c r="G288" i="32"/>
  <c r="G286" i="32"/>
  <c r="K286" i="32" s="1"/>
  <c r="K285" i="32"/>
  <c r="G284" i="32"/>
  <c r="K284" i="32" s="1"/>
  <c r="I283" i="32"/>
  <c r="G283" i="32"/>
  <c r="G282" i="32"/>
  <c r="K282" i="32" s="1"/>
  <c r="K281" i="32"/>
  <c r="G280" i="32"/>
  <c r="K280" i="32" s="1"/>
  <c r="K279" i="32"/>
  <c r="K278" i="32"/>
  <c r="I277" i="32"/>
  <c r="K277" i="32" s="1"/>
  <c r="K276" i="32"/>
  <c r="K275" i="32"/>
  <c r="K274" i="32"/>
  <c r="K273" i="32"/>
  <c r="K271" i="32"/>
  <c r="I270" i="32"/>
  <c r="G270" i="32"/>
  <c r="I269" i="32"/>
  <c r="G269" i="32"/>
  <c r="K268" i="32"/>
  <c r="G267" i="32"/>
  <c r="K267" i="32" s="1"/>
  <c r="K266" i="32"/>
  <c r="K265" i="32"/>
  <c r="K264" i="32"/>
  <c r="K263" i="32"/>
  <c r="I262" i="32"/>
  <c r="G262" i="32"/>
  <c r="K261" i="32"/>
  <c r="K260" i="32"/>
  <c r="K259" i="32"/>
  <c r="I258" i="32"/>
  <c r="K258" i="32" s="1"/>
  <c r="I257" i="32"/>
  <c r="K257" i="32" s="1"/>
  <c r="I256" i="32"/>
  <c r="K256" i="32" s="1"/>
  <c r="I254" i="32"/>
  <c r="G254" i="32"/>
  <c r="K253" i="32"/>
  <c r="I252" i="32"/>
  <c r="G252" i="32"/>
  <c r="I251" i="32"/>
  <c r="G251" i="32"/>
  <c r="K250" i="32"/>
  <c r="K249" i="32"/>
  <c r="I248" i="32"/>
  <c r="K248" i="32" s="1"/>
  <c r="K247" i="32"/>
  <c r="K246" i="32"/>
  <c r="I245" i="32"/>
  <c r="K245" i="32" s="1"/>
  <c r="K222" i="32"/>
  <c r="K220" i="32"/>
  <c r="K218" i="32"/>
  <c r="K217" i="32"/>
  <c r="K215" i="32"/>
  <c r="K211" i="32"/>
  <c r="K194" i="32" s="1"/>
  <c r="K209" i="32"/>
  <c r="K207" i="32"/>
  <c r="K205" i="32"/>
  <c r="K204" i="32"/>
  <c r="K202" i="32"/>
  <c r="K201" i="32"/>
  <c r="K200" i="32"/>
  <c r="K199" i="32"/>
  <c r="K198" i="32"/>
  <c r="K196" i="32"/>
  <c r="K195" i="32"/>
  <c r="K190" i="32"/>
  <c r="K188" i="32"/>
  <c r="K186" i="32"/>
  <c r="K184" i="32"/>
  <c r="K183" i="32"/>
  <c r="K181" i="32"/>
  <c r="K180" i="32"/>
  <c r="K179" i="32"/>
  <c r="K178" i="32"/>
  <c r="K177" i="32"/>
  <c r="K175" i="32"/>
  <c r="K174" i="32"/>
  <c r="K173" i="32"/>
  <c r="K169" i="32"/>
  <c r="K167" i="32"/>
  <c r="K166" i="32"/>
  <c r="K165" i="32"/>
  <c r="K164" i="32"/>
  <c r="K163" i="32"/>
  <c r="K162" i="32"/>
  <c r="K161" i="32"/>
  <c r="K160" i="32"/>
  <c r="K158" i="32"/>
  <c r="K156" i="32"/>
  <c r="K155" i="32"/>
  <c r="K151" i="32"/>
  <c r="K149" i="32"/>
  <c r="K148" i="32"/>
  <c r="K147" i="32"/>
  <c r="K146" i="32"/>
  <c r="K145" i="32"/>
  <c r="K144" i="32"/>
  <c r="K143" i="32"/>
  <c r="K142" i="32"/>
  <c r="K141" i="32"/>
  <c r="K140" i="32"/>
  <c r="K139" i="32"/>
  <c r="K138" i="32"/>
  <c r="K137" i="32"/>
  <c r="K136" i="32"/>
  <c r="K134" i="32"/>
  <c r="K133" i="32"/>
  <c r="K132" i="32"/>
  <c r="K131" i="32"/>
  <c r="K130" i="32"/>
  <c r="K129" i="32"/>
  <c r="K128" i="32"/>
  <c r="K127" i="32"/>
  <c r="K126" i="32"/>
  <c r="K124" i="32"/>
  <c r="K123" i="32"/>
  <c r="K122" i="32"/>
  <c r="K121" i="32"/>
  <c r="K120" i="32"/>
  <c r="K119" i="32"/>
  <c r="K118" i="32"/>
  <c r="K116" i="32"/>
  <c r="K115" i="32"/>
  <c r="K114" i="32"/>
  <c r="K113" i="32"/>
  <c r="K112" i="32"/>
  <c r="K111" i="32"/>
  <c r="K110" i="32"/>
  <c r="K109" i="32"/>
  <c r="K108" i="32"/>
  <c r="K107" i="32"/>
  <c r="K105" i="32"/>
  <c r="K104" i="32"/>
  <c r="K103" i="32"/>
  <c r="K102" i="32"/>
  <c r="K101" i="32"/>
  <c r="K100" i="32"/>
  <c r="K99" i="32"/>
  <c r="K98" i="32"/>
  <c r="K97" i="32"/>
  <c r="K96" i="32"/>
  <c r="K95" i="32"/>
  <c r="K94" i="32"/>
  <c r="K93" i="32"/>
  <c r="K92" i="32"/>
  <c r="K91" i="32"/>
  <c r="K90" i="32"/>
  <c r="K89" i="32"/>
  <c r="K88" i="32"/>
  <c r="K86" i="32"/>
  <c r="K85" i="32"/>
  <c r="K84" i="32"/>
  <c r="K83" i="32"/>
  <c r="K82" i="32"/>
  <c r="K81" i="32"/>
  <c r="K80" i="32"/>
  <c r="K79" i="32"/>
  <c r="K78" i="32"/>
  <c r="K77" i="32"/>
  <c r="K76" i="32"/>
  <c r="K75" i="32"/>
  <c r="K74" i="32"/>
  <c r="K73" i="32"/>
  <c r="K72" i="32"/>
  <c r="K71" i="32"/>
  <c r="K70" i="32"/>
  <c r="K66" i="32"/>
  <c r="I64" i="32"/>
  <c r="K64" i="32" s="1"/>
  <c r="I63" i="32"/>
  <c r="K63" i="32" s="1"/>
  <c r="I62" i="32"/>
  <c r="K62" i="32" s="1"/>
  <c r="I60" i="32"/>
  <c r="K60" i="32" s="1"/>
  <c r="I59" i="32"/>
  <c r="K59" i="32" s="1"/>
  <c r="I58" i="32"/>
  <c r="K58" i="32" s="1"/>
  <c r="I57" i="32"/>
  <c r="K57" i="32" s="1"/>
  <c r="I55" i="32"/>
  <c r="K55" i="32" s="1"/>
  <c r="I54" i="32"/>
  <c r="K54" i="32" s="1"/>
  <c r="I53" i="32"/>
  <c r="K53" i="32" s="1"/>
  <c r="I52" i="32"/>
  <c r="K52" i="32" s="1"/>
  <c r="I51" i="32"/>
  <c r="K51" i="32" s="1"/>
  <c r="I49" i="32"/>
  <c r="K49" i="32" s="1"/>
  <c r="I48" i="32"/>
  <c r="K48" i="32" s="1"/>
  <c r="I47" i="32"/>
  <c r="K47" i="32" s="1"/>
  <c r="K43" i="32"/>
  <c r="K41" i="32"/>
  <c r="I39" i="32"/>
  <c r="K39" i="32" s="1"/>
  <c r="K37" i="32"/>
  <c r="K35" i="32"/>
  <c r="K34" i="32"/>
  <c r="K33" i="32"/>
  <c r="K29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2" i="32"/>
  <c r="K11" i="32"/>
  <c r="K10" i="32"/>
  <c r="K8" i="32"/>
  <c r="K7" i="32"/>
  <c r="K355" i="32" l="1"/>
  <c r="I399" i="32" s="1"/>
  <c r="K399" i="32" s="1"/>
  <c r="F26" i="5"/>
  <c r="K817" i="32"/>
  <c r="K834" i="32"/>
  <c r="K875" i="32"/>
  <c r="K877" i="32"/>
  <c r="K881" i="32"/>
  <c r="K883" i="32"/>
  <c r="F23" i="5"/>
  <c r="K983" i="32"/>
  <c r="K816" i="32"/>
  <c r="K833" i="32"/>
  <c r="K853" i="32"/>
  <c r="K855" i="32"/>
  <c r="K858" i="32"/>
  <c r="K862" i="32"/>
  <c r="K867" i="32"/>
  <c r="K882" i="32"/>
  <c r="K886" i="32"/>
  <c r="K946" i="32"/>
  <c r="K955" i="32"/>
  <c r="K958" i="32"/>
  <c r="K960" i="32"/>
  <c r="K967" i="32"/>
  <c r="K974" i="32"/>
  <c r="K980" i="32"/>
  <c r="K982" i="32"/>
  <c r="K984" i="32"/>
  <c r="K1131" i="32"/>
  <c r="K1382" i="32"/>
  <c r="F124" i="5" s="1"/>
  <c r="K251" i="32"/>
  <c r="K361" i="32"/>
  <c r="F24" i="5" s="1"/>
  <c r="K630" i="32"/>
  <c r="K626" i="32"/>
  <c r="K836" i="32"/>
  <c r="K874" i="32"/>
  <c r="K1148" i="32"/>
  <c r="K885" i="32"/>
  <c r="K916" i="32"/>
  <c r="K954" i="32"/>
  <c r="K985" i="32"/>
  <c r="K477" i="32"/>
  <c r="K478" i="32" s="1"/>
  <c r="F71" i="5" s="1"/>
  <c r="K488" i="32"/>
  <c r="F74" i="5" s="1"/>
  <c r="K550" i="32"/>
  <c r="F79" i="5" s="1"/>
  <c r="K653" i="32"/>
  <c r="K863" i="32"/>
  <c r="K956" i="32"/>
  <c r="K269" i="32"/>
  <c r="K917" i="32"/>
  <c r="K953" i="32"/>
  <c r="K976" i="32"/>
  <c r="K301" i="32"/>
  <c r="K270" i="32"/>
  <c r="K398" i="32"/>
  <c r="K847" i="32"/>
  <c r="K859" i="32"/>
  <c r="K861" i="32"/>
  <c r="K868" i="32"/>
  <c r="K878" i="32"/>
  <c r="K880" i="32"/>
  <c r="K932" i="32"/>
  <c r="K957" i="32"/>
  <c r="K961" i="32"/>
  <c r="K963" i="32"/>
  <c r="K966" i="32"/>
  <c r="K975" i="32"/>
  <c r="K977" i="32"/>
  <c r="K979" i="32"/>
  <c r="K242" i="32"/>
  <c r="K288" i="32"/>
  <c r="K1019" i="32"/>
  <c r="F109" i="5" s="1"/>
  <c r="K1117" i="32"/>
  <c r="F110" i="5" s="1"/>
  <c r="K300" i="32"/>
  <c r="K472" i="32"/>
  <c r="K864" i="32"/>
  <c r="K152" i="32"/>
  <c r="F15" i="5" s="1"/>
  <c r="K170" i="32"/>
  <c r="F16" i="5" s="1"/>
  <c r="K191" i="32"/>
  <c r="I392" i="32" s="1"/>
  <c r="K392" i="32" s="1"/>
  <c r="K413" i="32"/>
  <c r="W500" i="32"/>
  <c r="Y500" i="32" s="1"/>
  <c r="K574" i="32"/>
  <c r="F83" i="5" s="1"/>
  <c r="K686" i="32"/>
  <c r="K693" i="32"/>
  <c r="K720" i="32"/>
  <c r="K832" i="32"/>
  <c r="K931" i="32"/>
  <c r="K1236" i="32"/>
  <c r="F119" i="5" s="1"/>
  <c r="K1390" i="32"/>
  <c r="F125" i="5" s="1"/>
  <c r="K1481" i="32"/>
  <c r="F386" i="5" s="1"/>
  <c r="K30" i="32"/>
  <c r="K44" i="32"/>
  <c r="K254" i="32"/>
  <c r="K283" i="32"/>
  <c r="K420" i="32"/>
  <c r="K427" i="32"/>
  <c r="K449" i="32"/>
  <c r="K529" i="32"/>
  <c r="F77" i="5" s="1"/>
  <c r="K619" i="32"/>
  <c r="K667" i="32"/>
  <c r="K727" i="32"/>
  <c r="K933" i="32"/>
  <c r="K1184" i="32"/>
  <c r="F113" i="5" s="1"/>
  <c r="K1376" i="32"/>
  <c r="F123" i="5" s="1"/>
  <c r="K1567" i="32"/>
  <c r="F388" i="5" s="1"/>
  <c r="K212" i="32"/>
  <c r="K252" i="32"/>
  <c r="K262" i="32"/>
  <c r="W496" i="32"/>
  <c r="Y496" i="32" s="1"/>
  <c r="Z498" i="32" s="1"/>
  <c r="K606" i="32"/>
  <c r="F98" i="5" s="1"/>
  <c r="K703" i="32"/>
  <c r="K805" i="32"/>
  <c r="F105" i="5" s="1"/>
  <c r="K831" i="32"/>
  <c r="K854" i="32"/>
  <c r="K860" i="32"/>
  <c r="K866" i="32"/>
  <c r="K879" i="32"/>
  <c r="K947" i="32"/>
  <c r="K962" i="32"/>
  <c r="K968" i="32"/>
  <c r="K981" i="32"/>
  <c r="K1129" i="32"/>
  <c r="K1134" i="32" s="1"/>
  <c r="F111" i="5" s="1"/>
  <c r="K1360" i="32"/>
  <c r="F121" i="5" s="1"/>
  <c r="K1417" i="32"/>
  <c r="F127" i="5" s="1"/>
  <c r="K297" i="32"/>
  <c r="K349" i="32"/>
  <c r="F22" i="5" s="1"/>
  <c r="K564" i="32"/>
  <c r="F81" i="5" s="1"/>
  <c r="K636" i="32"/>
  <c r="K697" i="32"/>
  <c r="K856" i="32"/>
  <c r="K865" i="32"/>
  <c r="K934" i="32"/>
  <c r="K936" i="32"/>
  <c r="K1146" i="32"/>
  <c r="K1220" i="32"/>
  <c r="F114" i="5" s="1"/>
  <c r="K1302" i="32"/>
  <c r="F120" i="5" s="1"/>
  <c r="K1404" i="32"/>
  <c r="F126" i="5" s="1"/>
  <c r="K67" i="32"/>
  <c r="K332" i="32"/>
  <c r="K473" i="32"/>
  <c r="F70" i="5" s="1"/>
  <c r="K1442" i="32"/>
  <c r="F384" i="5" s="1"/>
  <c r="K545" i="32"/>
  <c r="F78" i="5" s="1"/>
  <c r="K660" i="32"/>
  <c r="K965" i="32"/>
  <c r="K734" i="32"/>
  <c r="K788" i="32"/>
  <c r="F102" i="5" s="1"/>
  <c r="K846" i="32"/>
  <c r="K857" i="32"/>
  <c r="K876" i="32"/>
  <c r="K884" i="32"/>
  <c r="K959" i="32"/>
  <c r="K964" i="32"/>
  <c r="K978" i="32"/>
  <c r="K986" i="32"/>
  <c r="F17" i="5" l="1"/>
  <c r="K757" i="32"/>
  <c r="F101" i="5" s="1"/>
  <c r="I397" i="32"/>
  <c r="K397" i="32" s="1"/>
  <c r="F21" i="5"/>
  <c r="I394" i="32"/>
  <c r="K394" i="32" s="1"/>
  <c r="F19" i="5"/>
  <c r="K1151" i="32"/>
  <c r="F112" i="5" s="1"/>
  <c r="K320" i="32"/>
  <c r="K461" i="32"/>
  <c r="F69" i="5" s="1"/>
  <c r="K674" i="32"/>
  <c r="F100" i="5" s="1"/>
  <c r="I391" i="32"/>
  <c r="K391" i="32" s="1"/>
  <c r="F14" i="5"/>
  <c r="I393" i="32"/>
  <c r="K393" i="32" s="1"/>
  <c r="F18" i="5"/>
  <c r="K1005" i="32"/>
  <c r="F108" i="5" s="1"/>
  <c r="K905" i="32"/>
  <c r="F107" i="5" s="1"/>
  <c r="I390" i="32"/>
  <c r="K390" i="32" s="1"/>
  <c r="F13" i="5"/>
  <c r="I389" i="32"/>
  <c r="K389" i="32" s="1"/>
  <c r="F12" i="5"/>
  <c r="H396" i="5"/>
  <c r="I396" i="5" s="1"/>
  <c r="I395" i="5" s="1"/>
  <c r="D33" i="4" s="1"/>
  <c r="H394" i="5"/>
  <c r="I394" i="5" s="1"/>
  <c r="H393" i="5"/>
  <c r="I393" i="5" s="1"/>
  <c r="H392" i="5"/>
  <c r="I392" i="5" s="1"/>
  <c r="H391" i="5"/>
  <c r="I391" i="5" s="1"/>
  <c r="H390" i="5"/>
  <c r="I390" i="5" s="1"/>
  <c r="H388" i="5"/>
  <c r="I388" i="5" s="1"/>
  <c r="H387" i="5"/>
  <c r="I387" i="5" s="1"/>
  <c r="H386" i="5"/>
  <c r="I386" i="5" s="1"/>
  <c r="H385" i="5"/>
  <c r="I385" i="5" s="1"/>
  <c r="H384" i="5"/>
  <c r="I384" i="5" s="1"/>
  <c r="H382" i="5"/>
  <c r="I382" i="5" s="1"/>
  <c r="H381" i="5"/>
  <c r="I381" i="5" s="1"/>
  <c r="H380" i="5"/>
  <c r="I380" i="5" s="1"/>
  <c r="H379" i="5"/>
  <c r="I379" i="5" s="1"/>
  <c r="H378" i="5"/>
  <c r="I378" i="5" s="1"/>
  <c r="H377" i="5"/>
  <c r="I377" i="5" s="1"/>
  <c r="H376" i="5"/>
  <c r="I376" i="5" s="1"/>
  <c r="H375" i="5"/>
  <c r="I375" i="5" s="1"/>
  <c r="H374" i="5"/>
  <c r="I374" i="5" s="1"/>
  <c r="H373" i="5"/>
  <c r="I373" i="5" s="1"/>
  <c r="H372" i="5"/>
  <c r="I372" i="5" s="1"/>
  <c r="H371" i="5"/>
  <c r="I371" i="5" s="1"/>
  <c r="H370" i="5"/>
  <c r="I370" i="5" s="1"/>
  <c r="H369" i="5"/>
  <c r="I369" i="5" s="1"/>
  <c r="H368" i="5"/>
  <c r="I368" i="5" s="1"/>
  <c r="H367" i="5"/>
  <c r="I367" i="5" s="1"/>
  <c r="H366" i="5"/>
  <c r="I366" i="5" s="1"/>
  <c r="H365" i="5"/>
  <c r="I365" i="5" s="1"/>
  <c r="H364" i="5"/>
  <c r="I364" i="5" s="1"/>
  <c r="H363" i="5"/>
  <c r="I363" i="5" s="1"/>
  <c r="H362" i="5"/>
  <c r="I362" i="5" s="1"/>
  <c r="H361" i="5"/>
  <c r="I361" i="5" s="1"/>
  <c r="H360" i="5"/>
  <c r="I360" i="5" s="1"/>
  <c r="H359" i="5"/>
  <c r="I359" i="5" s="1"/>
  <c r="H358" i="5"/>
  <c r="I358" i="5" s="1"/>
  <c r="H357" i="5"/>
  <c r="I357" i="5" s="1"/>
  <c r="H356" i="5"/>
  <c r="I356" i="5" s="1"/>
  <c r="H355" i="5"/>
  <c r="I355" i="5" s="1"/>
  <c r="H354" i="5"/>
  <c r="I354" i="5" s="1"/>
  <c r="H353" i="5"/>
  <c r="I353" i="5" s="1"/>
  <c r="H352" i="5"/>
  <c r="I352" i="5" s="1"/>
  <c r="H351" i="5"/>
  <c r="I351" i="5" s="1"/>
  <c r="H350" i="5"/>
  <c r="I350" i="5" s="1"/>
  <c r="H349" i="5"/>
  <c r="I349" i="5" s="1"/>
  <c r="H348" i="5"/>
  <c r="I348" i="5" s="1"/>
  <c r="H347" i="5"/>
  <c r="I347" i="5" s="1"/>
  <c r="H346" i="5"/>
  <c r="I346" i="5" s="1"/>
  <c r="H345" i="5"/>
  <c r="I345" i="5" s="1"/>
  <c r="H344" i="5"/>
  <c r="I344" i="5" s="1"/>
  <c r="H343" i="5"/>
  <c r="I343" i="5" s="1"/>
  <c r="H342" i="5"/>
  <c r="I342" i="5" s="1"/>
  <c r="H341" i="5"/>
  <c r="I341" i="5" s="1"/>
  <c r="H339" i="5"/>
  <c r="I339" i="5" s="1"/>
  <c r="H338" i="5"/>
  <c r="I338" i="5" s="1"/>
  <c r="H337" i="5"/>
  <c r="I337" i="5" s="1"/>
  <c r="H336" i="5"/>
  <c r="I336" i="5" s="1"/>
  <c r="H335" i="5"/>
  <c r="I335" i="5" s="1"/>
  <c r="H334" i="5"/>
  <c r="I334" i="5" s="1"/>
  <c r="H333" i="5"/>
  <c r="I333" i="5" s="1"/>
  <c r="H332" i="5"/>
  <c r="I332" i="5" s="1"/>
  <c r="H331" i="5"/>
  <c r="I331" i="5" s="1"/>
  <c r="H330" i="5"/>
  <c r="I330" i="5" s="1"/>
  <c r="H329" i="5"/>
  <c r="I329" i="5" s="1"/>
  <c r="H328" i="5"/>
  <c r="I328" i="5" s="1"/>
  <c r="H327" i="5"/>
  <c r="I327" i="5" s="1"/>
  <c r="H326" i="5"/>
  <c r="I326" i="5" s="1"/>
  <c r="H325" i="5"/>
  <c r="I325" i="5" s="1"/>
  <c r="H324" i="5"/>
  <c r="I324" i="5" s="1"/>
  <c r="H323" i="5"/>
  <c r="I323" i="5" s="1"/>
  <c r="H322" i="5"/>
  <c r="I322" i="5" s="1"/>
  <c r="H321" i="5"/>
  <c r="I321" i="5" s="1"/>
  <c r="H320" i="5"/>
  <c r="I320" i="5" s="1"/>
  <c r="H319" i="5"/>
  <c r="I319" i="5" s="1"/>
  <c r="H318" i="5"/>
  <c r="I318" i="5" s="1"/>
  <c r="H317" i="5"/>
  <c r="I317" i="5" s="1"/>
  <c r="H316" i="5"/>
  <c r="I316" i="5" s="1"/>
  <c r="H315" i="5"/>
  <c r="I315" i="5" s="1"/>
  <c r="H314" i="5"/>
  <c r="I314" i="5" s="1"/>
  <c r="H313" i="5"/>
  <c r="I313" i="5" s="1"/>
  <c r="H312" i="5"/>
  <c r="I312" i="5" s="1"/>
  <c r="H311" i="5"/>
  <c r="I311" i="5" s="1"/>
  <c r="H310" i="5"/>
  <c r="I310" i="5" s="1"/>
  <c r="H309" i="5"/>
  <c r="I309" i="5" s="1"/>
  <c r="H308" i="5"/>
  <c r="I308" i="5" s="1"/>
  <c r="H307" i="5"/>
  <c r="I307" i="5" s="1"/>
  <c r="H306" i="5"/>
  <c r="I306" i="5" s="1"/>
  <c r="H305" i="5"/>
  <c r="I305" i="5" s="1"/>
  <c r="H304" i="5"/>
  <c r="I304" i="5" s="1"/>
  <c r="H303" i="5"/>
  <c r="I303" i="5" s="1"/>
  <c r="H302" i="5"/>
  <c r="I302" i="5" s="1"/>
  <c r="H301" i="5"/>
  <c r="I301" i="5" s="1"/>
  <c r="H299" i="5"/>
  <c r="I299" i="5" s="1"/>
  <c r="H298" i="5"/>
  <c r="I298" i="5" s="1"/>
  <c r="H297" i="5"/>
  <c r="I297" i="5" s="1"/>
  <c r="H296" i="5"/>
  <c r="I296" i="5" s="1"/>
  <c r="H295" i="5"/>
  <c r="I295" i="5" s="1"/>
  <c r="H294" i="5"/>
  <c r="I294" i="5" s="1"/>
  <c r="H293" i="5"/>
  <c r="I293" i="5" s="1"/>
  <c r="H292" i="5"/>
  <c r="I292" i="5" s="1"/>
  <c r="H291" i="5"/>
  <c r="I291" i="5" s="1"/>
  <c r="H290" i="5"/>
  <c r="I290" i="5" s="1"/>
  <c r="H289" i="5"/>
  <c r="I289" i="5" s="1"/>
  <c r="H288" i="5"/>
  <c r="I288" i="5" s="1"/>
  <c r="H287" i="5"/>
  <c r="I287" i="5" s="1"/>
  <c r="H286" i="5"/>
  <c r="I286" i="5" s="1"/>
  <c r="H285" i="5"/>
  <c r="I285" i="5" s="1"/>
  <c r="H284" i="5"/>
  <c r="I284" i="5" s="1"/>
  <c r="H283" i="5"/>
  <c r="I283" i="5" s="1"/>
  <c r="H282" i="5"/>
  <c r="I282" i="5" s="1"/>
  <c r="H281" i="5"/>
  <c r="I281" i="5" s="1"/>
  <c r="H280" i="5"/>
  <c r="I280" i="5" s="1"/>
  <c r="H279" i="5"/>
  <c r="I279" i="5" s="1"/>
  <c r="H278" i="5"/>
  <c r="I278" i="5" s="1"/>
  <c r="H277" i="5"/>
  <c r="I277" i="5" s="1"/>
  <c r="H276" i="5"/>
  <c r="I276" i="5" s="1"/>
  <c r="H275" i="5"/>
  <c r="I275" i="5" s="1"/>
  <c r="H274" i="5"/>
  <c r="I274" i="5" s="1"/>
  <c r="H273" i="5"/>
  <c r="I273" i="5" s="1"/>
  <c r="H272" i="5"/>
  <c r="I272" i="5" s="1"/>
  <c r="H271" i="5"/>
  <c r="I271" i="5" s="1"/>
  <c r="H270" i="5"/>
  <c r="I270" i="5" s="1"/>
  <c r="H269" i="5"/>
  <c r="I269" i="5" s="1"/>
  <c r="H268" i="5"/>
  <c r="I268" i="5" s="1"/>
  <c r="H267" i="5"/>
  <c r="I267" i="5" s="1"/>
  <c r="H266" i="5"/>
  <c r="I266" i="5" s="1"/>
  <c r="H265" i="5"/>
  <c r="I265" i="5" s="1"/>
  <c r="H264" i="5"/>
  <c r="I264" i="5" s="1"/>
  <c r="H263" i="5"/>
  <c r="I263" i="5" s="1"/>
  <c r="H262" i="5"/>
  <c r="I262" i="5" s="1"/>
  <c r="H261" i="5"/>
  <c r="I261" i="5" s="1"/>
  <c r="H260" i="5"/>
  <c r="I260" i="5" s="1"/>
  <c r="H259" i="5"/>
  <c r="I259" i="5" s="1"/>
  <c r="H258" i="5"/>
  <c r="I258" i="5" s="1"/>
  <c r="H257" i="5"/>
  <c r="I257" i="5" s="1"/>
  <c r="H256" i="5"/>
  <c r="I256" i="5" s="1"/>
  <c r="H255" i="5"/>
  <c r="I255" i="5" s="1"/>
  <c r="H254" i="5"/>
  <c r="I254" i="5" s="1"/>
  <c r="H253" i="5"/>
  <c r="I253" i="5" s="1"/>
  <c r="H252" i="5"/>
  <c r="I252" i="5" s="1"/>
  <c r="H251" i="5"/>
  <c r="I251" i="5" s="1"/>
  <c r="H250" i="5"/>
  <c r="I250" i="5" s="1"/>
  <c r="H249" i="5"/>
  <c r="I249" i="5" s="1"/>
  <c r="H248" i="5"/>
  <c r="I248" i="5" s="1"/>
  <c r="H247" i="5"/>
  <c r="I247" i="5" s="1"/>
  <c r="H246" i="5"/>
  <c r="I246" i="5" s="1"/>
  <c r="H245" i="5"/>
  <c r="I245" i="5" s="1"/>
  <c r="H244" i="5"/>
  <c r="I244" i="5" s="1"/>
  <c r="H243" i="5"/>
  <c r="I243" i="5" s="1"/>
  <c r="H242" i="5"/>
  <c r="I242" i="5" s="1"/>
  <c r="H241" i="5"/>
  <c r="I241" i="5" s="1"/>
  <c r="H240" i="5"/>
  <c r="I240" i="5" s="1"/>
  <c r="H239" i="5"/>
  <c r="I239" i="5" s="1"/>
  <c r="H238" i="5"/>
  <c r="I238" i="5" s="1"/>
  <c r="H236" i="5"/>
  <c r="I236" i="5" s="1"/>
  <c r="H235" i="5"/>
  <c r="I235" i="5" s="1"/>
  <c r="H234" i="5"/>
  <c r="I234" i="5" s="1"/>
  <c r="H233" i="5"/>
  <c r="I233" i="5" s="1"/>
  <c r="H232" i="5"/>
  <c r="I232" i="5" s="1"/>
  <c r="H231" i="5"/>
  <c r="I231" i="5" s="1"/>
  <c r="H230" i="5"/>
  <c r="I230" i="5" s="1"/>
  <c r="H229" i="5"/>
  <c r="I229" i="5" s="1"/>
  <c r="H228" i="5"/>
  <c r="I228" i="5" s="1"/>
  <c r="H227" i="5"/>
  <c r="I227" i="5" s="1"/>
  <c r="H226" i="5"/>
  <c r="I226" i="5" s="1"/>
  <c r="H225" i="5"/>
  <c r="I225" i="5" s="1"/>
  <c r="H224" i="5"/>
  <c r="I224" i="5" s="1"/>
  <c r="H223" i="5"/>
  <c r="I223" i="5" s="1"/>
  <c r="H222" i="5"/>
  <c r="I222" i="5" s="1"/>
  <c r="H221" i="5"/>
  <c r="I221" i="5" s="1"/>
  <c r="H220" i="5"/>
  <c r="I220" i="5" s="1"/>
  <c r="H219" i="5"/>
  <c r="I219" i="5" s="1"/>
  <c r="H218" i="5"/>
  <c r="I218" i="5" s="1"/>
  <c r="H217" i="5"/>
  <c r="I217" i="5" s="1"/>
  <c r="H216" i="5"/>
  <c r="I216" i="5" s="1"/>
  <c r="H215" i="5"/>
  <c r="I215" i="5" s="1"/>
  <c r="H214" i="5"/>
  <c r="I214" i="5" s="1"/>
  <c r="H213" i="5"/>
  <c r="I213" i="5" s="1"/>
  <c r="H212" i="5"/>
  <c r="I212" i="5" s="1"/>
  <c r="H211" i="5"/>
  <c r="I211" i="5" s="1"/>
  <c r="H210" i="5"/>
  <c r="I210" i="5" s="1"/>
  <c r="H209" i="5"/>
  <c r="I209" i="5" s="1"/>
  <c r="H208" i="5"/>
  <c r="I208" i="5" s="1"/>
  <c r="H207" i="5"/>
  <c r="I207" i="5" s="1"/>
  <c r="H206" i="5"/>
  <c r="I206" i="5" s="1"/>
  <c r="H205" i="5"/>
  <c r="I205" i="5" s="1"/>
  <c r="H204" i="5"/>
  <c r="I204" i="5" s="1"/>
  <c r="H203" i="5"/>
  <c r="I203" i="5" s="1"/>
  <c r="H201" i="5"/>
  <c r="I201" i="5" s="1"/>
  <c r="H200" i="5"/>
  <c r="I200" i="5" s="1"/>
  <c r="H199" i="5"/>
  <c r="I199" i="5" s="1"/>
  <c r="H198" i="5"/>
  <c r="I198" i="5" s="1"/>
  <c r="H197" i="5"/>
  <c r="I197" i="5" s="1"/>
  <c r="H196" i="5"/>
  <c r="I196" i="5" s="1"/>
  <c r="H195" i="5"/>
  <c r="I195" i="5" s="1"/>
  <c r="H194" i="5"/>
  <c r="I194" i="5" s="1"/>
  <c r="H193" i="5"/>
  <c r="I193" i="5" s="1"/>
  <c r="H192" i="5"/>
  <c r="I192" i="5" s="1"/>
  <c r="H191" i="5"/>
  <c r="I191" i="5" s="1"/>
  <c r="H190" i="5"/>
  <c r="I190" i="5" s="1"/>
  <c r="H189" i="5"/>
  <c r="I189" i="5" s="1"/>
  <c r="H188" i="5"/>
  <c r="I188" i="5" s="1"/>
  <c r="H187" i="5"/>
  <c r="I187" i="5" s="1"/>
  <c r="H186" i="5"/>
  <c r="I186" i="5" s="1"/>
  <c r="H185" i="5"/>
  <c r="I185" i="5" s="1"/>
  <c r="H184" i="5"/>
  <c r="I184" i="5" s="1"/>
  <c r="H183" i="5"/>
  <c r="I183" i="5" s="1"/>
  <c r="H182" i="5"/>
  <c r="I182" i="5" s="1"/>
  <c r="H181" i="5"/>
  <c r="I181" i="5" s="1"/>
  <c r="H180" i="5"/>
  <c r="I180" i="5" s="1"/>
  <c r="H179" i="5"/>
  <c r="I179" i="5" s="1"/>
  <c r="H178" i="5"/>
  <c r="I178" i="5" s="1"/>
  <c r="H177" i="5"/>
  <c r="I177" i="5" s="1"/>
  <c r="H176" i="5"/>
  <c r="I176" i="5" s="1"/>
  <c r="H175" i="5"/>
  <c r="I175" i="5" s="1"/>
  <c r="H174" i="5"/>
  <c r="I174" i="5" s="1"/>
  <c r="H173" i="5"/>
  <c r="I173" i="5" s="1"/>
  <c r="H172" i="5"/>
  <c r="I172" i="5" s="1"/>
  <c r="H171" i="5"/>
  <c r="I171" i="5" s="1"/>
  <c r="H170" i="5"/>
  <c r="I170" i="5" s="1"/>
  <c r="H168" i="5"/>
  <c r="I168" i="5" s="1"/>
  <c r="H167" i="5"/>
  <c r="I167" i="5" s="1"/>
  <c r="H166" i="5"/>
  <c r="I166" i="5" s="1"/>
  <c r="H165" i="5"/>
  <c r="I165" i="5" s="1"/>
  <c r="H164" i="5"/>
  <c r="I164" i="5" s="1"/>
  <c r="H163" i="5"/>
  <c r="I163" i="5" s="1"/>
  <c r="H162" i="5"/>
  <c r="I162" i="5" s="1"/>
  <c r="H161" i="5"/>
  <c r="I161" i="5" s="1"/>
  <c r="H160" i="5"/>
  <c r="I160" i="5" s="1"/>
  <c r="H159" i="5"/>
  <c r="I159" i="5" s="1"/>
  <c r="H158" i="5"/>
  <c r="I158" i="5" s="1"/>
  <c r="H157" i="5"/>
  <c r="I157" i="5" s="1"/>
  <c r="H156" i="5"/>
  <c r="I156" i="5" s="1"/>
  <c r="H155" i="5"/>
  <c r="I155" i="5" s="1"/>
  <c r="H154" i="5"/>
  <c r="I154" i="5" s="1"/>
  <c r="H153" i="5"/>
  <c r="I153" i="5" s="1"/>
  <c r="H152" i="5"/>
  <c r="I152" i="5" s="1"/>
  <c r="H151" i="5"/>
  <c r="I151" i="5" s="1"/>
  <c r="H150" i="5"/>
  <c r="I150" i="5" s="1"/>
  <c r="H149" i="5"/>
  <c r="I149" i="5" s="1"/>
  <c r="H148" i="5"/>
  <c r="I148" i="5" s="1"/>
  <c r="H147" i="5"/>
  <c r="I147" i="5" s="1"/>
  <c r="H146" i="5"/>
  <c r="I146" i="5" s="1"/>
  <c r="H145" i="5"/>
  <c r="I145" i="5" s="1"/>
  <c r="H144" i="5"/>
  <c r="I144" i="5" s="1"/>
  <c r="H143" i="5"/>
  <c r="I143" i="5" s="1"/>
  <c r="H142" i="5"/>
  <c r="I142" i="5" s="1"/>
  <c r="H141" i="5"/>
  <c r="I141" i="5" s="1"/>
  <c r="H140" i="5"/>
  <c r="I140" i="5" s="1"/>
  <c r="H139" i="5"/>
  <c r="I139" i="5" s="1"/>
  <c r="H138" i="5"/>
  <c r="I138" i="5" s="1"/>
  <c r="H137" i="5"/>
  <c r="I137" i="5" s="1"/>
  <c r="H136" i="5"/>
  <c r="I136" i="5" s="1"/>
  <c r="H135" i="5"/>
  <c r="I135" i="5" s="1"/>
  <c r="H134" i="5"/>
  <c r="I134" i="5" s="1"/>
  <c r="H133" i="5"/>
  <c r="I133" i="5" s="1"/>
  <c r="H132" i="5"/>
  <c r="I132" i="5" s="1"/>
  <c r="H131" i="5"/>
  <c r="I131" i="5" s="1"/>
  <c r="H130" i="5"/>
  <c r="I130" i="5" s="1"/>
  <c r="H129" i="5"/>
  <c r="I129" i="5" s="1"/>
  <c r="H127" i="5"/>
  <c r="I127" i="5" s="1"/>
  <c r="H126" i="5"/>
  <c r="I126" i="5" s="1"/>
  <c r="H125" i="5"/>
  <c r="I125" i="5" s="1"/>
  <c r="H124" i="5"/>
  <c r="I124" i="5" s="1"/>
  <c r="H123" i="5"/>
  <c r="I123" i="5" s="1"/>
  <c r="H121" i="5"/>
  <c r="I121" i="5" s="1"/>
  <c r="H120" i="5"/>
  <c r="I120" i="5" s="1"/>
  <c r="H119" i="5"/>
  <c r="I119" i="5" s="1"/>
  <c r="H118" i="5"/>
  <c r="I118" i="5" s="1"/>
  <c r="H116" i="5"/>
  <c r="I116" i="5" s="1"/>
  <c r="H115" i="5"/>
  <c r="I115" i="5" s="1"/>
  <c r="H114" i="5"/>
  <c r="I114" i="5" s="1"/>
  <c r="H113" i="5"/>
  <c r="I113" i="5" s="1"/>
  <c r="H112" i="5"/>
  <c r="I112" i="5" s="1"/>
  <c r="H111" i="5"/>
  <c r="I111" i="5" s="1"/>
  <c r="H110" i="5"/>
  <c r="I110" i="5" s="1"/>
  <c r="H109" i="5"/>
  <c r="I109" i="5" s="1"/>
  <c r="H108" i="5"/>
  <c r="I108" i="5" s="1"/>
  <c r="H107" i="5"/>
  <c r="H105" i="5"/>
  <c r="I105" i="5" s="1"/>
  <c r="I104" i="5" s="1"/>
  <c r="D22" i="4" s="1"/>
  <c r="H103" i="5"/>
  <c r="I103" i="5" s="1"/>
  <c r="H102" i="5"/>
  <c r="I102" i="5" s="1"/>
  <c r="H101" i="5"/>
  <c r="I101" i="5" s="1"/>
  <c r="H100" i="5"/>
  <c r="I100" i="5" s="1"/>
  <c r="H98" i="5"/>
  <c r="I98" i="5" s="1"/>
  <c r="I97" i="5" s="1"/>
  <c r="D20" i="4" s="1"/>
  <c r="H96" i="5"/>
  <c r="I96" i="5" s="1"/>
  <c r="H95" i="5"/>
  <c r="I95" i="5" s="1"/>
  <c r="H94" i="5"/>
  <c r="I94" i="5" s="1"/>
  <c r="H93" i="5"/>
  <c r="I93" i="5" s="1"/>
  <c r="H92" i="5"/>
  <c r="I92" i="5" s="1"/>
  <c r="H91" i="5"/>
  <c r="I91" i="5" s="1"/>
  <c r="H90" i="5"/>
  <c r="I90" i="5" s="1"/>
  <c r="H89" i="5"/>
  <c r="I89" i="5" s="1"/>
  <c r="H88" i="5"/>
  <c r="I88" i="5" s="1"/>
  <c r="H87" i="5"/>
  <c r="I87" i="5" s="1"/>
  <c r="H86" i="5"/>
  <c r="I86" i="5" s="1"/>
  <c r="H84" i="5"/>
  <c r="I84" i="5" s="1"/>
  <c r="H83" i="5"/>
  <c r="I83" i="5" s="1"/>
  <c r="H82" i="5"/>
  <c r="I82" i="5" s="1"/>
  <c r="H81" i="5"/>
  <c r="I81" i="5" s="1"/>
  <c r="H80" i="5"/>
  <c r="I80" i="5" s="1"/>
  <c r="H79" i="5"/>
  <c r="I79" i="5" s="1"/>
  <c r="H78" i="5"/>
  <c r="I78" i="5" s="1"/>
  <c r="H77" i="5"/>
  <c r="I77" i="5" s="1"/>
  <c r="H75" i="5"/>
  <c r="I75" i="5" s="1"/>
  <c r="H74" i="5"/>
  <c r="I74" i="5" s="1"/>
  <c r="H73" i="5"/>
  <c r="I73" i="5" s="1"/>
  <c r="H72" i="5"/>
  <c r="I72" i="5" s="1"/>
  <c r="H71" i="5"/>
  <c r="I71" i="5" s="1"/>
  <c r="H70" i="5"/>
  <c r="I70" i="5" s="1"/>
  <c r="H69" i="5"/>
  <c r="H67" i="5"/>
  <c r="I67" i="5" s="1"/>
  <c r="H66" i="5"/>
  <c r="I66" i="5" s="1"/>
  <c r="H65" i="5"/>
  <c r="I65" i="5" s="1"/>
  <c r="H64" i="5"/>
  <c r="I64" i="5" s="1"/>
  <c r="H63" i="5"/>
  <c r="I63" i="5" s="1"/>
  <c r="H62" i="5"/>
  <c r="I62" i="5" s="1"/>
  <c r="H61" i="5"/>
  <c r="I61" i="5" s="1"/>
  <c r="H60" i="5"/>
  <c r="I60" i="5" s="1"/>
  <c r="H59" i="5"/>
  <c r="I59" i="5" s="1"/>
  <c r="H58" i="5"/>
  <c r="I58" i="5" s="1"/>
  <c r="H57" i="5"/>
  <c r="I57" i="5" s="1"/>
  <c r="H56" i="5"/>
  <c r="I56" i="5" s="1"/>
  <c r="H54" i="5"/>
  <c r="I54" i="5" s="1"/>
  <c r="H53" i="5"/>
  <c r="I53" i="5" s="1"/>
  <c r="H52" i="5"/>
  <c r="I52" i="5" s="1"/>
  <c r="H51" i="5"/>
  <c r="I51" i="5" s="1"/>
  <c r="H50" i="5"/>
  <c r="I50" i="5" s="1"/>
  <c r="H49" i="5"/>
  <c r="I49" i="5" s="1"/>
  <c r="H48" i="5"/>
  <c r="I48" i="5" s="1"/>
  <c r="H47" i="5"/>
  <c r="I47" i="5" s="1"/>
  <c r="H46" i="5"/>
  <c r="I46" i="5" s="1"/>
  <c r="H45" i="5"/>
  <c r="I45" i="5" s="1"/>
  <c r="H44" i="5"/>
  <c r="I44" i="5" s="1"/>
  <c r="H43" i="5"/>
  <c r="I43" i="5" s="1"/>
  <c r="H42" i="5"/>
  <c r="I42" i="5" s="1"/>
  <c r="H41" i="5"/>
  <c r="I41" i="5" s="1"/>
  <c r="H39" i="5"/>
  <c r="H38" i="5"/>
  <c r="H36" i="5"/>
  <c r="I36" i="5" s="1"/>
  <c r="I35" i="5" s="1"/>
  <c r="D13" i="4" s="1"/>
  <c r="H34" i="5"/>
  <c r="I34" i="5" s="1"/>
  <c r="H33" i="5"/>
  <c r="I33" i="5" s="1"/>
  <c r="H32" i="5"/>
  <c r="I32" i="5" s="1"/>
  <c r="H31" i="5"/>
  <c r="I31" i="5" s="1"/>
  <c r="H30" i="5"/>
  <c r="I30" i="5" s="1"/>
  <c r="H29" i="5"/>
  <c r="I29" i="5" s="1"/>
  <c r="H28" i="5"/>
  <c r="I28" i="5" s="1"/>
  <c r="H27" i="5"/>
  <c r="I27" i="5" s="1"/>
  <c r="H26" i="5"/>
  <c r="I26" i="5" s="1"/>
  <c r="H24" i="5"/>
  <c r="I24" i="5" s="1"/>
  <c r="H23" i="5"/>
  <c r="I23" i="5" s="1"/>
  <c r="H22" i="5"/>
  <c r="I22" i="5" s="1"/>
  <c r="H21" i="5"/>
  <c r="H20" i="5"/>
  <c r="H19" i="5"/>
  <c r="I19" i="5" s="1"/>
  <c r="H18" i="5"/>
  <c r="H17" i="5"/>
  <c r="I17" i="5" s="1"/>
  <c r="H16" i="5"/>
  <c r="I16" i="5" s="1"/>
  <c r="H15" i="5"/>
  <c r="I15" i="5" s="1"/>
  <c r="H14" i="5"/>
  <c r="H13" i="5"/>
  <c r="H12" i="5"/>
  <c r="H10" i="5"/>
  <c r="I10" i="5" s="1"/>
  <c r="I9" i="5" s="1"/>
  <c r="D10" i="4" s="1"/>
  <c r="I8" i="5"/>
  <c r="I7" i="5" s="1"/>
  <c r="D9" i="4" s="1"/>
  <c r="H8" i="5"/>
  <c r="I300" i="5" l="1"/>
  <c r="D29" i="4" s="1"/>
  <c r="I237" i="5"/>
  <c r="D28" i="4" s="1"/>
  <c r="I202" i="5"/>
  <c r="D27" i="4" s="1"/>
  <c r="I340" i="5"/>
  <c r="D30" i="4" s="1"/>
  <c r="I128" i="5"/>
  <c r="D26" i="4" s="1"/>
  <c r="I55" i="5"/>
  <c r="D16" i="4" s="1"/>
  <c r="I40" i="5"/>
  <c r="D15" i="4" s="1"/>
  <c r="I21" i="5"/>
  <c r="I14" i="5"/>
  <c r="I107" i="5"/>
  <c r="I106" i="5" s="1"/>
  <c r="D23" i="4" s="1"/>
  <c r="I85" i="5"/>
  <c r="D19" i="4" s="1"/>
  <c r="I395" i="32"/>
  <c r="K395" i="32" s="1"/>
  <c r="F20" i="5"/>
  <c r="I20" i="5" s="1"/>
  <c r="I69" i="5"/>
  <c r="I68" i="5" s="1"/>
  <c r="D17" i="4" s="1"/>
  <c r="I389" i="5"/>
  <c r="D32" i="4" s="1"/>
  <c r="I383" i="5"/>
  <c r="D31" i="4" s="1"/>
  <c r="I122" i="5"/>
  <c r="D25" i="4" s="1"/>
  <c r="I117" i="5"/>
  <c r="D24" i="4" s="1"/>
  <c r="I99" i="5"/>
  <c r="D21" i="4" s="1"/>
  <c r="I76" i="5"/>
  <c r="D18" i="4" s="1"/>
  <c r="I25" i="5"/>
  <c r="D12" i="4" s="1"/>
  <c r="I12" i="5"/>
  <c r="I18" i="5"/>
  <c r="I13" i="5"/>
  <c r="K400" i="32"/>
  <c r="B2" i="4"/>
  <c r="B2" i="3" s="1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C12" i="3"/>
  <c r="M12" i="3" s="1"/>
  <c r="C9" i="3"/>
  <c r="E9" i="3" s="1"/>
  <c r="B4" i="4"/>
  <c r="D2" i="3" s="1"/>
  <c r="C19" i="6"/>
  <c r="C21" i="6" s="1"/>
  <c r="C24" i="6" s="1"/>
  <c r="C11" i="6"/>
  <c r="C7" i="6"/>
  <c r="D3" i="3"/>
  <c r="B3" i="3"/>
  <c r="F2" i="3"/>
  <c r="B1" i="3"/>
  <c r="D37" i="2"/>
  <c r="C37" i="2"/>
  <c r="D33" i="2"/>
  <c r="D38" i="2" s="1"/>
  <c r="C33" i="2"/>
  <c r="C26" i="2"/>
  <c r="C38" i="2"/>
  <c r="I11" i="5" l="1"/>
  <c r="D11" i="4" s="1"/>
  <c r="K402" i="32"/>
  <c r="K403" i="32" s="1"/>
  <c r="I39" i="5" s="1"/>
  <c r="I38" i="5"/>
  <c r="C30" i="3"/>
  <c r="C20" i="3"/>
  <c r="C31" i="3"/>
  <c r="C32" i="3"/>
  <c r="C29" i="3"/>
  <c r="C10" i="3"/>
  <c r="K12" i="3"/>
  <c r="I12" i="3"/>
  <c r="O12" i="3"/>
  <c r="U30" i="3" l="1"/>
  <c r="W30" i="3"/>
  <c r="I37" i="5"/>
  <c r="C18" i="3"/>
  <c r="C17" i="3"/>
  <c r="C27" i="3"/>
  <c r="C24" i="3"/>
  <c r="C22" i="3"/>
  <c r="C23" i="3"/>
  <c r="W32" i="3"/>
  <c r="C8" i="3"/>
  <c r="C15" i="3"/>
  <c r="C14" i="3"/>
  <c r="C21" i="3"/>
  <c r="E10" i="3"/>
  <c r="S29" i="3"/>
  <c r="W29" i="3"/>
  <c r="U29" i="3"/>
  <c r="C25" i="3"/>
  <c r="M20" i="3"/>
  <c r="K20" i="3"/>
  <c r="I20" i="3"/>
  <c r="C19" i="3"/>
  <c r="C16" i="3"/>
  <c r="C28" i="3"/>
  <c r="C26" i="3"/>
  <c r="W31" i="3"/>
  <c r="Q25" i="3" l="1"/>
  <c r="S25" i="3"/>
  <c r="M27" i="3"/>
  <c r="I27" i="3"/>
  <c r="K27" i="3"/>
  <c r="I397" i="5"/>
  <c r="D14" i="4"/>
  <c r="S28" i="3"/>
  <c r="U28" i="3"/>
  <c r="W28" i="3"/>
  <c r="W25" i="3"/>
  <c r="U25" i="3"/>
  <c r="Q21" i="3"/>
  <c r="O21" i="3"/>
  <c r="S21" i="3"/>
  <c r="E14" i="3"/>
  <c r="G14" i="3"/>
  <c r="U23" i="3"/>
  <c r="S23" i="3"/>
  <c r="Q23" i="3"/>
  <c r="U24" i="3"/>
  <c r="Q24" i="3"/>
  <c r="S24" i="3"/>
  <c r="Q17" i="3"/>
  <c r="U17" i="3"/>
  <c r="S17" i="3"/>
  <c r="E8" i="3"/>
  <c r="U8" i="3"/>
  <c r="G8" i="3"/>
  <c r="S8" i="3"/>
  <c r="K8" i="3"/>
  <c r="W8" i="3"/>
  <c r="M8" i="3"/>
  <c r="Q8" i="3"/>
  <c r="O8" i="3"/>
  <c r="I8" i="3"/>
  <c r="O26" i="3"/>
  <c r="K26" i="3"/>
  <c r="Q26" i="3"/>
  <c r="M26" i="3"/>
  <c r="K16" i="3"/>
  <c r="G16" i="3"/>
  <c r="I16" i="3"/>
  <c r="M19" i="3"/>
  <c r="O19" i="3"/>
  <c r="G15" i="3"/>
  <c r="I15" i="3"/>
  <c r="Q22" i="3"/>
  <c r="S22" i="3"/>
  <c r="C11" i="3"/>
  <c r="Q27" i="3"/>
  <c r="S27" i="3"/>
  <c r="U27" i="3"/>
  <c r="W27" i="3"/>
  <c r="O27" i="3"/>
  <c r="O18" i="3"/>
  <c r="M18" i="3"/>
  <c r="D34" i="4" l="1"/>
  <c r="C13" i="3"/>
  <c r="E11" i="3"/>
  <c r="O33" i="3"/>
  <c r="U33" i="3"/>
  <c r="Q33" i="3"/>
  <c r="S33" i="3"/>
  <c r="K33" i="3"/>
  <c r="M33" i="3"/>
  <c r="W33" i="3"/>
  <c r="C33" i="3"/>
  <c r="E13" i="3" l="1"/>
  <c r="E33" i="3" s="1"/>
  <c r="I33" i="3"/>
  <c r="J33" i="3" s="1"/>
  <c r="G13" i="3"/>
  <c r="G33" i="3" s="1"/>
  <c r="H33" i="3" s="1"/>
  <c r="C27" i="4"/>
  <c r="C22" i="4"/>
  <c r="C20" i="4"/>
  <c r="C33" i="4"/>
  <c r="C21" i="4"/>
  <c r="C25" i="4"/>
  <c r="C16" i="4"/>
  <c r="C12" i="4"/>
  <c r="C19" i="4"/>
  <c r="C23" i="4"/>
  <c r="C29" i="4"/>
  <c r="C26" i="4"/>
  <c r="C31" i="4"/>
  <c r="C30" i="4"/>
  <c r="C18" i="4"/>
  <c r="C15" i="4"/>
  <c r="C14" i="4"/>
  <c r="C13" i="4"/>
  <c r="C11" i="4"/>
  <c r="C28" i="4"/>
  <c r="D6" i="4"/>
  <c r="C17" i="4"/>
  <c r="C10" i="4"/>
  <c r="C32" i="4"/>
  <c r="C24" i="4"/>
  <c r="C9" i="4"/>
  <c r="N33" i="3"/>
  <c r="L33" i="3"/>
  <c r="T33" i="3"/>
  <c r="P33" i="3"/>
  <c r="D9" i="3"/>
  <c r="D12" i="3"/>
  <c r="D32" i="3"/>
  <c r="D29" i="3"/>
  <c r="D10" i="3"/>
  <c r="D30" i="3"/>
  <c r="D20" i="3"/>
  <c r="D31" i="3"/>
  <c r="D14" i="3"/>
  <c r="D26" i="3"/>
  <c r="D16" i="3"/>
  <c r="D22" i="3"/>
  <c r="D27" i="3"/>
  <c r="D23" i="3"/>
  <c r="D8" i="3"/>
  <c r="D25" i="3"/>
  <c r="D21" i="3"/>
  <c r="D28" i="3"/>
  <c r="D13" i="3"/>
  <c r="D24" i="3"/>
  <c r="D17" i="3"/>
  <c r="D19" i="3"/>
  <c r="D15" i="3"/>
  <c r="D18" i="3"/>
  <c r="R33" i="3"/>
  <c r="D11" i="3"/>
  <c r="X33" i="3"/>
  <c r="V33" i="3"/>
  <c r="F33" i="3" l="1"/>
  <c r="F34" i="3" s="1"/>
  <c r="E34" i="3"/>
  <c r="G34" i="3" s="1"/>
  <c r="I34" i="3" s="1"/>
  <c r="K34" i="3" s="1"/>
  <c r="M34" i="3" s="1"/>
  <c r="O34" i="3" s="1"/>
  <c r="Q34" i="3" s="1"/>
  <c r="S34" i="3" s="1"/>
  <c r="U34" i="3" s="1"/>
  <c r="W34" i="3" s="1"/>
  <c r="C34" i="4"/>
  <c r="D33" i="3"/>
  <c r="H34" i="3"/>
  <c r="J34" i="3" s="1"/>
  <c r="L34" i="3" s="1"/>
  <c r="N34" i="3" s="1"/>
  <c r="P34" i="3" s="1"/>
  <c r="R34" i="3" s="1"/>
  <c r="T34" i="3" s="1"/>
  <c r="V34" i="3" s="1"/>
  <c r="X34" i="3" s="1"/>
</calcChain>
</file>

<file path=xl/sharedStrings.xml><?xml version="1.0" encoding="utf-8"?>
<sst xmlns="http://schemas.openxmlformats.org/spreadsheetml/2006/main" count="17370" uniqueCount="3393">
  <si>
    <t>9.2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</si>
  <si>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</si>
  <si>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ADMINISTRAÇÃO DE OBRA</t>
  </si>
  <si>
    <t>1.1</t>
  </si>
  <si>
    <t>1</t>
  </si>
  <si>
    <t>2</t>
  </si>
  <si>
    <t>3</t>
  </si>
  <si>
    <t>4</t>
  </si>
  <si>
    <t>5</t>
  </si>
  <si>
    <t>6</t>
  </si>
  <si>
    <t>Próprio</t>
  </si>
  <si>
    <t>PLACA DE OBRA EM CHAPA DE ACO GALVANIZADO</t>
  </si>
  <si>
    <t>M</t>
  </si>
  <si>
    <t>IMPERMEABILIZACAO DE ESTRUTURAS ENTERRADAS, COM TINTA ASFALTICA, DUAS DEMAOS.</t>
  </si>
  <si>
    <t>und</t>
  </si>
  <si>
    <t>8.1</t>
  </si>
  <si>
    <t>8.2</t>
  </si>
  <si>
    <t>8.3</t>
  </si>
  <si>
    <t>8.4</t>
  </si>
  <si>
    <t>8.5</t>
  </si>
  <si>
    <t>8.6</t>
  </si>
  <si>
    <t>Banco</t>
  </si>
  <si>
    <t>KG</t>
  </si>
  <si>
    <t>88485</t>
  </si>
  <si>
    <t>m²</t>
  </si>
  <si>
    <t>m³</t>
  </si>
  <si>
    <t>Und</t>
  </si>
  <si>
    <t>SERVIÇOS PRELIMINARES</t>
  </si>
  <si>
    <t>PINTURA</t>
  </si>
  <si>
    <t>7.1</t>
  </si>
  <si>
    <t>7.2</t>
  </si>
  <si>
    <t>7.3</t>
  </si>
  <si>
    <t>7.4</t>
  </si>
  <si>
    <t>7.5</t>
  </si>
  <si>
    <t>7.6</t>
  </si>
  <si>
    <t>INSTALAÇÕES PROVISÓRIAS</t>
  </si>
  <si>
    <t>SINAPI</t>
  </si>
  <si>
    <t>Descrição</t>
  </si>
  <si>
    <t>12.1</t>
  </si>
  <si>
    <t>72897</t>
  </si>
  <si>
    <t>SDC01295</t>
  </si>
  <si>
    <t>6.1</t>
  </si>
  <si>
    <t>EXECUÇÃO DE ALMOXARIFADO EM CANTEIRO DE OBRA EM CHAPA DE MADEIRA COMPENSADA, INCLUSO PRATELEIRAS. AF_02/2016</t>
  </si>
  <si>
    <t>6.2</t>
  </si>
  <si>
    <t>74145/001</t>
  </si>
  <si>
    <t>LOCAÇÃO DE ANDAIME METALICO TUBULAR INCLUSIVE MONTAGEM E DESMONTAGEM</t>
  </si>
  <si>
    <t>Código</t>
  </si>
  <si>
    <t>93208</t>
  </si>
  <si>
    <t>UN</t>
  </si>
  <si>
    <t>11.1</t>
  </si>
  <si>
    <t>Total</t>
  </si>
  <si>
    <t>SDC01056</t>
  </si>
  <si>
    <t>CARGA MANUAL DE ENTULHO EM CAMINHAO BASCULANTE 6 M3</t>
  </si>
  <si>
    <t>89173</t>
  </si>
  <si>
    <t>INFRA-ESTRUTURA</t>
  </si>
  <si>
    <t>REVESTIMENTO</t>
  </si>
  <si>
    <t>10.1</t>
  </si>
  <si>
    <t>10.2</t>
  </si>
  <si>
    <t>10.3</t>
  </si>
  <si>
    <t>Encargos Sociais</t>
  </si>
  <si>
    <t>Descrição do Orçamento</t>
  </si>
  <si>
    <t>Quant.</t>
  </si>
  <si>
    <t>MÁQUINAS E FERRAMENTAS</t>
  </si>
  <si>
    <t>4.1</t>
  </si>
  <si>
    <t>Valor Unit com BDI</t>
  </si>
  <si>
    <t>Item</t>
  </si>
  <si>
    <t>APLICAÇÃO DE FUNDO SELADOR ACRÍLICO EM PAREDES, UMA DEMÃO. AF_06/2014</t>
  </si>
  <si>
    <t>B.D.I.</t>
  </si>
  <si>
    <t>PINTURA ESMALTE FOSCO, DUAS DEMAOS, SOBRE SUPERFICIE METALICA, INCLUSO UMA DEMAO DE FUNDO ANTICORROSIVO. UTILIZACAO DE REVOLVER ( AR-COMPRIMIDO).</t>
  </si>
  <si>
    <t>74209/001</t>
  </si>
  <si>
    <t>3.1</t>
  </si>
  <si>
    <t>3.2</t>
  </si>
  <si>
    <t>3.3</t>
  </si>
  <si>
    <t>74106/001</t>
  </si>
  <si>
    <t>2.1</t>
  </si>
  <si>
    <t>M/MÊS</t>
  </si>
  <si>
    <t>PREPARO DE FUNDO DE VALA COM LARGURA MENOR QUE 1,5 M, EM LOCAL COM NÍVEL BAIXO DE INTERFERÊNCIA. AF_06/2016</t>
  </si>
  <si>
    <t>M3XKM</t>
  </si>
  <si>
    <t>94097</t>
  </si>
  <si>
    <t>Valor Unit</t>
  </si>
  <si>
    <t>9.1</t>
  </si>
  <si>
    <t>TOTAL GERAL</t>
  </si>
  <si>
    <t xml:space="preserve">ESCALA SALARIAL DE MÃO-DE-OBRA </t>
  </si>
  <si>
    <t>CÓDIGO</t>
  </si>
  <si>
    <t>DESCRIÇÃO</t>
  </si>
  <si>
    <t>COM DESONERAÇÃO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</si>
  <si>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</si>
  <si>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</si>
  <si>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</si>
  <si>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</si>
  <si>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</si>
  <si>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</si>
  <si>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</si>
  <si>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</si>
  <si>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</si>
  <si>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</si>
  <si>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</si>
  <si>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</si>
  <si>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</si>
  <si>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</si>
  <si>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Salario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</si>
  <si>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</si>
  <si>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</si>
  <si>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</si>
  <si>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</si>
  <si>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</si>
  <si>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</si>
  <si>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</si>
  <si>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</si>
  <si>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</si>
  <si>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</si>
  <si>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Não incide</t>
  </si>
  <si>
    <t>B2</t>
  </si>
  <si>
    <t>Feriados</t>
  </si>
  <si>
    <t>B3</t>
  </si>
  <si>
    <t>Auxilio - Enfermidade</t>
  </si>
  <si>
    <t>B4</t>
  </si>
  <si>
    <t>13º Salario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</si>
  <si>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</si>
  <si>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</si>
  <si>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</si>
  <si>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</si>
  <si>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</si>
  <si>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</si>
  <si>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</si>
  <si>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</si>
  <si>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</si>
  <si>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</si>
  <si>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</si>
  <si>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</si>
  <si>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</si>
  <si>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</si>
  <si>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</si>
  <si>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</si>
  <si>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</si>
  <si>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</si>
  <si>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</si>
  <si>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</si>
  <si>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</si>
  <si>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</si>
  <si>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</si>
  <si>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</si>
  <si>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</si>
  <si>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</si>
  <si>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</si>
  <si>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</si>
  <si>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</si>
  <si>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</si>
  <si>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</si>
  <si>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</si>
  <si>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OBRA</t>
  </si>
  <si>
    <t>Município</t>
  </si>
  <si>
    <t>BDI:</t>
  </si>
  <si>
    <t>Referência</t>
  </si>
  <si>
    <t>Endereço</t>
  </si>
  <si>
    <t>PERÍODO:</t>
  </si>
  <si>
    <t>CRONOGRAMA FÍSICO FINANCEIRO</t>
  </si>
  <si>
    <t>ITEM</t>
  </si>
  <si>
    <t>VALOR</t>
  </si>
  <si>
    <t>%</t>
  </si>
  <si>
    <t>MÊS 01</t>
  </si>
  <si>
    <t>MÊS 02</t>
  </si>
  <si>
    <t>VALOR (R$)</t>
  </si>
  <si>
    <t>TOTAL</t>
  </si>
  <si>
    <t>ACUMULADO</t>
  </si>
  <si>
    <t>Referência:</t>
  </si>
  <si>
    <t>Período:</t>
  </si>
  <si>
    <t>PLANILHA RESUMO</t>
  </si>
  <si>
    <t>UND</t>
  </si>
  <si>
    <t>MES</t>
  </si>
  <si>
    <t>5.1</t>
  </si>
  <si>
    <t>COMPOSIÇÃO DA PARCELA DE BDI (BONIFICAÇÕES E DESPESA INDIRETAS)</t>
  </si>
  <si>
    <t>ITENS RELATIVOS À ADMINISTRAÇÃO CENTRAL</t>
  </si>
  <si>
    <t>% SOBRE PV</t>
  </si>
  <si>
    <t>AC - Administração Central</t>
  </si>
  <si>
    <t>4,00% de PV</t>
  </si>
  <si>
    <t>DF - Custos Financeiros</t>
  </si>
  <si>
    <t>CF do (PV-Lucro Operacional)</t>
  </si>
  <si>
    <t>C - Riscos</t>
  </si>
  <si>
    <t>1,25% de PV</t>
  </si>
  <si>
    <t>S + G - Seguros e Garantias</t>
  </si>
  <si>
    <t>2,50% a.a. sobre 5,00% do PV</t>
  </si>
  <si>
    <t>Sub-total</t>
  </si>
  <si>
    <t>LUCRO</t>
  </si>
  <si>
    <t>E - Lucro Operacional</t>
  </si>
  <si>
    <t>7,50% de PV</t>
  </si>
  <si>
    <t>BDI SEM IMPOSTOS</t>
  </si>
  <si>
    <t>TAXAS E IMPOSTOS</t>
  </si>
  <si>
    <t>F - PIS</t>
  </si>
  <si>
    <t>0,65% de PV</t>
  </si>
  <si>
    <t>G - COFINS</t>
  </si>
  <si>
    <t>3,00% de PV</t>
  </si>
  <si>
    <t>H - ISSQN</t>
  </si>
  <si>
    <t>0,80% de PV</t>
  </si>
  <si>
    <t>Contribuição Previdenciária - Lei N° 13.161/15</t>
  </si>
  <si>
    <t>BDI COM IMPOSTOS</t>
  </si>
  <si>
    <t>Custo Direto - CD</t>
  </si>
  <si>
    <t>BDI Final com impostos</t>
  </si>
  <si>
    <t>Preço de Venda - PV</t>
  </si>
  <si>
    <t>Legenda:</t>
  </si>
  <si>
    <r>
      <rPr>
        <b/>
        <i/>
        <sz val="8"/>
        <color indexed="8"/>
        <rFont val="Calibri Light"/>
        <family val="2"/>
      </rPr>
      <t xml:space="preserve">PV </t>
    </r>
    <r>
      <rPr>
        <i/>
        <sz val="8"/>
        <color indexed="8"/>
        <rFont val="Calibri Light"/>
        <family val="2"/>
      </rPr>
      <t>= Preço de Venda</t>
    </r>
  </si>
  <si>
    <t>IA = Inflação Acumulada (período de 12 meses - IPCA) = 4,84%</t>
  </si>
  <si>
    <t>CD = Custo Direto</t>
  </si>
  <si>
    <t>CF = ((1 + Selic)¹/¹² x ((1+IA)¹/¹² -1)</t>
  </si>
  <si>
    <t>Selic Fev/2014 = 10,52%</t>
  </si>
  <si>
    <t>Seguros e Garantias (2,5% a.a. sobre 5% do PV) - Prazo médio de 1 ano</t>
  </si>
  <si>
    <t>Lucro Operacional conforme Portaria SINFRA n°. 343/05 de 07 de junho de 2005.</t>
  </si>
  <si>
    <t>Localidade / alíquota ISSQN</t>
  </si>
  <si>
    <t>Para Mão de Obra</t>
  </si>
  <si>
    <r>
      <t>Alíquota de Cuiabá</t>
    </r>
    <r>
      <rPr>
        <i/>
        <sz val="11"/>
        <color indexed="10"/>
        <rFont val="Calibri Light"/>
        <family val="2"/>
      </rPr>
      <t>= 5,0%</t>
    </r>
  </si>
  <si>
    <t>40% sobre alíquota</t>
  </si>
  <si>
    <t>Composições Analíticas com Preço Unitário</t>
  </si>
  <si>
    <t>Composições Principais</t>
  </si>
  <si>
    <t>REFERÊNCIA COMPOSIÇÕES PRÓPRIAS</t>
  </si>
  <si>
    <t>Unid.</t>
  </si>
  <si>
    <t>Qtd.(un)</t>
  </si>
  <si>
    <t xml:space="preserve">Planilha Orçamentária </t>
  </si>
  <si>
    <t xml:space="preserve"> Desonerada</t>
  </si>
  <si>
    <t>Bancos Utilizados</t>
  </si>
  <si>
    <t>COBERTURA</t>
  </si>
  <si>
    <t>9.3</t>
  </si>
  <si>
    <t>SDC01018</t>
  </si>
  <si>
    <t>FORNECIMENTO DE ESTRUTURA METÁLICA PARA COBERTURA, COM UTILIZAÇÃO DE PERFIS EM AÇO ASTM A36</t>
  </si>
  <si>
    <t>13.1</t>
  </si>
  <si>
    <t>13.2</t>
  </si>
  <si>
    <t>13.3</t>
  </si>
  <si>
    <t>14.1</t>
  </si>
  <si>
    <t>INSTALAÇÕES ELÉTRICAS</t>
  </si>
  <si>
    <t>ELETRODUTO FLEXÍVEL CORRUGADO, PVC, DN 25 MM (3/4"), PARA CIRCUITOS TERMINAIS, INSTALADO EM FORRO - FORNECIMENTO E INSTALAÇÃO. AF_12/2015</t>
  </si>
  <si>
    <t>MONTAGEM DE ESTRUTURA METÁLICA</t>
  </si>
  <si>
    <t>M²</t>
  </si>
  <si>
    <t>MÊS 03</t>
  </si>
  <si>
    <t xml:space="preserve">MAPA DE COTAÇÃO </t>
  </si>
  <si>
    <t>FONTE</t>
  </si>
  <si>
    <t>CNPJ</t>
  </si>
  <si>
    <t>TELEFONE</t>
  </si>
  <si>
    <t>CONTATO</t>
  </si>
  <si>
    <t>DATA</t>
  </si>
  <si>
    <t xml:space="preserve">UNI </t>
  </si>
  <si>
    <t>P. UNIT. (R$)</t>
  </si>
  <si>
    <t>MEDIANA TOTAL (R$)</t>
  </si>
  <si>
    <t>3.4</t>
  </si>
  <si>
    <t>MÊS</t>
  </si>
  <si>
    <t>3.5</t>
  </si>
  <si>
    <t>73847/001</t>
  </si>
  <si>
    <t>ALUGUEL CONTAINER/ESCRIT INCL INST ELET LARG=2,20 COMP=6,20M          ALT=2,50M CHAPA ACO C/NERV TRAPEZ FORRO C/ISOL TERMO/ACUSTICO         CHASSIS REFORC PISO COMPENS NAVAL EXC TRANSP/CARGA/DESCARGA</t>
  </si>
  <si>
    <t>SDC05004</t>
  </si>
  <si>
    <t>LIGAÇÃO PROVISÓRIA DE ÁGUA E SANITÁRIO</t>
  </si>
  <si>
    <t>8.7</t>
  </si>
  <si>
    <t>89168</t>
  </si>
  <si>
    <t>(COMPOSIÇÃO REPRESENTATIVA) DO SERVIÇO DE ALVENARIA DE VEDAÇÃO DE BLOCOS VAZADOS DE CERÂMICA DE 9X19X19CM (ESPESSURA 9CM), PARA EDIFICAÇÃO HABITACIONAL UNIFAMILIAR (CASA) E EDIFICAÇÃO PÚBLICA PADRÃO. AF_11/2014</t>
  </si>
  <si>
    <t>SDC01017</t>
  </si>
  <si>
    <t>IMPERMEABILIZAÇÃO</t>
  </si>
  <si>
    <t>84665</t>
  </si>
  <si>
    <t>PINTURA ACRILICA PARA SINALIZAÇÃO HORIZONTAL EM PISO CIMENTADO</t>
  </si>
  <si>
    <t>88487</t>
  </si>
  <si>
    <t>APLICAÇÃO MANUAL DE PINTURA COM TINTA LÁTEX PVA EM PAREDES, DUAS DEMÃOS. AF_06/2014</t>
  </si>
  <si>
    <t>91854</t>
  </si>
  <si>
    <t>ELETRODUTO FLEXÍVEL CORRUGADO, PVC, DN 25 MM (3/4"), PARA CIRCUITOS TERMINAIS, INSTALADO EM PAREDE - FORNECIMENTO E INSTALAÇÃO. AF_12/2015</t>
  </si>
  <si>
    <t>91856</t>
  </si>
  <si>
    <t>ELETRODUTO FLEXÍVEL CORRUGADO, PVC, DN 32 MM (1"), PARA CIRCUITOS TERMINAIS, INSTALADO EM PAREDE - FORNECIMENTO E INSTALAÇÃO. AF_12/2015</t>
  </si>
  <si>
    <t>91834</t>
  </si>
  <si>
    <t>91940</t>
  </si>
  <si>
    <t>CAIXA RETANGULAR 4" X 2" MÉDIA (1,30 M DO PISO), PVC, INSTALADA EM PAREDE - FORNECIMENTO E INSTALAÇÃO. AF_12/2015</t>
  </si>
  <si>
    <t>91941</t>
  </si>
  <si>
    <t>CAIXA RETANGULAR 4" X 2" BAIXA (0,30 M DO PISO), PVC, INSTALADA EM PAREDE - FORNECIMENTO E INSTALAÇÃO. AF_12/2015</t>
  </si>
  <si>
    <t>un</t>
  </si>
  <si>
    <t>93663</t>
  </si>
  <si>
    <t>DISJUNTOR BIPOLAR TIPO DIN, CORRENTE NOMINAL DE 25A - FORNECIMENTO E INSTALAÇÃO. AF_04/2016</t>
  </si>
  <si>
    <t>92000</t>
  </si>
  <si>
    <t>TOMADA BAIXA DE EMBUTIR (1 MÓDULO), 2P+T 10 A, INCLUINDO SUPORTE E PLACA - FORNECIMENTO E INSTALAÇÃO. AF_12/2015</t>
  </si>
  <si>
    <t>91955</t>
  </si>
  <si>
    <t>INTERRUPTOR PARALELO (1 MÓDULO), 10A/250V, INCLUINDO SUPORTE E PLACA - FORNECIMENTO E INSTALAÇÃO. AF_12/2015</t>
  </si>
  <si>
    <t>91936</t>
  </si>
  <si>
    <t>CAIXA OCTOGONAL 4" X 4", PVC, INSTALADA EM LAJE - FORNECIMENTO E INSTALAÇÃO. AF_12/2015</t>
  </si>
  <si>
    <t>SDC04009</t>
  </si>
  <si>
    <t>FORNECIMENTO E INSTALAÇÃO DE BARRA DE APOIO PARA PCD, EM AÇO INOX, 80CM</t>
  </si>
  <si>
    <t>SDC04010</t>
  </si>
  <si>
    <t>FORNECIMENTO E INSTALAÇÃO DE PISO PODOTÁTIL, EM CONCRETO, 25x25CM, DIRECIONAL/ALERTA</t>
  </si>
  <si>
    <t>SDC04004</t>
  </si>
  <si>
    <t>FORNECIMENTO E INSTALAÇÃO DE PLACA DE PORTA, EM PVC, COM ESCRITA EM BRAILE, DIMENSÕES 30X10CM</t>
  </si>
  <si>
    <t>15.1</t>
  </si>
  <si>
    <t>15.2</t>
  </si>
  <si>
    <t>91341</t>
  </si>
  <si>
    <t>PORTA EM ALUMÍNIO DE ABRIR TIPO VENEZIANA COM GUARNIÇÃO, FIXAÇÃO COM PARAFUSOS - FORNECIMENTO E INSTALAÇÃO. AF_08/2015</t>
  </si>
  <si>
    <t>16.1</t>
  </si>
  <si>
    <t>86941</t>
  </si>
  <si>
    <t>LAVATÓRIO LOUÇA BRANCA COM COLUNA, 45 X 55CM OU EQUIVALENTE, PADRÃO MÉDIO, INCLUSO SIFÃO TIPO GARRAFA, VÁLVULA E ENGATE FLEXÍVEL DE 40CM EM METAL CROMADO, COM TORNEIRA CROMADA DE MESA, PADRÃO MÉDIO - FORNECIMENTO E INSTALAÇÃO. AF_12/2013</t>
  </si>
  <si>
    <t>16.2</t>
  </si>
  <si>
    <t>86932</t>
  </si>
  <si>
    <t>VASO SANITÁRIO SIFONADO COM CAIXA ACOPLADA LOUÇA BRANCA - PADRÃO MÉDIO, INCLUSO ENGATE FLEXÍVEL EM METAL CROMADO, 1/2 X 40CM - FORNECIMENTO E INSTALAÇÃO. AF_12/2013</t>
  </si>
  <si>
    <t>16.3</t>
  </si>
  <si>
    <t>16.4</t>
  </si>
  <si>
    <t>95544</t>
  </si>
  <si>
    <t>PAPELEIRA DE PAREDE EM METAL CROMADO SEM TAMPA, INCLUSO FIXAÇÃO. AF_10/2016</t>
  </si>
  <si>
    <t>LIMPEZA FINAL DE OBRA</t>
  </si>
  <si>
    <t>17.1</t>
  </si>
  <si>
    <t>17.2</t>
  </si>
  <si>
    <t>17.3</t>
  </si>
  <si>
    <t>9537</t>
  </si>
  <si>
    <t>LIMPEZA FINAL DA OBRA</t>
  </si>
  <si>
    <t>INSTALAÇÕES HIDROSSANITÁRIAS</t>
  </si>
  <si>
    <t>18.1</t>
  </si>
  <si>
    <t>89987</t>
  </si>
  <si>
    <t>REGISTRO DE GAVETA BRUTO, LATÃO, ROSCÁVEL, 3/4", COM ACABAMENTO E CANOPLA CROMADOS. FORNECIDO E INSTALADO EM RAMAL DE ÁGUA. AF_12/2014</t>
  </si>
  <si>
    <t>18.2</t>
  </si>
  <si>
    <t>18.3</t>
  </si>
  <si>
    <t>89383</t>
  </si>
  <si>
    <t>ADAPTADOR CURTO COM BOLSA E ROSCA PARA REGISTRO, PVC, SOLDÁVEL, DN 25MM X 3/4, INSTALADO EM RAMAL OU SUB-RAMAL DE ÁGUA - FORNECIMENTO E INSTALAÇÃO. AF_12/2014</t>
  </si>
  <si>
    <t>18.4</t>
  </si>
  <si>
    <t>89481</t>
  </si>
  <si>
    <t>JOELHO 90 GRAUS, PVC, SOLDÁVEL, DN 25MM, INSTALADO EM PRUMADA DE ÁGUA - FORNECIMENTO E INSTALAÇÃO. AF_12/2014</t>
  </si>
  <si>
    <t>18.5</t>
  </si>
  <si>
    <t>18.6</t>
  </si>
  <si>
    <t>89356</t>
  </si>
  <si>
    <t>TUBO, PVC, SOLDÁVEL, DN 25MM, INSTALADO EM RAMAL OU SUB-RAMAL DE ÁGUA - FORNECIMENTO E INSTALAÇÃO. AF_12/2014</t>
  </si>
  <si>
    <t>89440</t>
  </si>
  <si>
    <t>TE, PVC, SOLDÁVEL, DN 25MM, INSTALADO EM RAMAL DE DISTRIBUIÇÃO DE ÁGUA - FORNECIMENTO E INSTALAÇÃO. AF_12/2014</t>
  </si>
  <si>
    <t>90373</t>
  </si>
  <si>
    <t>JOELHO 90 GRAUS COM BUCHA DE LATÃO, PVC, SOLDÁVEL, DN 25MM, X 1/2 INSTALADO EM RAMAL OU SUB-RAMAL DE ÁGUA - FORNECIMENTO E INSTALAÇÃO. AF_12/2014</t>
  </si>
  <si>
    <t>SDC02004</t>
  </si>
  <si>
    <t>CAIXA SIFONADA DE PVC COM GRELHA BRANCA, 150 X 150 X 50 MM</t>
  </si>
  <si>
    <t>89748</t>
  </si>
  <si>
    <t>CURVA CURTA 90 GRAUS, PVC, SERIE NORMAL, ESGOTO PREDIAL, DN 100 MM, JUNTA ELÁSTICA, FORNECIDO E INSTALADO EM RAMAL DE DESCARGA OU RAMAL DE ESGOTO SANITÁRIO. AF_12/2014</t>
  </si>
  <si>
    <t>89728</t>
  </si>
  <si>
    <t>CURVA CURTA 90 GRAUS, PVC, SERIE NORMAL, ESGOTO PREDIAL, DN 40 MM, JUNTA SOLDÁVEL, FORNECIDO E INSTALADO EM RAMAL DE DESCARGA OU RAMAL DE ESGOTO SANITÁRIO. AF_12/2014</t>
  </si>
  <si>
    <t>89732</t>
  </si>
  <si>
    <t>JOELHO 45 GRAUS, PVC, SERIE NORMAL, ESGOTO PREDIAL, DN 50 MM, JUNTA ELÁSTICA, FORNECIDO E INSTALADO EM RAMAL DE DESCARGA OU RAMAL DE ESGOTO SANITÁRIO. AF_12/2014</t>
  </si>
  <si>
    <t>89726</t>
  </si>
  <si>
    <t>JOELHO 45 GRAUS, PVC, SERIE NORMAL, ESGOTO PREDIAL, DN 40 MM, JUNTA SOLDÁVEL, FORNECIDO E INSTALADO EM RAMAL DE DESCARGA OU RAMAL DE ESGOTO SANITÁRIO. AF_12/2014</t>
  </si>
  <si>
    <t>89731</t>
  </si>
  <si>
    <t>JOELHO 90 GRAUS, PVC, SERIE NORMAL, ESGOTO PREDIAL, DN 50 MM, JUNTA ELÁSTICA, FORNECIDO E INSTALADO EM RAMAL DE DESCARGA OU RAMAL DE ESGOTO SANITÁRIO. AF_12/2014</t>
  </si>
  <si>
    <t>89778</t>
  </si>
  <si>
    <t>LUVA SIMPLES, PVC, SERIE NORMAL, ESGOTO PREDIAL, DN 100 MM, JUNTA ELÁSTICA, FORNECIDO E INSTALADO EM RAMAL DE DESCARGA OU RAMAL DE ESGOTO SANITÁRIO. AF_12/2014</t>
  </si>
  <si>
    <t>89714</t>
  </si>
  <si>
    <t>TUBO PVC, SERIE NORMAL, ESGOTO PREDIAL, DN 100 MM, FORNECIDO E INSTALADO EM RAMAL DE DESCARGA OU RAMAL DE ESGOTO SANITÁRIO. AF_12/2014</t>
  </si>
  <si>
    <t>89712</t>
  </si>
  <si>
    <t>TUBO PVC, SERIE NORMAL, ESGOTO PREDIAL, DN 50 MM, FORNECIDO E INSTALADO EM RAMAL DE DESCARGA OU RAMAL DE ESGOTO SANITÁRIO. AF_12/2014</t>
  </si>
  <si>
    <t>89711</t>
  </si>
  <si>
    <t>TUBO PVC, SERIE NORMAL, ESGOTO PREDIAL, DN 40 MM, FORNECIDO E INSTALADO EM RAMAL DE DESCARGA OU RAMAL DE ESGOTO SANITÁRIO. AF_12/2014</t>
  </si>
  <si>
    <t>89784</t>
  </si>
  <si>
    <t>TE, PVC, SERIE NORMAL, ESGOTO PREDIAL, DN 50 X 50 MM, JUNTA ELÁSTICA, FORNECIDO E INSTALADO EM RAMAL DE DESCARGA OU RAMAL DE ESGOTO SANITÁRIO. AF_12/2014</t>
  </si>
  <si>
    <t>10.4</t>
  </si>
  <si>
    <t>17.4</t>
  </si>
  <si>
    <t>17.5</t>
  </si>
  <si>
    <t>19.1</t>
  </si>
  <si>
    <t>19.2</t>
  </si>
  <si>
    <t>19.3</t>
  </si>
  <si>
    <t>CORTE E DOBRA DE AÇO CA-50, DIÂMETRO DE 16,0 MM, UTILIZADO EM ESTRUTURAS DIVERSAS, EXCETO LAJES. AF_12/2015</t>
  </si>
  <si>
    <t>CORTE E DOBRA DE AÇO CA-50, DIÂMETRO DE 12,5 MM, UTILIZADO EM ESTRUTURAS DIVERSAS, EXCETO LAJES. AF_12/2015</t>
  </si>
  <si>
    <t>MÊS 04</t>
  </si>
  <si>
    <t>LOUÇAS E METAIS</t>
  </si>
  <si>
    <t>UNID.</t>
  </si>
  <si>
    <t>QTD.</t>
  </si>
  <si>
    <t>CAIXAS DE PASSAGEM</t>
  </si>
  <si>
    <t>PVC ACESSÓRIOS - SANITÁRIO</t>
  </si>
  <si>
    <t xml:space="preserve"> CAIXA SIFONADA 150X150X50MM - FORNECIMENTO E INSTALAÇÃO</t>
  </si>
  <si>
    <t>PVC ESGOTO</t>
  </si>
  <si>
    <t xml:space="preserve"> CURVA CURTA 90 GRAUS, PVC, SERIE NORMAL, ESGOTO PREDIAL, DN 100 MM, JUNTA ELÁSTICA, FORNECIDO E INSTALADO EM RAMAL DE DESCARGA OU RAMAL DE ESGOTO SANITÁRIO. AF_12/2014</t>
  </si>
  <si>
    <t xml:space="preserve"> JOELHO 45 GRAUS, PVC, SERIE NORMAL, ESGOTO PREDIAL, DN 40 MM, JUNTA SOLDÁVEL, FORNECIDO E INSTALADO EM RAMAL DE DESCARGA OU RAMAL DE ESGOTO SANITÁRIO. AF_12/2014</t>
  </si>
  <si>
    <t>JOELHO C/ ANEL P/ ESGOTO SECUNDARIO 90° x 40mm - 1.1/2" - FORNECIMENTO E INSTALAÇÃO</t>
  </si>
  <si>
    <t xml:space="preserve"> JUNÇÃO SIMPLES 100X50MM - FORNECIMENTO E INSTALAÇÃO</t>
  </si>
  <si>
    <t>SERVIÇOS TÉCNICOS</t>
  </si>
  <si>
    <t>SDC01228</t>
  </si>
  <si>
    <t>EXECUÇÃO DE SONDAGEM À PERCUSSÃO SPT - REGIÃO DE CUIABÁ</t>
  </si>
  <si>
    <t>97625</t>
  </si>
  <si>
    <t>DEMOLIÇÃO DE ALVENARIA PARA QUALQUER TIPO DE BLOCO, DE FORMA MECANIZADA, SEM REAPROVEITAMENTO. AF_12/2017</t>
  </si>
  <si>
    <t>97644</t>
  </si>
  <si>
    <t>REMOÇÃO DE PORTAS, DE FORMA MANUAL, SEM REAPROVEITAMENTO. AF_12/2017</t>
  </si>
  <si>
    <t>97647</t>
  </si>
  <si>
    <t>REMOÇÃO DE TELHAS, DE FIBROCIMENTO, METÁLICA E CERÂMICA, DE FORMA MANUAL, SEM REAPROVEITAMENTO. AF_12/2017</t>
  </si>
  <si>
    <t>4.2</t>
  </si>
  <si>
    <t>4.3</t>
  </si>
  <si>
    <t>4.4</t>
  </si>
  <si>
    <t>4.5</t>
  </si>
  <si>
    <t>93210</t>
  </si>
  <si>
    <t>EXECUÇÃO DE REFEITÓRIO EM CANTEIRO DE OBRA EM CHAPA DE MADEIRA COMPENSADA, NÃO INCLUSO MOBILIÁRIO E EQUIPAMENTOS. AF_02/2016</t>
  </si>
  <si>
    <t>4.6</t>
  </si>
  <si>
    <t>73992/001</t>
  </si>
  <si>
    <t>LOCACAO CONVENCIONAL DE OBRA, ATRAVÉS DE GABARITO DE TABUAS CORRIDAS PONTALETADAS A CADA 1,50M, SEM REAPROVEITAMENTO</t>
  </si>
  <si>
    <t>4.7</t>
  </si>
  <si>
    <t>4.8</t>
  </si>
  <si>
    <t>4.9</t>
  </si>
  <si>
    <t>LIMPEZA DA OBRA</t>
  </si>
  <si>
    <t>93382</t>
  </si>
  <si>
    <t>REATERRO MANUAL DE VALAS COM COMPACTAÇÃO MECANIZADA. AF_04/2016</t>
  </si>
  <si>
    <t>96619</t>
  </si>
  <si>
    <t>LASTRO DE CONCRETO MAGRO, APLICADO EM BLOCOS DE COROAMENTO OU SAPATAS, ESPESSURA DE 5 CM. AF_08/2017</t>
  </si>
  <si>
    <t>96536</t>
  </si>
  <si>
    <t>FABRICAÇÃO, MONTAGEM E DESMONTAGEM DE FÔRMA PARA VIGA BALDRAME, EM MADEIRA SERRADA, E=25 MM, 4 UTILIZAÇÕES. AF_06/2017</t>
  </si>
  <si>
    <t>SDC01198</t>
  </si>
  <si>
    <t>CONCRETO USINADO BOMBEAVEL, CLASSE DE RESISTENCIA C25, COM BRITA 0 E 1, SLUMP = 100 +/- 20 MM, BOMBEADO, LANÇADO E ADENSADO EM ESTRUTURA.</t>
  </si>
  <si>
    <t>8.8</t>
  </si>
  <si>
    <t>96543</t>
  </si>
  <si>
    <t>ARMAÇÃO DE BLOCO, VIGA BALDRAME E SAPATA UTILIZANDO AÇO CA-60 DE 5 MM - MONTAGEM. AF_06/2017</t>
  </si>
  <si>
    <t>8.9</t>
  </si>
  <si>
    <t>96544</t>
  </si>
  <si>
    <t>ARMAÇÃO DE BLOCO, VIGA BALDRAME OU SAPATA UTILIZANDO AÇO CA-50 DE 6,3 MM - MONTAGEM. AF_06/2017</t>
  </si>
  <si>
    <t>8.10</t>
  </si>
  <si>
    <t>8.11</t>
  </si>
  <si>
    <t>96546</t>
  </si>
  <si>
    <t>ARMAÇÃO DE BLOCO, VIGA BALDRAME OU SAPATA UTILIZANDO AÇO CA-50 DE 10 MM - MONTAGEM. AF_06/2017</t>
  </si>
  <si>
    <t>96547</t>
  </si>
  <si>
    <t>ARMAÇÃO DE BLOCO, VIGA BALDRAME OU SAPATA UTILIZANDO AÇO CA-50 DE 12,5 MM - MONTAGEM. AF_06/2017</t>
  </si>
  <si>
    <t>96548</t>
  </si>
  <si>
    <t>ARMAÇÃO DE BLOCO, VIGA BALDRAME OU SAPATA UTILIZANDO AÇO CA-50 DE 16 MM - MONTAGEM. AF_06/2017</t>
  </si>
  <si>
    <t>SUPER-ESTRUTURA</t>
  </si>
  <si>
    <t>92269</t>
  </si>
  <si>
    <t>FABRICAÇÃO DE FÔRMA PARA PILARES E ESTRUTURAS SIMILARES, EM MADEIRA SERRADA, E=25 MM. AF_12/2015</t>
  </si>
  <si>
    <t>92270</t>
  </si>
  <si>
    <t>FABRICAÇÃO DE FÔRMA PARA VIGAS, COM MADEIRA SERRADA, E = 25 MM. AF_12/2015</t>
  </si>
  <si>
    <t>9.4</t>
  </si>
  <si>
    <t>92775</t>
  </si>
  <si>
    <t>ARMAÇÃO DE PILAR OU VIGA DE UMA ESTRUTURA CONVENCIONAL DE CONCRETO ARMADO EM UMA EDIFICAÇÃO TÉRREA OU SOBRADO UTILIZANDO AÇO CA-60 DE 5,0 MM - MONTAGEM. AF_12/2015</t>
  </si>
  <si>
    <t>9.5</t>
  </si>
  <si>
    <t>92776</t>
  </si>
  <si>
    <t>ARMAÇÃO DE PILAR OU VIGA DE UMA ESTRUTURA CONVENCIONAL DE CONCRETO ARMADO EM UMA EDIFICAÇÃO TÉRREA OU SOBRADO UTILIZANDO AÇO CA-50 DE 6,3 MM - MONTAGEM. AF_12/2015</t>
  </si>
  <si>
    <t>9.6</t>
  </si>
  <si>
    <t>92777</t>
  </si>
  <si>
    <t>ARMAÇÃO DE PILAR OU VIGA DE UMA ESTRUTURA CONVENCIONAL DE CONCRETO ARMADO EM UMA EDIFICAÇÃO TÉRREA OU SOBRADO UTILIZANDO AÇO CA-50 DE 8,0 MM - MONTAGEM. AF_12/2015</t>
  </si>
  <si>
    <t>9.7</t>
  </si>
  <si>
    <t>92778</t>
  </si>
  <si>
    <t>ARMAÇÃO DE PILAR OU VIGA DE UMA ESTRUTURA CONVENCIONAL DE CONCRETO ARMADO EM UMA EDIFICAÇÃO TÉRREA OU SOBRADO UTILIZANDO AÇO CA-50 DE 10,0 MM - MONTAGEM. AF_12/2015</t>
  </si>
  <si>
    <t>92779</t>
  </si>
  <si>
    <t>ARMAÇÃO DE PILAR OU VIGA DE UMA ESTRUTURA CONVENCIONAL DE CONCRETO ARMADO EM UMA EDIFICAÇÃO TÉRREA OU SOBRADO UTILIZANDO AÇO CA-50 DE 12,5 MM - MONTAGEM. AF_12/2015</t>
  </si>
  <si>
    <t>92780</t>
  </si>
  <si>
    <t>ARMAÇÃO DE PILAR OU VIGA DE UMA ESTRUTURA CONVENCIONAL DE CONCRETO ARMADO EM UMA EDIFICAÇÃO TÉRREA OU SOBRADO UTILIZANDO AÇO CA-50 DE 16,0 MM - MONTAGEM. AF_12/2015</t>
  </si>
  <si>
    <t>85662</t>
  </si>
  <si>
    <t>ARMACAO EM TELA DE ACO SOLDADA NERVURADA Q-92, ACO CA-60, 4,2MM, MALHA 15X15CM</t>
  </si>
  <si>
    <t>ALVENARIAS E DIVISÓRIAS</t>
  </si>
  <si>
    <t>93183</t>
  </si>
  <si>
    <t>VERGA PRÉ-MOLDADA PARA JANELAS COM MAIS DE 1,5 M DE VÃO. AF_03/2016</t>
  </si>
  <si>
    <t>93195</t>
  </si>
  <si>
    <t>CONTRAVERGA PRÉ-MOLDADA PARA VÃOS DE MAIS DE 1,5 M DE COMPRIMENTO. AF_03/2016</t>
  </si>
  <si>
    <t>93184</t>
  </si>
  <si>
    <t>VERGA PRÉ-MOLDADA PARA PORTAS COM ATÉ 1,5 M DE VÃO. AF_03/2016</t>
  </si>
  <si>
    <t>ESQUADRIA E FERRAGENS</t>
  </si>
  <si>
    <t>11.2</t>
  </si>
  <si>
    <t>94231</t>
  </si>
  <si>
    <t>RUFO EM CHAPA DE AÇO GALVANIZADO NÚMERO 24, CORTE DE 25 CM, INCLUSO TRANSPORTE VERTICAL. AF_06/2016</t>
  </si>
  <si>
    <t>92796</t>
  </si>
  <si>
    <t>92795</t>
  </si>
  <si>
    <t>87874</t>
  </si>
  <si>
    <t>CHAPISCO APLICADO EM ALVENARIAS E ESTRUTURAS DE CONCRETO INTERNAS, COM ROLO PARA TEXTURA ACRÍLICA.  ARGAMASSA TRAÇO 1:4 E EMULSÃO POLIMÉRICA (ADESIVO) COM PREPARO EM BETONEIRA 400L. AF_06/2014</t>
  </si>
  <si>
    <t>FORRO</t>
  </si>
  <si>
    <t>96114</t>
  </si>
  <si>
    <t>FORRO EM DRYWALL, PARA AMBIENTES COMERCIAIS, INCLUSIVE ESTRUTURA DE FIXAÇÃO. AF_05/2017_P</t>
  </si>
  <si>
    <t>PAVIMENTAÇÕES</t>
  </si>
  <si>
    <t>84191</t>
  </si>
  <si>
    <t>PISO EM GRANILITE, MARMORITE OU GRANITINA ESPESSURA 8 MM, INCLUSO JUNTAS DE DILATACAO PLASTICAS</t>
  </si>
  <si>
    <t>SDC01011</t>
  </si>
  <si>
    <t>RODAPE EM GRANILITE, ALTURA 10CM</t>
  </si>
  <si>
    <t>93441</t>
  </si>
  <si>
    <t>BANCADA DE GRANITO CINZA POLIDO 150 X 60 CM, COM CUBA DE EMBUTIR DE AÇO INOXIDÁVEL MÉDIA, VÁLVULA AMERICANA EM METAL CROMADO, SIFÃO FLEXÍVEL EM PVC, ENGATE FLEXÍVEL 30 CM, TORNEIRA CROMADA LONGA DE PAREDE, 1/2 OU 3/4, PARA PIA DE COZINHA, PADRÃO POPULAR- FORNEC. E INSTAL. AF_12/2013</t>
  </si>
  <si>
    <t>SDC02002</t>
  </si>
  <si>
    <t>BUCHA DE REDUCAO DE PVC, SOLDAVEL, LONGA, COM 50X25 MM</t>
  </si>
  <si>
    <t>19.4</t>
  </si>
  <si>
    <t>SDC02022</t>
  </si>
  <si>
    <t>BUCHA DE REDUCAO DE PVC, SOLDAVEL, LONGA, COM 50 X 32 MM</t>
  </si>
  <si>
    <t>19.5</t>
  </si>
  <si>
    <t>SDC02015</t>
  </si>
  <si>
    <t>BUCHA DE REDUCAO DE PVC, SOLDAVEL, CURTA COM 32 X 25 MM</t>
  </si>
  <si>
    <t>19.6</t>
  </si>
  <si>
    <t>89363</t>
  </si>
  <si>
    <t>JOELHO 45 GRAUS, PVC, SOLDÁVEL, DN 25MM, INSTALADO EM RAMAL OU SUB-RAMAL DE ÁGUA - FORNECIMENTO E INSTALAÇÃO. AF_12/2014</t>
  </si>
  <si>
    <t>19.7</t>
  </si>
  <si>
    <t>89502</t>
  </si>
  <si>
    <t>JOELHO 45 GRAUS, PVC, SOLDÁVEL, DN 50MM, INSTALADO EM PRUMADA DE ÁGUA - FORNECIMENTO E INSTALAÇÃO. AF_12/2014</t>
  </si>
  <si>
    <t>19.8</t>
  </si>
  <si>
    <t>89501</t>
  </si>
  <si>
    <t>JOELHO 90 GRAUS, PVC, SOLDÁVEL, DN 50MM, INSTALADO EM PRUMADA DE ÁGUA - FORNECIMENTO E INSTALAÇÃO. AF_12/2014</t>
  </si>
  <si>
    <t>19.9</t>
  </si>
  <si>
    <t>19.10</t>
  </si>
  <si>
    <t>89368</t>
  </si>
  <si>
    <t>JOELHO 45 GRAUS, PVC, SOLDÁVEL, DN 32MM, INSTALADO EM RAMAL OU SUB-RAMAL DE ÁGUA - FORNECIMENTO E INSTALAÇÃO. AF_12/2014</t>
  </si>
  <si>
    <t>19.11</t>
  </si>
  <si>
    <t>19.12</t>
  </si>
  <si>
    <t>19.13</t>
  </si>
  <si>
    <t>19.14</t>
  </si>
  <si>
    <t>89448</t>
  </si>
  <si>
    <t>TUBO, PVC, SOLDÁVEL, DN 40MM, INSTALADO EM PRUMADA DE ÁGUA - FORNECIMENTO E INSTALAÇÃO. AF_12/2014</t>
  </si>
  <si>
    <t>19.15</t>
  </si>
  <si>
    <t>89449</t>
  </si>
  <si>
    <t>TUBO, PVC, SOLDÁVEL, DN 50MM, INSTALADO EM PRUMADA DE ÁGUA - FORNECIMENTO E INSTALAÇÃO. AF_12/2014</t>
  </si>
  <si>
    <t>19.16</t>
  </si>
  <si>
    <t>89622</t>
  </si>
  <si>
    <t>TÊ DE REDUÇÃO, PVC, SOLDÁVEL, DN 32MM X 25MM, INSTALADO EM PRUMADA DE ÁGUA - FORNECIMENTO E INSTALAÇÃO. AF_12/2014</t>
  </si>
  <si>
    <t>19.17</t>
  </si>
  <si>
    <t>89627</t>
  </si>
  <si>
    <t>TÊ DE REDUÇÃO, PVC, SOLDÁVEL, DN 50MM X 25MM, INSTALADO EM PRUMADA DE ÁGUA - FORNECIMENTO E INSTALAÇÃO. AF_12/2014</t>
  </si>
  <si>
    <t>19.18</t>
  </si>
  <si>
    <t>89626</t>
  </si>
  <si>
    <t>TÊ DE REDUÇÃO, PVC, SOLDÁVEL, DN 50MM X 40MM, INSTALADO EM PRUMADA DE ÁGUA - FORNECIMENTO E INSTALAÇÃO. AF_12/2014</t>
  </si>
  <si>
    <t>19.19</t>
  </si>
  <si>
    <t>19.20</t>
  </si>
  <si>
    <t>19.21</t>
  </si>
  <si>
    <t>19.22</t>
  </si>
  <si>
    <t>19.23</t>
  </si>
  <si>
    <t>19.24</t>
  </si>
  <si>
    <t>SDC02278</t>
  </si>
  <si>
    <t>CURVA LONGA 45 GRAUS, PVC, SERIE NORMAL, ESGOTO PREDIAL, DN 40 MM, FORNECIDO E INSTALADO EM RAMAL DE DESCARGA OU RAMAL DE ESGOTO SANITÁRIO</t>
  </si>
  <si>
    <t>19.25</t>
  </si>
  <si>
    <t>19.26</t>
  </si>
  <si>
    <t>89733</t>
  </si>
  <si>
    <t>CURVA CURTA 90 GRAUS, PVC, SERIE NORMAL, ESGOTO PREDIAL, DN 50 MM, JUNTA ELÁSTICA, FORNECIDO E INSTALADO EM RAMAL DE DESCARGA OU RAMAL DE ESGOTO SANITÁRIO. AF_12/2014</t>
  </si>
  <si>
    <t>19.27</t>
  </si>
  <si>
    <t>19.28</t>
  </si>
  <si>
    <t>19.29</t>
  </si>
  <si>
    <t>19.30</t>
  </si>
  <si>
    <t>SDC02127</t>
  </si>
  <si>
    <t>JOELHO PVC, COM BOLSA E ANEL, 90 GRAUS, DN 40 X *38* MM, SERIE NORMAL, PARA ESGOTO PREDIAL</t>
  </si>
  <si>
    <t>19.31</t>
  </si>
  <si>
    <t>SDC02273</t>
  </si>
  <si>
    <t>JUNCAO PVC ESGOTO 100X50MM - FORNECIMENTO E INSTALACAO</t>
  </si>
  <si>
    <t>19.32</t>
  </si>
  <si>
    <t>89797</t>
  </si>
  <si>
    <t>JUNÇÃO SIMPLES, PVC, SERIE NORMAL, ESGOTO PREDIAL, DN 100 X 100 MM, JUNTA ELÁSTICA, FORNECIDO E INSTALADO EM RAMAL DE DESCARGA OU RAMAL DE ESGOTO SANITÁRIO. AF_12/2014</t>
  </si>
  <si>
    <t>19.33</t>
  </si>
  <si>
    <t>89785</t>
  </si>
  <si>
    <t>JUNÇÃO SIMPLES, PVC, SERIE NORMAL, ESGOTO PREDIAL, DN 50 X 50 MM, JUNTA ELÁSTICA, FORNECIDO E INSTALADO EM RAMAL DE DESCARGA OU RAMAL DE ESGOTO SANITÁRIO. AF_12/2014</t>
  </si>
  <si>
    <t>19.34</t>
  </si>
  <si>
    <t>89783</t>
  </si>
  <si>
    <t>JUNÇÃO SIMPLES, PVC, SERIE NORMAL, ESGOTO PREDIAL, DN 40 MM, JUNTA SOLDÁVEL, FORNECIDO E INSTALADO EM RAMAL DE DESCARGA OU RAMAL DE ESGOTO SANITÁRIO. AF_12/2014</t>
  </si>
  <si>
    <t>89753</t>
  </si>
  <si>
    <t>LUVA SIMPLES, PVC, SERIE NORMAL, ESGOTO PREDIAL, DN 50 MM, JUNTA ELÁSTICA, FORNECIDO E INSTALADO EM RAMAL DE DESCARGA OU RAMAL DE ESGOTO SANITÁRIO. AF_12/2014</t>
  </si>
  <si>
    <t>SDC02008</t>
  </si>
  <si>
    <t>FORNECIMENTO E INSTALAÇÃO DE TERMINAL DE VENTILAÇÃO, SÉRIE NORMAL, DN 50MM</t>
  </si>
  <si>
    <t>21.1</t>
  </si>
  <si>
    <t>21.2</t>
  </si>
  <si>
    <t>21.3</t>
  </si>
  <si>
    <t>21.4</t>
  </si>
  <si>
    <t>91981</t>
  </si>
  <si>
    <t>INTERRUPTOR BIPOLAR (1 MÓDULO), 10A/250V, INCLUINDO SUPORTE E PLACA - FORNECIMENTO E INSTALAÇÃO. AF_09/2017</t>
  </si>
  <si>
    <t>21.5</t>
  </si>
  <si>
    <t>21.6</t>
  </si>
  <si>
    <t>21.7</t>
  </si>
  <si>
    <t>21.8</t>
  </si>
  <si>
    <t>93655</t>
  </si>
  <si>
    <t>DISJUNTOR MONOPOLAR TIPO DIN, CORRENTE NOMINAL DE 20A - FORNECIMENTO E INSTALAÇÃO. AF_04/2016</t>
  </si>
  <si>
    <t>21.9</t>
  </si>
  <si>
    <t>93656</t>
  </si>
  <si>
    <t>DISJUNTOR MONOPOLAR TIPO DIN, CORRENTE NOMINAL DE 25A - FORNECIMENTO E INSTALAÇÃO. AF_04/2016</t>
  </si>
  <si>
    <t>21.10</t>
  </si>
  <si>
    <t>93662</t>
  </si>
  <si>
    <t>DISJUNTOR BIPOLAR TIPO DIN, CORRENTE NOMINAL DE 20A - FORNECIMENTO E INSTALAÇÃO. AF_04/2016</t>
  </si>
  <si>
    <t>21.11</t>
  </si>
  <si>
    <t>93664</t>
  </si>
  <si>
    <t>DISJUNTOR BIPOLAR TIPO DIN, CORRENTE NOMINAL DE 32A - FORNECIMENTO E INSTALAÇÃO. AF_04/2016</t>
  </si>
  <si>
    <t>21.12</t>
  </si>
  <si>
    <t>21.13</t>
  </si>
  <si>
    <t>21.14</t>
  </si>
  <si>
    <t>21.15</t>
  </si>
  <si>
    <t>21.16</t>
  </si>
  <si>
    <t>21.17</t>
  </si>
  <si>
    <t>21.18</t>
  </si>
  <si>
    <t>91836</t>
  </si>
  <si>
    <t>ELETRODUTO FLEXÍVEL CORRUGADO, PVC, DN 32 MM (1"), PARA CIRCUITOS TERMINAIS, INSTALADO EM FORRO - FORNECIMENTO E INSTALAÇÃO. AF_12/2015</t>
  </si>
  <si>
    <t>21.19</t>
  </si>
  <si>
    <t>21.20</t>
  </si>
  <si>
    <t>SDC03007</t>
  </si>
  <si>
    <t>LUMINARIA TIPO CALHA, DE SOBREPOR, COM LAMPADA TUBULAR LED 2X20W COM FLUXO LUMINOSO MÍNIMO DE 4400 LÚMENS, COMPLETA, FORNECIMENTO E INSTALACAO</t>
  </si>
  <si>
    <t>21.21</t>
  </si>
  <si>
    <t>21.22</t>
  </si>
  <si>
    <t>21.23</t>
  </si>
  <si>
    <t>91926</t>
  </si>
  <si>
    <t>CABO DE COBRE FLEXÍVEL ISOLADO, 2,5 MM², ANTI-CHAMA 450/750 V, PARA CIRCUITOS TERMINAIS - FORNECIMENTO E INSTALAÇÃO. AF_12/2015</t>
  </si>
  <si>
    <t>21.24</t>
  </si>
  <si>
    <t>21.25</t>
  </si>
  <si>
    <t>91928</t>
  </si>
  <si>
    <t>CABO DE COBRE FLEXÍVEL ISOLADO, 4 MM², ANTI-CHAMA 450/750 V, PARA CIRCUITOS TERMINAIS - FORNECIMENTO E INSTALAÇÃO. AF_12/2015</t>
  </si>
  <si>
    <t>21.26</t>
  </si>
  <si>
    <t>91930</t>
  </si>
  <si>
    <t>CABO DE COBRE FLEXÍVEL ISOLADO, 6 MM², ANTI-CHAMA 450/750 V, PARA CIRCUITOS TERMINAIS - FORNECIMENTO E INSTALAÇÃO. AF_12/2015</t>
  </si>
  <si>
    <t>21.27</t>
  </si>
  <si>
    <t>21.28</t>
  </si>
  <si>
    <t>74131/008</t>
  </si>
  <si>
    <t>QUADRO DE DISTRIBUICAO DE ENERGIA DE EMBUTIR, EM CHAPA METALICA, PARA 50 DISJUNTORES TERMOMAGNETICOS MONOPOLARES, COM BARRAMENTO TRIFASICO E NEUTRO, FORNECIMENTO E INSTALACAO</t>
  </si>
  <si>
    <t>21.29</t>
  </si>
  <si>
    <t>LÓGICA</t>
  </si>
  <si>
    <t>SES0003</t>
  </si>
  <si>
    <t>Fornecimento e instalação de eletrocalha perfurada 200 x 100 mm</t>
  </si>
  <si>
    <t>SES0002</t>
  </si>
  <si>
    <t>Curva horizontal 200 x 100 mm para eletrocalha metálica, com ângulo 90°</t>
  </si>
  <si>
    <t>SES0008</t>
  </si>
  <si>
    <t>Fornecimento e Instalação de TÊ HORIZONTAL 90 "U" 200X100MM para eletrocalha</t>
  </si>
  <si>
    <t>Un</t>
  </si>
  <si>
    <t>SES041</t>
  </si>
  <si>
    <t>FORNECIMENTO E INSTALAÇÃO DE CAIXA DE PASSAGEM SOBREPOR COM TAMPA 10 X 10 CM</t>
  </si>
  <si>
    <t>95750</t>
  </si>
  <si>
    <t>ELETRODUTO DE AÇO GALVANIZADO, CLASSE LEVE, DN 25 MM (1), APARENTE, INSTALADO EM PAREDE - FORNECIMENTO E INSTALAÇÃO. AF_11/2016_P</t>
  </si>
  <si>
    <t>95758</t>
  </si>
  <si>
    <t>LUVA DE EMENDA PARA ELETRODUTO, AÇO GALVANIZADO, DN 25 MM (1''), APARENTE, INSTALADA EM PAREDE - FORNECIMENTO E INSTALAÇÃO. AF_11/2016_P</t>
  </si>
  <si>
    <t>SES0019</t>
  </si>
  <si>
    <t>FORNECIMENTO E INSTALAÇAO DE CAMERA BULLET IP POE 2 MPIXEL IR20 3.6MM 20M VIP1220B</t>
  </si>
  <si>
    <t>SES0020</t>
  </si>
  <si>
    <t>FORNECIMENTO E INSTALAÇÃO DE NVR 32 CANAIS IP NVD7032</t>
  </si>
  <si>
    <t>SES0021</t>
  </si>
  <si>
    <t>FORNECIMENTO E INSTALAÇÃO DE HD HARD DISK 8TB 7200 RPM</t>
  </si>
  <si>
    <t>SDC03231</t>
  </si>
  <si>
    <t>CABO UTP CAT. 6  (USO INTERNO) - FORNECIMENTO E INSTALACAO</t>
  </si>
  <si>
    <t>SES0024</t>
  </si>
  <si>
    <t>FORNECIMENTO E INSTALAÇÃO DE CABO DE FIBRA OPTICA SM 0.9  6FO ANTI ROEDOR</t>
  </si>
  <si>
    <t>SDC03233</t>
  </si>
  <si>
    <t>RACK (ARMÁRIO REDE DE LÓGICA 19"), 16U</t>
  </si>
  <si>
    <t>SES0017</t>
  </si>
  <si>
    <t>FORNECIMENTO E INSTALAÇÃO DE GUIA CABO 19" HORIZONTAL FECHADO 1U X 50MM PARA RACK LÓGICA (ORGANIZADOR DE CABO)</t>
  </si>
  <si>
    <t>SDC03117</t>
  </si>
  <si>
    <t>SWITCH 48P 10/100/1000 + 4P SFP C/ GER.</t>
  </si>
  <si>
    <t>SES0022</t>
  </si>
  <si>
    <t>FORNECIMENTO E INSTALAÇÃO DE DISTRIBUIDOR OPTICO 19" X 1U 12P SM 0.9 SC COMPLETO</t>
  </si>
  <si>
    <t>SDC03095</t>
  </si>
  <si>
    <t>PATCH CORD - CAT.06 - 1,5M</t>
  </si>
  <si>
    <t>SDC03030</t>
  </si>
  <si>
    <t>CONECTOR RJ45 FÊMEA - CAT.06</t>
  </si>
  <si>
    <t>SES047</t>
  </si>
  <si>
    <t>FORNECIMENTO E INSTALAÇÃO DE CENTRAL PABX</t>
  </si>
  <si>
    <t>SES0032</t>
  </si>
  <si>
    <t>SERVIÇO DE CERTIFICAÇÃO DE CABEAMENTO DE REDE TIPO CAT5E, CAT6</t>
  </si>
  <si>
    <t>SES0031</t>
  </si>
  <si>
    <t>SERVIÇO DE CERTIFICAÇÃO DE FIBRA OPTICA</t>
  </si>
  <si>
    <t>PREVENÇÃO E COMBATE A INCÊNDIO</t>
  </si>
  <si>
    <t>23.1</t>
  </si>
  <si>
    <t>83635</t>
  </si>
  <si>
    <t>EXTINTOR INCENDIO TP PO QUIMICO 6KG - FORNECIMENTO E INSTALACAO</t>
  </si>
  <si>
    <t>23.2</t>
  </si>
  <si>
    <t>73775/002</t>
  </si>
  <si>
    <t>EXTINTOR INCENDIO AGUA-PRESSURIZADA 10L INCL SUPORTE PAREDE CARGA     COMPLETA FORNECIMENTO E COLOCACAO</t>
  </si>
  <si>
    <t>23.3</t>
  </si>
  <si>
    <t>72554</t>
  </si>
  <si>
    <t>EXTINTOR DE CO2 6KG - FORNECIMENTO E INSTALACAO</t>
  </si>
  <si>
    <t>23.4</t>
  </si>
  <si>
    <t>SDC07001</t>
  </si>
  <si>
    <t>FORNECIMENTO E INSTALAÇÃO DE PLACA DE SINALIZAÇÃO DE EXTINTOR 20X30CM</t>
  </si>
  <si>
    <t>23.5</t>
  </si>
  <si>
    <t>SDC07002</t>
  </si>
  <si>
    <t>FORNECIMENTO E INSTALAÇÃO DE PLACA DE SINALIZAÇÃO INDICATIVA, SAÍDA DE EMERGÊNCIA, SAÍDA LATERAL ESQUERDA/DIREITA/SAÍDA EM FRENTE</t>
  </si>
  <si>
    <t>ACESSIBILIDADE</t>
  </si>
  <si>
    <t>24.1</t>
  </si>
  <si>
    <t>24.2</t>
  </si>
  <si>
    <t>24.3</t>
  </si>
  <si>
    <t>24.4</t>
  </si>
  <si>
    <t>SES036</t>
  </si>
  <si>
    <t>FORNECIMENTO E INSTALAÇÃO DE PLACA DE ACRILICO TRANSPARENTE ADESIVADA PARA SINALIZACAO DE PORTAS, BORDA POLIDA, DE *25 X 8*, E = 6 MM</t>
  </si>
  <si>
    <t>24.5</t>
  </si>
  <si>
    <t>SERVIÇOS COMPLEMENTARES</t>
  </si>
  <si>
    <t>SDC04120</t>
  </si>
  <si>
    <t>BANCADA EM GRANITO CINZA ANDORINHA, E=2CM</t>
  </si>
  <si>
    <t>85005</t>
  </si>
  <si>
    <t>ESPELHO CRISTAL, ESPESSURA 4MM, COM PARAFUSOS DE FIXACAO, SEM MOLDURA</t>
  </si>
  <si>
    <t>88495</t>
  </si>
  <si>
    <t>APLICAÇÃO E LIXAMENTO DE MASSA LÁTEX EM PAREDES, UMA DEMÃO. AF_06/2014</t>
  </si>
  <si>
    <t>SDC02020</t>
  </si>
  <si>
    <t>BUCHA DE REDUCAO DE PVC, SOLDAVEL, LONGA, COM 40 X 25 MM</t>
  </si>
  <si>
    <t>SDC02175</t>
  </si>
  <si>
    <t>CURVA LONGA 45 GRAUS, PVC, SERIE R, ESGOTO PREDIAL, DN 100 MM, JUNTA ELÁSTICA, FORNECIDO E INSTALADO EM RAMAL DE DESCARGA OU RAMAL DE ESGOTO SANITÁRIO</t>
  </si>
  <si>
    <t>SDC02110</t>
  </si>
  <si>
    <t>CURVA PVC LONGA 45G, DN 50 MM, PARA ESGOTO PREDIAL</t>
  </si>
  <si>
    <t>SDC03139</t>
  </si>
  <si>
    <t>FORNECIMENTO E INSTALAÇÃO DE PROTETOR DE SURTO (DPS) 175V - 45KA EM QUADRO DE DISTRIBUIÇÃO.</t>
  </si>
  <si>
    <t>21.30</t>
  </si>
  <si>
    <t>21.31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</si>
  <si>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</si>
  <si>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</si>
  <si>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</si>
  <si>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</si>
  <si>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</si>
  <si>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</si>
  <si>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</si>
  <si>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</si>
  <si>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</si>
  <si>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20.10</t>
  </si>
  <si>
    <t>20.11</t>
  </si>
  <si>
    <t>20.12</t>
  </si>
  <si>
    <t>20.13</t>
  </si>
  <si>
    <t>20.14</t>
  </si>
  <si>
    <t>20.15</t>
  </si>
  <si>
    <t>20.16</t>
  </si>
  <si>
    <t>20.17</t>
  </si>
  <si>
    <t>20.18</t>
  </si>
  <si>
    <t>20.19</t>
  </si>
  <si>
    <t>20.20</t>
  </si>
  <si>
    <t>20.21</t>
  </si>
  <si>
    <t>20.22</t>
  </si>
  <si>
    <t>20.23</t>
  </si>
  <si>
    <t>20.24</t>
  </si>
  <si>
    <t>20.25</t>
  </si>
  <si>
    <t>20.26</t>
  </si>
  <si>
    <t>20.27</t>
  </si>
  <si>
    <t>20.28</t>
  </si>
  <si>
    <t>20.29</t>
  </si>
  <si>
    <t>20.30</t>
  </si>
  <si>
    <t>21.32</t>
  </si>
  <si>
    <t>21.33</t>
  </si>
  <si>
    <t>22.1</t>
  </si>
  <si>
    <t>22.2</t>
  </si>
  <si>
    <t>22.3</t>
  </si>
  <si>
    <t>22.4</t>
  </si>
  <si>
    <t>22.5</t>
  </si>
  <si>
    <t>22.6</t>
  </si>
  <si>
    <t>22.7</t>
  </si>
  <si>
    <t>25.1</t>
  </si>
  <si>
    <t>m</t>
  </si>
  <si>
    <t>Quantidade</t>
  </si>
  <si>
    <t>Administração de obra</t>
  </si>
  <si>
    <t>Administração de obra por10 meses</t>
  </si>
  <si>
    <t>Área</t>
  </si>
  <si>
    <t>Altura(m)</t>
  </si>
  <si>
    <t>Larg.(m)</t>
  </si>
  <si>
    <t>Comp.(m)</t>
  </si>
  <si>
    <t>Instalações Provisórias</t>
  </si>
  <si>
    <t>Placa de Obra</t>
  </si>
  <si>
    <t>Placa dos Profissionais</t>
  </si>
  <si>
    <t>Conteiner ADM</t>
  </si>
  <si>
    <t>m² ou mês</t>
  </si>
  <si>
    <t>Se for usar barracão usar CxL, se for usar conteiner considerar apenas a quantidade.</t>
  </si>
  <si>
    <t>Container Banheiros</t>
  </si>
  <si>
    <t>CONTAINER 2,30 X 4,30 M, ALT. 2,50 M, P/ SANITARIO, C/ 5 BACIAS, 1 LAVATORIO E 4 MICTORIOS</t>
  </si>
  <si>
    <t>Barracão Almoxarifado</t>
  </si>
  <si>
    <t xml:space="preserve">Usar as dimensões de acordo com o projeto </t>
  </si>
  <si>
    <t>Refeitorio</t>
  </si>
  <si>
    <t>Usar as dimensões de acordo com o projeto</t>
  </si>
  <si>
    <t>Locação da Obra</t>
  </si>
  <si>
    <t>área construída</t>
  </si>
  <si>
    <t>Ligação provisória de água</t>
  </si>
  <si>
    <t>Qtd</t>
  </si>
  <si>
    <t>Ligação provisória de energia</t>
  </si>
  <si>
    <t>Ligação provisória de Energia</t>
  </si>
  <si>
    <t>Tapume</t>
  </si>
  <si>
    <t>Execução de Tapume matálico</t>
  </si>
  <si>
    <t>Máquinas e Ferramentas</t>
  </si>
  <si>
    <t>Locação de Andaimes metalicos tipo torre</t>
  </si>
  <si>
    <t>Altura.(m)</t>
  </si>
  <si>
    <t>Qtd.</t>
  </si>
  <si>
    <t>Fachadas</t>
  </si>
  <si>
    <t>Limpeza de obra</t>
  </si>
  <si>
    <t>Altura (m)</t>
  </si>
  <si>
    <t>Sala de Reunião</t>
  </si>
  <si>
    <t>J4</t>
  </si>
  <si>
    <t>J3</t>
  </si>
  <si>
    <t>P1</t>
  </si>
  <si>
    <t>P2</t>
  </si>
  <si>
    <t>Cumeeira</t>
  </si>
  <si>
    <t>Rufos</t>
  </si>
  <si>
    <t>Externo</t>
  </si>
  <si>
    <t>Chapisco</t>
  </si>
  <si>
    <t>WC Fem</t>
  </si>
  <si>
    <t>Rodapé granilite</t>
  </si>
  <si>
    <t>und.</t>
  </si>
  <si>
    <t>Comp. (m)</t>
  </si>
  <si>
    <t>ITENS GERAIS</t>
  </si>
  <si>
    <t>ESCAVAÇÃO  DAS SAPATAS (CONSIDERADO ÁREA DAS SAPATAS E FOLGA DE 20cm PARA CADA LADO) - m3</t>
  </si>
  <si>
    <t>m3</t>
  </si>
  <si>
    <t>m2</t>
  </si>
  <si>
    <t>REATERRO DAS SAPATAS - ESCAVAÇÃO MENOS VOLUME DE CONCRETO (m3)
REATERRO DAS VIGAS BALDRAMES - ESCAVAÇÃO MENOS VOLUME DE CONCRETO (m3)</t>
  </si>
  <si>
    <t>IMPERMEABILIZAÇÃO - FACE LATERAL E TOPO DAS VIGAS BALDRAMES - IGUAL ÁREA DE FORMAS - m2</t>
  </si>
  <si>
    <t xml:space="preserve"> FUROS DE SONDAGEM </t>
  </si>
  <si>
    <t>SAPATAS e VIGAS BALDRAMES</t>
  </si>
  <si>
    <t>FORMA PARA FUNDAÇÃO (m2)</t>
  </si>
  <si>
    <t>FORMA PARA VIGAS (m2)</t>
  </si>
  <si>
    <t>VOLUME DE CONCRETO (m3)</t>
  </si>
  <si>
    <t>AÇO CA60 - 5mm (kg)</t>
  </si>
  <si>
    <t>kg</t>
  </si>
  <si>
    <t>AÇO CA50 - 6,3mm (kg)</t>
  </si>
  <si>
    <t>AÇO CA50 - 10mm (kg)</t>
  </si>
  <si>
    <t>AÇO CA50 - 12,5mm (kg)</t>
  </si>
  <si>
    <t>AÇO CA50 - 16mm (kg)</t>
  </si>
  <si>
    <t>PILARES E VIGAS</t>
  </si>
  <si>
    <t>FORMA PILAR (m2)</t>
  </si>
  <si>
    <t>FORMA VIGAS (m2)</t>
  </si>
  <si>
    <t>AÇO CA50 - 8mm (kg)</t>
  </si>
  <si>
    <t>LAJES</t>
  </si>
  <si>
    <t>TELA - Q92 - para cobertura - m2 - consid. 20% perda trespasse</t>
  </si>
  <si>
    <t>Concreto Usinado Bombeado fck=25MPa, inclusive lançamento e adensamento</t>
  </si>
  <si>
    <t>ESTRUTURA METÁLICA (ESTRUTURA METÁLICA + PLACA BASE)</t>
  </si>
  <si>
    <t>PINTURA P/ EST. METÁLICA (PINTURA COM ESMALTE SINTÉTICO)</t>
  </si>
  <si>
    <t>M2</t>
  </si>
  <si>
    <t>AÇO CA50 - 16 mm - (CHUMBADORES DA PLACA BASE)</t>
  </si>
  <si>
    <t>AÇO CA50 - 12,5 mm - (CHUMBADORES DA PLACA BASE)</t>
  </si>
  <si>
    <t>METAIS</t>
  </si>
  <si>
    <t>REGISTRO DE GAVETA C/ CANOPLA CROMADA 3/4"</t>
  </si>
  <si>
    <t>PVC ACESSÓRIOS - HIDRAULICO</t>
  </si>
  <si>
    <t>BUCHA DE REDUÇÃO LONGA, PVC, SOLDÁVEL, DN 50MM X 25MM, FORNECIMENTO E INSTALAÇÃO</t>
  </si>
  <si>
    <t>BUCHA DE REDUÇÃO LONGA, PVC, SOLDÁVEL, DN 50MM X 32MM, FORNECIMENTO E INSTALAÇÃO</t>
  </si>
  <si>
    <t>JOELHO 45 GRAUS, PVC, SOLDÁVEL, DN 50MM, FORNECIMENTO E INSTALAÇÃO.</t>
  </si>
  <si>
    <t xml:space="preserve"> JOELHO 90 GRAUS, PVC, SOLDÁVEL, DN 50MM, INSTALADO EM PRUMADA DE ÁGUA - FORNECIMENTO E INSTALAÇÃO. AF_12/2014</t>
  </si>
  <si>
    <t xml:space="preserve"> JOELHO 90 GRAUS, PVC, SOLDÁVEL, DN 25MM, INSTALADO EM PRUMADA DE ÁGUA - FORNECIMENTO E INSTALAÇÃO. AF_12/2014</t>
  </si>
  <si>
    <t xml:space="preserve"> TUBO, PVC, SOLDÁVEL, DN 25MM, INSTALADO EM RAMAL OU SUB-RAMAL DE ÁGUA - FORNECIMENTO E INSTALAÇÃO. AF_12/2014</t>
  </si>
  <si>
    <t>TUBO, PVC, SOLDÁVEL, DN 32MM, INSTALADO EM PRUMADA DE ÁGUA - FORNECIMENTO E INSTALAÇÃO. AF_12/2014</t>
  </si>
  <si>
    <t>TE DE REDUÇÃO, PVC, SOLDÁVEL, DN 32MM X 25MM, INSTALADO EM PRUMADA DE ÁGUA - FORNECIMENTO E INSTALAÇÃO. AF_12/2014</t>
  </si>
  <si>
    <t>TE DE REDUÇÃO, PVC, SOLDÁVEL, DN 50MM X 25MM, INSTALADO EM PRUMADA DE ÁGUA - FORNECIMENTO E INSTALAÇÃO. AF_12/2014</t>
  </si>
  <si>
    <t xml:space="preserve">TÊ DE REDUÇÃO, PVC, SOLDÁVEL, DN 50 MM X 40 MM, FORNECIMENTO E INSTALAÇÃO. </t>
  </si>
  <si>
    <t>1.2</t>
  </si>
  <si>
    <t>CURVA LONGA ESGOTO 45°x100mm - FORNECIMENTO E INSTALAÇÃO</t>
  </si>
  <si>
    <t>CURVA LONGA ESGOTO 45° x 50mm - FORNECIMENTO E INSTALAÇÃO</t>
  </si>
  <si>
    <t>CURVA LONGA 45 GRAUS, PVC, SERIE NORMAL, ESGOTO PREDIAL, DN 40 MM, JUNTA SOLDÁVEL, FORNECIDO E INSTALADO</t>
  </si>
  <si>
    <t xml:space="preserve"> JUNÇÃO SIMPLES, PVC, SERIE NORMAL, ESGOTO PREDIAL, DN 100 X 100 MM, JUNTA ELÁSTICA, FORNECIDO E INSTALADO EM RAMAL DE DESCARGA OU RAMAL DE ESGOTO SANITÁRIO. AF_12/2014</t>
  </si>
  <si>
    <t>TERMINAL DE VENTILAÇÃO 50MM</t>
  </si>
  <si>
    <t xml:space="preserve">TE, PVC, SERIE NORMAL, ESGOTO PREDIAL, DN 50 X 50 MM, JUNTA ELÁSTICA, FORNECIDO E INSTALADO EM RAMAL DE DESCARGA OU RAMAL DE ESGOTO SANITÁRIO. AF_12/2014 </t>
  </si>
  <si>
    <t>PLANILHA QUANTITATIVA - COMBATE A INCÊNDIO E PÂNICO</t>
  </si>
  <si>
    <t>EXTINTORES DE INCÊNDIO</t>
  </si>
  <si>
    <t>Extintor de pó quimico BC, capacidade 6kg, alcance médio do jato 5m, tempo de descarga 12S, NBR9443, 9444, 10721</t>
  </si>
  <si>
    <t>Extintor de água pressurizada, capacidade 10L</t>
  </si>
  <si>
    <t>Extintor de CO2, capacidade 6kg</t>
  </si>
  <si>
    <t>Fornecimento e instalação de placa de sinalização de extintor 20x30cm</t>
  </si>
  <si>
    <t>Aplicação de tinta a Base de Epoxi sobre piso</t>
  </si>
  <si>
    <t>SINALIZAÇÃO - SAIDA DE EMERGÊNCIA</t>
  </si>
  <si>
    <t>Fornecimento e instalação de placa de sinalização indicativa, saída de emergência, saída lateral esquerda/direita/saída em frente</t>
  </si>
  <si>
    <t>LUMINARIA DE EMERGÊNCIA</t>
  </si>
  <si>
    <t>Luminaria de emergencia 1200 Lumens de 24 Leds, Potencia 32W, bateria de litio, autonomia de 3 hrs</t>
  </si>
  <si>
    <t>J2</t>
  </si>
  <si>
    <t>Arquivo</t>
  </si>
  <si>
    <t>DML</t>
  </si>
  <si>
    <t>Recepção</t>
  </si>
  <si>
    <t>Circulação</t>
  </si>
  <si>
    <t>BUCHA DE REDUÇÃO LONGA, PVC, SOLDÁVEL, DN 40MM X 25MM, FORNECIMENTO E INSTALAÇÃO</t>
  </si>
  <si>
    <t>JOELHO DE REDUÇÃO SOLD. 90° C/ BUCHA DE LATÃO 25MM - 1/2"</t>
  </si>
  <si>
    <t>Caixa de passagem modulada DN 60cm</t>
  </si>
  <si>
    <t>74166/001</t>
  </si>
  <si>
    <t xml:space="preserve"> TÊ SANITÁRIO 100X50MM - FORNECIMENTO E INSTALAÇÃO</t>
  </si>
  <si>
    <t>Custo/m²:</t>
  </si>
  <si>
    <t>300 dias</t>
  </si>
  <si>
    <t>MÊS 05</t>
  </si>
  <si>
    <t>MÊS 06</t>
  </si>
  <si>
    <t>MÊS 07</t>
  </si>
  <si>
    <t>MÊS 08</t>
  </si>
  <si>
    <t>MÊS 09</t>
  </si>
  <si>
    <t>MÊS 10</t>
  </si>
  <si>
    <t>Cuiabá-MT</t>
  </si>
  <si>
    <t>Unidade</t>
  </si>
  <si>
    <t>SINAPI - 07/2018 - MT</t>
  </si>
  <si>
    <t>ADMINISTRAÇÃO DE OBRA REFORMA CRIDAC</t>
  </si>
  <si>
    <t>DEMOLIÇÃO MANUAL DE PISO EM CONCRETO SIMPLES INCLUSIVE LASTRO DE CONCRETO</t>
  </si>
  <si>
    <t>SDC01065</t>
  </si>
  <si>
    <t>DEMOLIÇÃO DE PISO REVESTIDO COM GRANILITE</t>
  </si>
  <si>
    <t>97634</t>
  </si>
  <si>
    <t>DEMOLIÇÃO DE REVESTIMENTO CERÂMICO, DE FORMA MECANIZADA COM MARTELETE, SEM REAPROVEITAMENTO. AF_12/2017</t>
  </si>
  <si>
    <t>97645</t>
  </si>
  <si>
    <t>REMOÇÃO DE JANELAS, DE FORMA MANUAL, SEM REAPROVEITAMENTO. AF_12/2017</t>
  </si>
  <si>
    <t>3.6</t>
  </si>
  <si>
    <t>97650</t>
  </si>
  <si>
    <t>REMOÇÃO DE TRAMA DE MADEIRA PARA COBERTURA, DE FORMA MANUAL, SEM REAPROVEITAMENTO. AF_12/2017</t>
  </si>
  <si>
    <t>3.7</t>
  </si>
  <si>
    <t>3.8</t>
  </si>
  <si>
    <t>SDC01054</t>
  </si>
  <si>
    <t>DEMOLIÇÃO DE FORRO DE RIPAS DE MADEIRA / PVC</t>
  </si>
  <si>
    <t>3.9</t>
  </si>
  <si>
    <t>3.10</t>
  </si>
  <si>
    <t>72178</t>
  </si>
  <si>
    <t>RETIRADA DE DIVISORIAS EM CHAPAS DE MADEIRA, COM MONTANTES METALICOS</t>
  </si>
  <si>
    <t>3.11</t>
  </si>
  <si>
    <t>97663</t>
  </si>
  <si>
    <t>REMOÇÃO DE LOUÇAS, DE FORMA MANUAL, SEM REAPROVEITAMENTO. AF_12/2017</t>
  </si>
  <si>
    <t>3.12</t>
  </si>
  <si>
    <t>97631</t>
  </si>
  <si>
    <t>DEMOLIÇÃO DE ARGAMASSAS, DE FORMA MANUAL, SEM REAPROVEITAMENTO. AF_12/2017</t>
  </si>
  <si>
    <t>3.13</t>
  </si>
  <si>
    <t>SDC01048</t>
  </si>
  <si>
    <t>RETIRADA DE BANCADA DE PIA</t>
  </si>
  <si>
    <t>SDC05002</t>
  </si>
  <si>
    <t>LOCAÇÃO DE CONTAINER 2,30 X 4,30 M, ALT. 2,50 M, PARA SANITARIO, COM 3 BACIAS, 4 CHUVEIROS, 1 LAVATORIO E 1 MICTORIO</t>
  </si>
  <si>
    <t>SDC05008</t>
  </si>
  <si>
    <t>ENTRADA PROVISORIA DE ENERGIA ELETRICA AEREA TRIFASICA 40A EM POSTE DE CONCRETO</t>
  </si>
  <si>
    <t>98459</t>
  </si>
  <si>
    <t>TAPUME COM TELHA METÁLICA. AF_05/2018</t>
  </si>
  <si>
    <t>97914</t>
  </si>
  <si>
    <t>TRANSPORTE COM CAMINHÃO BASCULANTE DE 6 M3, EM VIA URBANA PAVIMENTADA, DMT ATÉ 30 KM (UNIDADE: M3XKM). AF_01/2018</t>
  </si>
  <si>
    <t>96523</t>
  </si>
  <si>
    <t>ESCAVAÇÃO MANUAL PARA BLOCO DE COROAMENTO OU SAPATA, COM PREVISÃO DE FÔRMA. AF_06/2017</t>
  </si>
  <si>
    <t>96527</t>
  </si>
  <si>
    <t>ESCAVAÇÃO MANUAL DE VALA PARA VIGA BALDRAME, COM PREVISÃO DE FÔRMA. AF_06/2017</t>
  </si>
  <si>
    <t>96531</t>
  </si>
  <si>
    <t>FABRICAÇÃO, MONTAGEM E DESMONTAGEM DE FÔRMA PARA BLOCO DE COROAMENTO, EM MADEIRA SERRADA, E=25 MM, 2 UTILIZAÇÕES. AF_06/2017</t>
  </si>
  <si>
    <t>SDC01242</t>
  </si>
  <si>
    <t>CONCRETAGEM DE BLOCOS DE COROAMENTO E VIGAS BALDRAME, FCK 25 MPA, COM USO DE BOMBA  LANÇAMENTO, ADENSAMENTO E ACABAMENTO</t>
  </si>
  <si>
    <t>M³</t>
  </si>
  <si>
    <t>8.12</t>
  </si>
  <si>
    <t>SDC01016</t>
  </si>
  <si>
    <t>LAJE PRÉ-MOLDADA TRELIÇADA, PARA COBERTURA, INCLUSIVE EPS, CAPEAMENTO 4,0CM E ALTURA FINAL 12,0CM, FCK=25MPA. INCLUSO ESCORAMENTO</t>
  </si>
  <si>
    <t>96359</t>
  </si>
  <si>
    <t>PAREDE COM PLACAS DE GESSO ACARTONADO (DRYWALL), PARA USO INTERNO, COM DUAS FACES SIMPLES E ESTRUTURA METÁLICA COM GUIAS SIMPLES, COM VÃOS AF_06/2017_P</t>
  </si>
  <si>
    <t>SDC01135</t>
  </si>
  <si>
    <t>DIVISÓRIA EM GRANITO CINZA POLIDO, ESPESSURA 2CM, ASSENTADO COM ARGAMASSA TRAÇO 1:4 (CIMENTO E AREIA), ARREMATE COM CIMENTO BRANCO, INCLUSO FERRAGENS</t>
  </si>
  <si>
    <t>10.5</t>
  </si>
  <si>
    <t>10.6</t>
  </si>
  <si>
    <t>93185</t>
  </si>
  <si>
    <t>VERGA PRÉ-MOLDADA PARA PORTAS COM MAIS DE 1,5 M DE VÃO. AF_03/2016</t>
  </si>
  <si>
    <t>10.7</t>
  </si>
  <si>
    <t>90844</t>
  </si>
  <si>
    <t>KIT DE PORTA DE MADEIRA PARA PINTURA, SEMI-OCA (LEVE OU MÉDIA), PADRÃO MÉDIO, 90X210CM, ESPESSURA DE 3,5CM, ITENS INCLUSOS: DOBRADIÇAS, MONTAGEM E INSTALAÇÃO DO BATENTE, FECHADURA COM EXECUÇÃO DO FURO - FORNECIMENTO E INSTALAÇÃO. AF_08/2015</t>
  </si>
  <si>
    <t>11.3</t>
  </si>
  <si>
    <t>91338</t>
  </si>
  <si>
    <t>PORTA DE ALUMÍNIO DE ABRIR COM LAMBRI, COM GUARNIÇÃO, FIXAÇÃO COM PARAFUSOS - FORNECIMENTO E INSTALAÇÃO. AF_08/2015</t>
  </si>
  <si>
    <t>11.4</t>
  </si>
  <si>
    <t>74238/002</t>
  </si>
  <si>
    <t>PORTAO EM TELA ARAME GALVANIZADO N.12 MALHA 2" E MOLDURA EM TUBOS DE ACO COM DUAS FOLHAS DE ABRIR, INCLUSO FERRAGENS</t>
  </si>
  <si>
    <t>11.5</t>
  </si>
  <si>
    <t>SDC01032</t>
  </si>
  <si>
    <t>PORTA DE VIDRO TEMPERADO, 2,40X2,10M, DUAS FOLHAS, ESPESSURA 10MM, INCLUSIVE ACESSORIOS</t>
  </si>
  <si>
    <t>11.6</t>
  </si>
  <si>
    <t>SDC01030</t>
  </si>
  <si>
    <t>PORTA DE VIDRO TEMPERADO, 2,00X2,10M, DUAS FOLHAS, ESPESSURA 10MM, INCLUSIVE ACESSORIOS</t>
  </si>
  <si>
    <t>11.7</t>
  </si>
  <si>
    <t>84876</t>
  </si>
  <si>
    <t>PORTA MADEIRA 1A CORRER P/VIDRO 30MM/ GUARNICAO 15CM/ALIZAR</t>
  </si>
  <si>
    <t>11.8</t>
  </si>
  <si>
    <t>94559</t>
  </si>
  <si>
    <t>JANELA DE AÇO BASCULANTE, FIXAÇÃO COM ARGAMASSA, SEM VIDROS, PADRONIZADA. AF_07/2016</t>
  </si>
  <si>
    <t>92566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</si>
  <si>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</si>
  <si>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94210</t>
  </si>
  <si>
    <t>TELHAMENTO COM TELHA ONDULADA DE FIBROCIMENTO E = 6 MM, COM RECOBRIMENTO LATERAL DE 1 1/4 DE ONDA PARA TELHADO COM INCLINAÇÃO MÁXIMA DE 10°, COM ATÉ 2 ÁGUAS, INCLUSO IÇAMENTO. AF_06/2016</t>
  </si>
  <si>
    <t>94223</t>
  </si>
  <si>
    <t>CUMEEIRA PARA TELHA DE FIBROCIMENTO ONDULADA E = 6 MM, INCLUSO ACESSÓRIOS DE FIXAÇÃO E IÇAMENTO. AF_06/2016</t>
  </si>
  <si>
    <t>SDC01312</t>
  </si>
  <si>
    <t>CHAPIM METÁLICO, COM PINGADEIRA, CHAPA GALVANIZADA Nº 24, DESENVOLVIMENTO = 35 CM</t>
  </si>
  <si>
    <t>94228</t>
  </si>
  <si>
    <t>CALHA EM CHAPA DE AÇO GALVANIZADO NÚMERO 24, DESENVOLVIMENTO DE 50 CM, INCLUSO TRANSPORTE VERTICAL. AF_06/2016</t>
  </si>
  <si>
    <t>94226</t>
  </si>
  <si>
    <t>SUBCOBERTURA COM MANTA PLÁSTICA REVESTIDA POR PELÍCULA DE ALUMÍNO, INCLUSO TRANSPORTE VERTICAL. AF_06/2016</t>
  </si>
  <si>
    <t>89170</t>
  </si>
  <si>
    <t>(COMPOSIÇÃO REPRESENTATIVA) DO SERVIÇO DE REVESTIMENTO CERÂMICO PARA PAREDES INTERNAS, MEIA PAREDE, OU PAREDE INTEIRA, PLACAS GRÊS OU SEMI-GRÊS DE 20X20 CM, PARA EDIFICAÇÕES HABITACIONAIS UNIFAMILIAR (CASAS) E EDIFICAÇÕES PÚBLICAS PADRÃO. AF_11/2014</t>
  </si>
  <si>
    <t>87243</t>
  </si>
  <si>
    <t>REVESTIMENTO CERÂMICO PARA PAREDES EXTERNAS EM PASTILHAS DE PORCELANA 5 X 5 CM (PLACAS DE 30 X 30 CM), ALINHADAS A PRUMO, APLICADO EM PANOS SEM VÃOS. AF_06/2014</t>
  </si>
  <si>
    <t>88496</t>
  </si>
  <si>
    <t>APLICAÇÃO E LIXAMENTO DE MASSA LÁTEX EM TETO, DUAS DEMÃOS. AF_06/2014</t>
  </si>
  <si>
    <t>88486</t>
  </si>
  <si>
    <t>APLICAÇÃO MANUAL DE PINTURA COM TINTA LÁTEX PVA EM TETO, DUAS DEMÃOS. AF_06/2014</t>
  </si>
  <si>
    <t>95305</t>
  </si>
  <si>
    <t>TEXTURA ACRÍLICA, APLICAÇÃO MANUAL EM PAREDE, UMA DEMÃO. AF_09/2016</t>
  </si>
  <si>
    <t>73739/001</t>
  </si>
  <si>
    <t>PINTURA ESMALTE ACETINADO EM MADEIRA, DUAS DEMAOS</t>
  </si>
  <si>
    <t>41595</t>
  </si>
  <si>
    <t>PINTURA ACRILICA DE FAIXAS DE DEMARCACAO EM QUADRA POLIESPORTIVA, 5 CM DE LARGURA</t>
  </si>
  <si>
    <t>94994</t>
  </si>
  <si>
    <t>EXECUÇÃO DE PASSEIO (CALÇADA) OU PISO DE CONCRETO COM CONCRETO MOLDADO IN LOCO, FEITO EM OBRA, ACABAMENTO CONVENCIONAL, ESPESSURA 8 CM, ARMADO. AF_07/2016</t>
  </si>
  <si>
    <t>89171</t>
  </si>
  <si>
    <t>(COMPOSIÇÃO REPRESENTATIVA) DO SERVIÇO DE REVESTIMENTO CERÂMICO PARA PISO COM PLACAS TIPO GRÉS DE DIMENSÕES 35X35 CM, PARA EDIFICAÇÃO HABITACIONAL UNIFAMILIAR (CASA) E EDIFICAÇÃO PÚBLICA PADRÃO. AF_11/2014</t>
  </si>
  <si>
    <t>93396</t>
  </si>
  <si>
    <t>BANCADA GRANITO CINZA POLIDO 0,50 X 0,60M, INCL. CUBA DE EMBUTIR OVAL LOUÇA BRANCA 35 X 50CM, VÁLVULA METAL CROMADO, SIFÃO FLEXÍVEL PVC, ENGATE 30CM FLEXÍVEL PLÁSTICO E TORNEIRA CROMADA DE MESA, PADRÃO POPULAR - FORNEC. E INSTALAÇÃO. AF_12/2013</t>
  </si>
  <si>
    <t>86929</t>
  </si>
  <si>
    <t>TANQUE DE MÁRMORE SINTÉTICO SUSPENSO, 22L OU EQUIVALENTE, INCLUSO SIFÃO FLEXÍVEL EM PVC, VÁLVULA PLÁSTICA E TORNEIRA DE METAL CROMADO PADRÃO POPULAR - FORNECIMENTO E INSTALAÇÃO. AF_12/2013</t>
  </si>
  <si>
    <t>94501</t>
  </si>
  <si>
    <t>REGISTRO DE GAVETA BRUTO, LATÃO, ROSCÁVEL, 4, INSTALADO EM RESERVAÇÃO DE ÁGUA DE EDIFICAÇÃO QUE POSSUA RESERVATÓRIO DE FIBRA/FIBROCIMENTO  FORNECIMENTO E INSTALAÇÃO. AF_06/2016</t>
  </si>
  <si>
    <t>94499</t>
  </si>
  <si>
    <t>REGISTRO DE GAVETA BRUTO, LATÃO, ROSCÁVEL, 2 1/2, INSTALADO EM RESERVAÇÃO DE ÁGUA DE EDIFICAÇÃO QUE POSSUA RESERVATÓRIO DE FIBRA/FIBROCIMENTO  FORNECIMENTO E INSTALAÇÃO. AF_06/2016</t>
  </si>
  <si>
    <t>73795/007</t>
  </si>
  <si>
    <t>VÁLVULA DE RETENÇÃO VERTICAL Ø 100MM (4") - FORNECIMENTO E INSTALAÇÃO</t>
  </si>
  <si>
    <t>94670</t>
  </si>
  <si>
    <t>ADAPTADOR CURTO COM BOLSA E ROSCA PARA REGISTRO, PVC, SOLDÁVEL, DN 110 MM X 4 , INSTALADO EM RESERVAÇÃO DE ÁGUA DE EDIFICAÇÃO QUE POSSUA RESERVATÓRIO DE FIBRA/FIBROCIMENTO   FORNECIMENTO E INSTALAÇÃO. AF_06/2016</t>
  </si>
  <si>
    <t>SDC02017</t>
  </si>
  <si>
    <t>BUCHA DE REDUCAO DE PVC, SOLDAVEL, CURTA COM 60 X 50 MM</t>
  </si>
  <si>
    <t>SDC02016</t>
  </si>
  <si>
    <t>BUCHA DE REDUCAO DE PVC, SOLDAVEL, CURTA COM 50 X 40 MM</t>
  </si>
  <si>
    <t>SDC02003</t>
  </si>
  <si>
    <t>BUCHA DE REDUCAO DE PVC, SOLDAVEL, LONGA, COM 60X25 MM</t>
  </si>
  <si>
    <t>89506</t>
  </si>
  <si>
    <t>JOELHO 45 GRAUS, PVC, SOLDÁVEL, DN 60MM, INSTALADO EM PRUMADA DE ÁGUA - FORNECIMENTO E INSTALAÇÃO. AF_12/2014</t>
  </si>
  <si>
    <t>89505</t>
  </si>
  <si>
    <t>JOELHO 90 GRAUS, PVC, SOLDÁVEL, DN 60MM, INSTALADO EM PRUMADA DE ÁGUA - FORNECIMENTO E INSTALAÇÃO. AF_12/2014</t>
  </si>
  <si>
    <t>SDC02027</t>
  </si>
  <si>
    <t>JOELHO 90° DE REDUÇÃO SOLDÁVEL DE PVC MARROM Ø 32 X 25 MM</t>
  </si>
  <si>
    <t>89450</t>
  </si>
  <si>
    <t>TUBO, PVC, SOLDÁVEL, DN 60MM, INSTALADO EM PRUMADA DE ÁGUA - FORNECIMENTO E INSTALAÇÃO. AF_12/2014</t>
  </si>
  <si>
    <t>89447</t>
  </si>
  <si>
    <t>89624</t>
  </si>
  <si>
    <t>TÊ DE REDUÇÃO, PVC, SOLDÁVEL, DN 40MM X 32MM, INSTALADO EM PRUMADA DE ÁGUA - FORNECIMENTO E INSTALAÇÃO. AF_12/2014</t>
  </si>
  <si>
    <t>89628</t>
  </si>
  <si>
    <t>TE, PVC, SOLDÁVEL, DN 60MM, INSTALADO EM PRUMADA DE ÁGUA - FORNECIMENTO E INSTALAÇÃO. AF_12/2014</t>
  </si>
  <si>
    <t>92692</t>
  </si>
  <si>
    <t>NIPLE, EM FERRO GALVANIZADO, CONEXÃO ROSQUEADA, DN 15 (1/2"), INSTALADO EM RAMAIS E SUB-RAMAIS DE GÁS - FORNECIMENTO E INSTALAÇÃO. AF_12/2015</t>
  </si>
  <si>
    <t>SDC02146</t>
  </si>
  <si>
    <t>LUVA COM BUCHA DE LATÃO, PVC, SOLDÁVEL, DN 25MM X 1/2</t>
  </si>
  <si>
    <t>89980</t>
  </si>
  <si>
    <t>LUVA COM BUCHA DE LATÃO, PVC, SOLDÁVEL, DN 25MM X 3/4, INSTALADO EM PRUMADA DE ÁGUA - FORNECIMENTO E INSTALAÇÃO. AF_12/2014</t>
  </si>
  <si>
    <t>90443</t>
  </si>
  <si>
    <t>RASGO EM ALVENARIA PARA RAMAIS/ DISTRIBUIÇÃO COM DIAMETROS MENORES OU IGUAIS A 40 MM. AF_05/2015</t>
  </si>
  <si>
    <t>91222</t>
  </si>
  <si>
    <t>RASGO EM ALVENARIA PARA RAMAIS/ DISTRIBUIÇÃO COM DIÂMETROS MAIORES QUE 40 MM E MENORES OU IGUAIS A 75 MM. AF_05/2015</t>
  </si>
  <si>
    <t>90445</t>
  </si>
  <si>
    <t>RASGO EM CONTRAPISO PARA RAMAIS/ DISTRIBUIÇÃO COM DIÂMETROS MAIORES QUE 40 MM E MENORES OU IGUAIS A 75 MM. AF_05/2015</t>
  </si>
  <si>
    <t>90444</t>
  </si>
  <si>
    <t>RASGO EM CONTRAPISO PARA RAMAIS/ DISTRIBUIÇÃO COM DIÂMETROS MENORES OU IGUAIS A 40 MM. AF_05/2015</t>
  </si>
  <si>
    <t>SDC02262</t>
  </si>
  <si>
    <t>CAIXA DE INSPEÇÃO 100X100X80CM EM ALVENARIA - EXECUÇÃO</t>
  </si>
  <si>
    <t>CAIXA DE INSPEÇÃO EM CONCRETO PRÉ-MOLDADO DN 60CM COM TAMPA H= 60CM - FORNECIMENTO E INSTALACAO</t>
  </si>
  <si>
    <t>98110</t>
  </si>
  <si>
    <t>CAIXA DE GORDURA PEQUENA (CAPACIDADE: 19 L), CIRCULAR, EM PVC, DIÂMETRO INTERNO= 0,3 M. AF_05/2018</t>
  </si>
  <si>
    <t>89546</t>
  </si>
  <si>
    <t>BUCHA DE REDUÇÃO LONGA, PVC, SERIE R, ÁGUA PLUVIAL, DN 50 X 40 MM, JUNTA ELÁSTICA, FORNECIDO E INSTALADO EM RAMAL DE ENCAMINHAMENTO. AF_12/2014</t>
  </si>
  <si>
    <t>SDC02091</t>
  </si>
  <si>
    <t>TÊ, PVC, ESGOTO, DN 100 X 50 MM, JUNTA ELÁSTICA, FORNECIDO E INSTALADO EM RAMAL DE ENCAMINHAMENTO</t>
  </si>
  <si>
    <t>90446</t>
  </si>
  <si>
    <t>RASGO EM CONTRAPISO PARA RAMAIS/ DISTRIBUIÇÃO COM DIÂMETROS MAIORES QUE 75 MM. AF_05/2015</t>
  </si>
  <si>
    <t>DRENAGEM</t>
  </si>
  <si>
    <t>SDC02252</t>
  </si>
  <si>
    <t>CAIXA PRÉ MOLDADA  ø60cm PROF. MED. = 1,00m, C/ GRELHA DE FERRO FUNDIDO</t>
  </si>
  <si>
    <t>SDC02188</t>
  </si>
  <si>
    <t>CAIXA PRÉ MOLDADA  ø80cm PROF. MED. = 1,00m, C/ TAMPO DE CONCRETO</t>
  </si>
  <si>
    <t>72285</t>
  </si>
  <si>
    <t>CAIXA DE AREIA 40X40X40CM EM ALVENARIA - EXECUÇÃO</t>
  </si>
  <si>
    <t>98421</t>
  </si>
  <si>
    <t>(COMPOSIÇÃO REPRESENTATIVA) POÇO DE VISITA CIRCULAR PARA ESGOTO, EM CONCRETO PRÉ-MOLDADO, DIÂMETRO INTERNO = 1,0 M, PROFUNDIDADE DE 1,50 A 2,00 M, INCLUINDO TAMPÃO DE FERRO FUNDIDO, DIÂMETRO DE 60 CM. AF_04/2018</t>
  </si>
  <si>
    <t>89710</t>
  </si>
  <si>
    <t>RALO SECO, PVC, DN 100 X 40 MM, JUNTA SOLDÁVEL, FORNECIDO E INSTALADO EM RAMAL DE DESCARGA OU EM RAMAL DE ESGOTO SANITÁRIO. AF_12/2014</t>
  </si>
  <si>
    <t>SDC02050</t>
  </si>
  <si>
    <t>RALO HEMISFÉRICO EM Fº Fº, TIPO ABACAXI 100MM</t>
  </si>
  <si>
    <t>SDC02124</t>
  </si>
  <si>
    <t>CURVA CURTA 45 GRAUS, PVC, SERIE NORMAL, ESGOTO PREDIAL, DN 100 MM, JUNTA ELÁSTICA, FORNECIDO E INSTALADO EM RAMAL DE DESCARGA OU RAMAL DE ESGOTO SANITÁRIO. AF_12/2014</t>
  </si>
  <si>
    <t>SDC02125</t>
  </si>
  <si>
    <t>CURVA 45 GRAUS LONGA DE PVC BRANCO, PONTA BOLSA E VIROLA, 150 MM</t>
  </si>
  <si>
    <t>SDC02174</t>
  </si>
  <si>
    <t>CURVA  45 GRAUS, PVC, SERIE R, ESGOTO PREDIAL, DN 75 MM, JUNTA ELÁSTICA, FORNECIDO E INSTALADO EM RAMAL DE DESCARGA OU RAMAL DE ESGOTO SANITÁRIO</t>
  </si>
  <si>
    <t>95694</t>
  </si>
  <si>
    <t>CURVA 90 GRAUS, PVC, SERIE R, ÁGUA PLUVIAL, DN 100 MM, JUNTA ELÁSTICA, FORNECIDO E INSTALADO EM RAMAL DE ENCAMINHAMENTO. AF_12/2014</t>
  </si>
  <si>
    <t>89807</t>
  </si>
  <si>
    <t>CURVA CURTA 90 GRAUS, PVC, SERIE NORMAL, ESGOTO PREDIAL, DN 75 MM, JUNTA ELÁSTICA, FORNECIDO E INSTALADO EM PRUMADA DE ESGOTO SANITÁRIO OU VENTILAÇÃO. AF_12/2014</t>
  </si>
  <si>
    <t>89531</t>
  </si>
  <si>
    <t>JOELHO 45 GRAUS, PVC, SERIE R, ÁGUA PLUVIAL, DN 100 MM, JUNTA ELÁSTICA, FORNECIDO E INSTALADO EM RAMAL DE ENCAMINHAMENTO. AF_12/2014</t>
  </si>
  <si>
    <t>89854</t>
  </si>
  <si>
    <t>JOELHO 90 GRAUS, PVC, SERIE NORMAL, ESGOTO PREDIAL, DN 150 MM, JUNTA ELÁSTICA, FORNECIDO E INSTALADO EM SUBCOLETOR AÉREO DE ESGOTO SANITÁRIO. AF_12/2014</t>
  </si>
  <si>
    <t>89866</t>
  </si>
  <si>
    <t>JOELHO 90 GRAUS, PVC, SOLDÁVEL, DN 25MM, INSTALADO EM DRENO DE AR-CONDICIONADO - FORNECIMENTO E INSTALAÇÃO. AF_12/2014</t>
  </si>
  <si>
    <t>89867</t>
  </si>
  <si>
    <t>JOELHO 45 GRAUS, PVC, SOLDÁVEL, DN 25MM, INSTALADO EM DRENO DE AR-CONDICIONADO - FORNECIMENTO E INSTALAÇÃO. AF_12/2014</t>
  </si>
  <si>
    <t>96704</t>
  </si>
  <si>
    <t>BUCHA DE REDUÇÃO, PPR, 40 X 25, CLASSE PN 25, INSTALADO EM PRUMADA DE ÁGUA  FORNECIMENTO E INSTALAÇÃO . AF_06/2015</t>
  </si>
  <si>
    <t>89567</t>
  </si>
  <si>
    <t>JUNÇÃO SIMPLES, PVC, SERIE R, ÁGUA PLUVIAL, DN 100 X 100 MM, JUNTA ELÁSTICA, FORNECIDO E INSTALADO EM RAMAL DE ENCAMINHAMENTO. AF_12/2014</t>
  </si>
  <si>
    <t>89561</t>
  </si>
  <si>
    <t>JUNÇÃO SIMPLES, PVC, SERIE R, ÁGUA PLUVIAL, DN 40 MM, JUNTA SOLDÁVEL, FORNECIDO E INSTALADO EM RAMAL DE ENCAMINHAMENTO. AF_12/2014</t>
  </si>
  <si>
    <t>89752</t>
  </si>
  <si>
    <t>LUVA SIMPLES, PVC, SERIE NORMAL, ESGOTO PREDIAL, DN 40 MM, JUNTA SOLDÁVEL, FORNECIDO E INSTALADO EM RAMAL DE DESCARGA OU RAMAL DE ESGOTO SANITÁRIO. AF_12/2014</t>
  </si>
  <si>
    <t>89677</t>
  </si>
  <si>
    <t>LUVA SIMPLES, PVC, SERIE R, ÁGUA PLUVIAL, DN 150 MM, JUNTA ELÁSTICA, FORNECIDO E INSTALADO EM CONDUTORES VERTICAIS DE ÁGUAS PLUVIAIS. AF_12/2014</t>
  </si>
  <si>
    <t>89547</t>
  </si>
  <si>
    <t>LUVA SIMPLES, PVC, SERIE R, ÁGUA PLUVIAL, DN 75 MM, JUNTA ELÁSTICA, FORNECIDO E INSTALADO EM RAMAL DE ENCAMINHAMENTO. AF_12/2014</t>
  </si>
  <si>
    <t>89849</t>
  </si>
  <si>
    <t>TUBO PVC, SERIE NORMAL, ESGOTO PREDIAL, DN 150 MM, FORNECIDO E INSTALADO EM SUBCOLETOR AÉREO DE ESGOTO SANITÁRIO. AF_12/2014</t>
  </si>
  <si>
    <t>89713</t>
  </si>
  <si>
    <t>TUBO PVC, SERIE NORMAL, ESGOTO PREDIAL, DN 75 MM, FORNECIDO E INSTALADO EM RAMAL DE DESCARGA OU RAMAL DE ESGOTO SANITÁRIO. AF_12/2014</t>
  </si>
  <si>
    <t>89865</t>
  </si>
  <si>
    <t>TUBO, PVC, SOLDÁVEL, DN 25MM, INSTALADO EM DRENO DE AR-CONDICIONADO - FORNECIMENTO E INSTALAÇÃO. AF_12/2014</t>
  </si>
  <si>
    <t>20.31</t>
  </si>
  <si>
    <t>20.32</t>
  </si>
  <si>
    <t>20.33</t>
  </si>
  <si>
    <t>97886</t>
  </si>
  <si>
    <t>CAIXA ENTERRADA ELÉTRICA RETANGULAR, EM ALVENARIA COM TIJOLOS CERÂMICOS MACIÇOS, FUNDO COM BRITA, DIMENSÕES INTERNAS: 0,3X0,3X0,3 M. AF_05/2018</t>
  </si>
  <si>
    <t>SDC03009</t>
  </si>
  <si>
    <t>CAIXA DE PASSAGEM EM CHAPA DE AÇO COM TAMPA PARAFUSADA, DIMENSÕES 15X15X10CM</t>
  </si>
  <si>
    <t>SDC03314</t>
  </si>
  <si>
    <t>ELETRODUTO FLEXÍVEL CORRUGADO, PVC, DN 40 MM (1 1/2"), PARA CIRCUITOS TERMINAIS, INSTALADO EM PAREDE - FORNECIMENTO E INSTALAÇÃO. AF_12/2015</t>
  </si>
  <si>
    <t>SDC07041</t>
  </si>
  <si>
    <t>DUTO CORRUGADO FLEXÍVEL EM PEAD Ø = 1', TIPO KANALEX OU SIMILAR, LANÇADO DIRETAMENTE NO SOLO, EXCLUSIVE ESCAVAÇÃO E REATERRO</t>
  </si>
  <si>
    <t>SDC03277</t>
  </si>
  <si>
    <t>ELETRODUTO FLEXÍVEL CORRUGADO, PVC, DN 40 MM (1 1/2"), PARA CIRCUITOS TERMINAIS, INSTALADO EM FORRO - FORNECIMENTO E INSTALAÇÃO</t>
  </si>
  <si>
    <t>SDC03200</t>
  </si>
  <si>
    <t>DUTO CORRUGADO EM PEAD POLIETILENO DE ALTA DENSIDADE, PARA PROTEÇÃO DE CABOS SUBTERRÂNEOS Ø4" 100 MM</t>
  </si>
  <si>
    <t>SDC03041</t>
  </si>
  <si>
    <t>ELETRODUTO DE FERRO GALVANIZADO, CLASSE SEMI PESADO, DN 65 MM (2 1/2''), APARENTE, INSTALADO EM PAREDE - FORNECIMENTO E INSTALAÇÃO</t>
  </si>
  <si>
    <t>95752</t>
  </si>
  <si>
    <t>ELETRODUTO DE AÇO GALVANIZADO, CLASSE SEMI PESADO, DN 40 MM (1 1/2  ), APARENTE, INSTALADO EM PAREDE - FORNECIMENTO E INSTALAÇÃO. AF_11/2016_P</t>
  </si>
  <si>
    <t>95749</t>
  </si>
  <si>
    <t>ELETRODUTO DE AÇO GALVANIZADO, CLASSE LEVE, DN 20 MM (3/4), APARENTE, INSTALADO EM PAREDE - FORNECIMENTO E INSTALAÇÃO. AF_11/2016_P</t>
  </si>
  <si>
    <t>95751</t>
  </si>
  <si>
    <t>ELETRODUTO DE AÇO GALVANIZADO, CLASSE SEMI PESADO, DN 32 MM (1 1/4), APARENTE, INSTALADO EM PAREDE - FORNECIMENTO E INSTALAÇÃO. AF_11/2016_P</t>
  </si>
  <si>
    <t>95748</t>
  </si>
  <si>
    <t>ELETRODUTO DE AÇO GALVANIZADO, CLASSE SEMI PESADO, DN 40 MM (1 1/2 ), APARENTE, INSTALADO EM TETO - FORNECIMENTO E INSTALAÇÃO. AF_11/2016_P</t>
  </si>
  <si>
    <t>95746</t>
  </si>
  <si>
    <t>ELETRODUTO DE AÇO GALVANIZADO, CLASSE LEVE, DN 25 MM (1), APARENTE, INSTALADO EM TETO - FORNECIMENTO E INSTALAÇÃO. AF_11/2016_P</t>
  </si>
  <si>
    <t>95745</t>
  </si>
  <si>
    <t>ELETRODUTO DE AÇO GALVANIZADO, CLASSE LEVE, DN 20 MM (3/4), APARENTE, INSTALADO EM TETO - FORNECIMENTO E INSTALAÇÃO. AF_11/2016_P</t>
  </si>
  <si>
    <t>95747</t>
  </si>
  <si>
    <t>ELETRODUTO DE AÇO GALVANIZADO, CLASSE SEMI PESADO, DN 32 MM (1 1/4), APARENTE, INSTALADO EM TETO - FORNECIMENTO E INSTALAÇÃO. AF_11/2016_P</t>
  </si>
  <si>
    <t>SDC03071</t>
  </si>
  <si>
    <t>CURVA 90º PARA ELETRODUTO ZINCADO 3/4"</t>
  </si>
  <si>
    <t>95756</t>
  </si>
  <si>
    <t>LUVA DE EMENDA PARA ELETRODUTO, AÇO GALVANIZADO, DN 40 MM (1 1/2''), APARENTE, INSTALADA EM TETO - FORNECIMENTO E INSTALAÇÃO. AF_11/2016_P</t>
  </si>
  <si>
    <t>95754</t>
  </si>
  <si>
    <t>LUVA DE EMENDA PARA ELETRODUTO, AÇO GALVANIZADO, DN 25 MM (1''), APARENTE, INSTALADA EM TETO - FORNECIMENTO E INSTALAÇÃO. AF_11/2016_P</t>
  </si>
  <si>
    <t>95753</t>
  </si>
  <si>
    <t>LUVA DE EMENDA PARA ELETRODUTO, AÇO GALVANIZADO, DN 20 MM (3/4  ), APARENTE, INSTALADA EM TETO - FORNECIMENTO E INSTALAÇÃO. AF_11/2016_P</t>
  </si>
  <si>
    <t>95755</t>
  </si>
  <si>
    <t>LUVA DE EMENDA PARA ELETRODUTO, AÇO GALVANIZADO, DN 32 MM (1 1/4''), APARENTE, INSTALADA EM TETO - FORNECIMENTO E INSTALAÇÃO. AF_11/2016_P</t>
  </si>
  <si>
    <t>97607</t>
  </si>
  <si>
    <t>LUMINÁRIA ARANDELA TIPO TARTARUGA PARA 1 LÂMPADA LED - FORNECIMENTO E INSTALAÇÃO. AF_11/2017</t>
  </si>
  <si>
    <t>97592</t>
  </si>
  <si>
    <t>LUMINÁRIA TIPO PLAFON, DE SOBREPOR, COM 1 LÂMPADA LED - FORNECIMENTO E INSTALAÇÃO. AF_11/2017</t>
  </si>
  <si>
    <t>SDC03072</t>
  </si>
  <si>
    <t>FORNECIMENTO E INSTALAÇÃO DE PLACA CEGA P/ CAIXA 4" X 2"</t>
  </si>
  <si>
    <t>93660</t>
  </si>
  <si>
    <t>DISJUNTOR BIPOLAR TIPO DIN, CORRENTE NOMINAL DE 10A - FORNECIMENTO E INSTALAÇÃO. AF_04/2016</t>
  </si>
  <si>
    <t>21.34</t>
  </si>
  <si>
    <t>21.35</t>
  </si>
  <si>
    <t>21.36</t>
  </si>
  <si>
    <t>93661</t>
  </si>
  <si>
    <t>DISJUNTOR BIPOLAR TIPO DIN, CORRENTE NOMINAL DE 16A - FORNECIMENTO E INSTALAÇÃO. AF_04/2016</t>
  </si>
  <si>
    <t>21.37</t>
  </si>
  <si>
    <t>21.38</t>
  </si>
  <si>
    <t>21.39</t>
  </si>
  <si>
    <t>SES0009</t>
  </si>
  <si>
    <t>DISJUNTOR TERMOMAGNETICO TRIPOLAR EM CAIXA MOLDADA 150A, FORNECIMENTO E INSTALACAO</t>
  </si>
  <si>
    <t>91924</t>
  </si>
  <si>
    <t>CABO DE COBRE FLEXÍVEL ISOLADO, 1,5 MM², ANTI-CHAMA 450/750 V, PARA CIRCUITOS TERMINAIS - FORNECIMENTO E INSTALAÇÃO. AF_12/2015</t>
  </si>
  <si>
    <t>92996</t>
  </si>
  <si>
    <t>CABO DE COBRE FLEXÍVEL ISOLADO, 150 MM², ANTI-CHAMA 0,6/1,0 KV, PARA DISTRIBUIÇÃO - FORNECIMENTO E INSTALAÇÃO. AF_12/2015</t>
  </si>
  <si>
    <t>92984</t>
  </si>
  <si>
    <t>CABO DE COBRE FLEXÍVEL ISOLADO, 25 MM², ANTI-CHAMA 0,6/1,0 KV, PARA DISTRIBUIÇÃO - FORNECIMENTO E INSTALAÇÃO. AF_12/2015</t>
  </si>
  <si>
    <t>92980</t>
  </si>
  <si>
    <t>CABO DE COBRE FLEXÍVEL ISOLADO, 10 MM², ANTI-CHAMA 0,6/1,0 KV, PARA DISTRIBUIÇÃO - FORNECIMENTO E INSTALAÇÃO. AF_12/2015</t>
  </si>
  <si>
    <t>91996</t>
  </si>
  <si>
    <t>TOMADA MÉDIA DE EMBUTIR (1 MÓDULO), 2P+T 10 A, INCLUINDO SUPORTE E PLACA - FORNECIMENTO E INSTALAÇÃO. AF_12/2015</t>
  </si>
  <si>
    <t>91959</t>
  </si>
  <si>
    <t>INTERRUPTOR SIMPLES (2 MÓDULOS), 10A/250V, INCLUINDO SUPORTE E PLACA - FORNECIMENTO E INSTALAÇÃO. AF_12/2015</t>
  </si>
  <si>
    <t>91967</t>
  </si>
  <si>
    <t>INTERRUPTOR SIMPLES (3 MÓDULOS), 10A/250V, INCLUINDO SUPORTE E PLACA - FORNECIMENTO E INSTALAÇÃO. AF_12/2015</t>
  </si>
  <si>
    <t>95801</t>
  </si>
  <si>
    <t>CONDULETE DE ALUMÍNIO, TIPO X, PARA ELETRODUTO DE AÇO GALVANIZADO DN 20 MM (3/4</t>
  </si>
  <si>
    <t>SDC03128</t>
  </si>
  <si>
    <t>REFLETOR/PROJETOR LED, PARA ILUMINAÇÃO DE QUADRA, 150W, BIVOLT</t>
  </si>
  <si>
    <t>83399</t>
  </si>
  <si>
    <t>RELE FOTOELETRICO P/ COMANDO DE ILUMINACAO EXTERNA 220V/1000W - FORNECIMENTO E INSTALACAO</t>
  </si>
  <si>
    <t>SES0016</t>
  </si>
  <si>
    <t>Curva vertical 200 x 100 mm para eletrocalha metálica, com ângulo 90°</t>
  </si>
  <si>
    <t>SES0048</t>
  </si>
  <si>
    <t>SAÍDA LATERAL SIMPLES DE ELETROCALHA PARA ELETRODUTO 3/4' - FORNECIMENTO E INSTALAÇÃO</t>
  </si>
  <si>
    <t>83446</t>
  </si>
  <si>
    <t>CAIXA DE PASSAGEM 30X30X40 COM TAMPA E DRENO BRITA</t>
  </si>
  <si>
    <t>83366</t>
  </si>
  <si>
    <t>CAIXA DE PASSAGEM PARA TELEFONE 15X15X10CM (SOBREPOR), FORNECIMENTO E INSTALACAO.</t>
  </si>
  <si>
    <t>SDC03048</t>
  </si>
  <si>
    <t>FORNECIMENTO E INSTALAÇÃO DE CURVA PARA ELETRODUTO GALVANIZADO, DIAM. 1"</t>
  </si>
  <si>
    <t>SDC03197</t>
  </si>
  <si>
    <t>DUTO CORRUGADO EM PEAD POLIETILENO DE ALTA DENSIDADE, PARA PROTEÇÃO DE CABOS SUBTERRÂNEOS Ø1.1/2" 40MM</t>
  </si>
  <si>
    <t>22.8</t>
  </si>
  <si>
    <t>22.9</t>
  </si>
  <si>
    <t>22.10</t>
  </si>
  <si>
    <t>22.11</t>
  </si>
  <si>
    <t>CONDULETE DE ALUMÍNIO, TIPO X, PARA ELETRODUTO DE AÇO GALVANIZADO DN 20 MM (3/4''), APARENTE - FORNECIMENTO E INSTALAÇÃO. AF_11/2016_P</t>
  </si>
  <si>
    <t>22.12</t>
  </si>
  <si>
    <t>SDC04023</t>
  </si>
  <si>
    <t>FORNECIMENTO E INSTALAÇÃO DE PARAFUSO COM BUCHA S8</t>
  </si>
  <si>
    <t>22.13</t>
  </si>
  <si>
    <t>83369</t>
  </si>
  <si>
    <t>QUADRO DE DISTRIBUICAO PARA TELEFONE N.4, 60X60X12CM EM CHAPA METALICA, DE EMBUTIR, SEM ACESSORIOS, PADRAO TELEBRAS, FORNECIMENTO E INSTALACAO</t>
  </si>
  <si>
    <t>22.15</t>
  </si>
  <si>
    <t>SES0046</t>
  </si>
  <si>
    <t>CAIXA COM ESPELHO PARA CONECTOR 1 RJ45 - FORNECIMENTO E INSTALAÇÃO</t>
  </si>
  <si>
    <t>SES0047</t>
  </si>
  <si>
    <t>CAIXA COM ESPELHO PARA CONECTOR 2 RJ45 - FORNECIMENTO E INSTALAÇÃO</t>
  </si>
  <si>
    <t>22.16</t>
  </si>
  <si>
    <t>22.17</t>
  </si>
  <si>
    <t>SDC03237</t>
  </si>
  <si>
    <t>ROTEADOR PARA REDE</t>
  </si>
  <si>
    <t>22.18</t>
  </si>
  <si>
    <t>22.19</t>
  </si>
  <si>
    <t>22.20</t>
  </si>
  <si>
    <t>22.21</t>
  </si>
  <si>
    <t>SDC03239</t>
  </si>
  <si>
    <t>RÉGUA PARA TOMADAS (1U), PARA 8 TOMADAS</t>
  </si>
  <si>
    <t>22.22</t>
  </si>
  <si>
    <t>22.23</t>
  </si>
  <si>
    <t>98304</t>
  </si>
  <si>
    <t>PATCH PANEL 48 PORTAS, CATEGORIA 6 - FORNECIMENTO E INSTALAÇÃO. AF_03/2018</t>
  </si>
  <si>
    <t>22.24</t>
  </si>
  <si>
    <t>22.25</t>
  </si>
  <si>
    <t>22.26</t>
  </si>
  <si>
    <t>22.27</t>
  </si>
  <si>
    <t>22.28</t>
  </si>
  <si>
    <t>22.29</t>
  </si>
  <si>
    <t>22.30</t>
  </si>
  <si>
    <t>22.31</t>
  </si>
  <si>
    <t>22.32</t>
  </si>
  <si>
    <t>22.33</t>
  </si>
  <si>
    <t>SES056</t>
  </si>
  <si>
    <t>FORNECIMENTO E INSTALAÇÃO DE ELETROCALHA PERFURADA, CHAPA 22, 100X100MM</t>
  </si>
  <si>
    <t>22.34</t>
  </si>
  <si>
    <t>SES057</t>
  </si>
  <si>
    <t>CURVA 90° PARA ELETROCALHA, 100X100MM - FORNECIMENTO E INSTALAÇÃO</t>
  </si>
  <si>
    <t>22.35</t>
  </si>
  <si>
    <t>SES058</t>
  </si>
  <si>
    <t>TÊ HORIZONTAL PARA ELETROCALHA, 100X100M - FORNECIMENTO E INSTALAÇÃO</t>
  </si>
  <si>
    <t>22.36</t>
  </si>
  <si>
    <t>SDC03085</t>
  </si>
  <si>
    <t>PERFILADO PERFURADO SIMPLES 38X38mm CHAPA 22</t>
  </si>
  <si>
    <t>22.37</t>
  </si>
  <si>
    <t>96562</t>
  </si>
  <si>
    <t>PERFILADO DE SEÇÃO 38X76 MM PARA SUPORTE DE ELETROCALHA LISA OU PERFURADA EM AÇO GALVANIZADO, LARGURA 200 OU 400 MM E ALTURA 50 MM. AF_07/2017</t>
  </si>
  <si>
    <t>22.38</t>
  </si>
  <si>
    <t>22.39</t>
  </si>
  <si>
    <t>SDC07004</t>
  </si>
  <si>
    <t>FORNECIMENTO E INSTALAÇÃO DE ACIONADOR MANUAL PARA ALARME, TIPO QUEBRA VIDRO, COM MARTELO</t>
  </si>
  <si>
    <t>SDC07005</t>
  </si>
  <si>
    <t>FORNECIMENTO E INSTALAÇÃO DE SIRENE ELETRÔNICA, 12V, ALARME DE EMERGÊNCIA</t>
  </si>
  <si>
    <t>SDC07006</t>
  </si>
  <si>
    <t>FORNECIMENTO E INSTALAÇÃO DE CENTRAL DE ALARME IPA, 12 LAÇOS, SEM BATERIA</t>
  </si>
  <si>
    <t>SDC07007</t>
  </si>
  <si>
    <t>FORNECIMENTO E INSTALAÇÃO DE BATERIA SELADA PARA CENTRAL DE ALARME, 12V/5A</t>
  </si>
  <si>
    <t>91927</t>
  </si>
  <si>
    <t>CABO DE COBRE FLEXÍVEL ISOLADO, 2,5 MM², ANTI-CHAMA 0,6/1,0 KV, PARA CIRCUITOS TERMINAIS - FORNECIMENTO E INSTALAÇÃO. AF_12/2015</t>
  </si>
  <si>
    <t>SDC07008</t>
  </si>
  <si>
    <t>PLACA DE SINALIZACAO DE SEGURANCA CONTRA INCENDIO, FOTOLUMINESCENTE, RETANGULAR, *13 X 26* CM, EM PVC *2* MM ANTI-CHAMAS (SIMBOLOS, CORES E PICTOGRAMAS CONFORME NBR 13434)</t>
  </si>
  <si>
    <t>SDC03005</t>
  </si>
  <si>
    <t>ABRACADEIRA EM ACO PARA AMARRACAO DE ELETRODUTOS, TIPO D, COM 3/4" E CUNHA DE FIXACAO</t>
  </si>
  <si>
    <t>SDC07022</t>
  </si>
  <si>
    <t>LUVA PARA ELETRODUTO, PVC, VERMELHO, PARA INCÊNDIO, DN 25 MM (3/4") - FORNECIMENTO E INSTALAÇÃO</t>
  </si>
  <si>
    <t>SDC07021</t>
  </si>
  <si>
    <t>CONDULETE DE PVC, VERMELHO, PARA INCENDIO,  3/4", COM TAMPA CEGA - FORNECIMENTO E INSTALAÇÃO</t>
  </si>
  <si>
    <t>SDC07018</t>
  </si>
  <si>
    <t>ELETRODUTO PVC VERMELHO 3/4" X 3M - FORNECIMENTO E INSTALAÇÃO</t>
  </si>
  <si>
    <t>SDC07024</t>
  </si>
  <si>
    <t>ADAPTADOR PVC VERMELHO 3/4" PARA INCENDIO  - FORNECIMENTO E INSTALAÇÃO</t>
  </si>
  <si>
    <t>SDC07038</t>
  </si>
  <si>
    <t>ABRIGO PARA HIDRANTE, 90X60X17CM, COM REGISTRO GLOBO ANGULAR 45º 2.1/2", ADAPTADOR STORZ 2.1/2", MANGUEIRA DE INCÊNDIO 30M, REDUÇÃO 2.1/2X1.1/2" E ESGUICHO EM LATÃO 1.1/2" - FORNECIMENTO E INSTALAÇÃO</t>
  </si>
  <si>
    <t>SDC02037</t>
  </si>
  <si>
    <t>ASSENTAMENTO E FORNECIMENTO DE TAMPAO DE FERRO FUNDIDO 600 MM</t>
  </si>
  <si>
    <t>94474</t>
  </si>
  <si>
    <t>COTOVELO 45 GRAUS, EM FERRO GALVANIZADO, CONEXÃO ROSQUEADA, DN 65 (2 1/2), INSTALADO EM RESERVAÇÃO DE ÁGUA DE EDIFICAÇÃO QUE POSSUA RESERVATÓRIO DE FIBRA/FIBROCIMENTO  FORNECIMENTO E INSTALAÇÃO. AF_06/2016</t>
  </si>
  <si>
    <t>94473</t>
  </si>
  <si>
    <t>COTOVELO 90 GRAUS, EM FERRO GALVANIZADO, CONEXÃO ROSQUEADA, DN 65 (2 1/2), INSTALADO EM RESERVAÇÃO DE ÁGUA DE EDIFICAÇÃO QUE POSSUA RESERVATÓRIO DE FIBRA/FIBROCIMENTO  FORNECIMENTO E INSTALAÇÃO. AF_06/2016</t>
  </si>
  <si>
    <t>94620</t>
  </si>
  <si>
    <t>COTOVELO EM COBRE, 90 GRAUS, SEM ANEL DE SOLDA, DN 104 MM, INSTALADO EM RESERVAÇÃO DE ÁGUA DE EDIFICAÇÃO QUE POSSUA RESERVATÓRIO DE FIBRA/FIBROCIMENTO  FORNECIMENTO E INSTALAÇÃO. AF_06/2016_P</t>
  </si>
  <si>
    <t>SDC07017</t>
  </si>
  <si>
    <t>FORNECIMENTO E INSTALAÇÃO DE ADAPTADOR STORZ PARA ENGATE RAPIDO 2.1/2 COM TAMPÃO E CORRENTE</t>
  </si>
  <si>
    <t>SDC02266</t>
  </si>
  <si>
    <t>TUBO DE AÇO GALVANIZADO COM COSTURA, CLASSE MÉDIA, DN 4", CONEXÃO ROSQUEADA, INSTALADO EM REDE DE ALIMENTAÇÃO PARA HIDRANTE - FORNECIMENTO E INSTALAÇÃO</t>
  </si>
  <si>
    <t>92367</t>
  </si>
  <si>
    <t>TUBO DE AÇO GALVANIZADO COM COSTURA, CLASSE MÉDIA, DN 65 (2 1/2"), CONEXÃO ROSQUEADA, INSTALADO EM REDE DE ALIMENTAÇÃO PARA HIDRANTE - FORNECIMENTO E INSTALAÇÃO. AF_12/2015</t>
  </si>
  <si>
    <t>92368</t>
  </si>
  <si>
    <t>TUBO DE AÇO GALVANIZADO COM COSTURA, CLASSE MÉDIA, DN 80 (3"), CONEXÃO ROSQUEADA, INSTALADO EM REDE DE ALIMENTAÇÃO PARA HIDRANTE - FORNECIMENTO E INSTALAÇÃO. AF_12/2015</t>
  </si>
  <si>
    <t>92642</t>
  </si>
  <si>
    <t>TÊ, EM FERRO GALVANIZADO, CONEXÃO ROSQUEADA, DN 65 (2 1/2"), INSTALADO EM REDE DE ALIMENTAÇÃO PARA HIDRANTE - FORNECIMENTO E INSTALAÇÃO. AF_12/2015</t>
  </si>
  <si>
    <t>72719</t>
  </si>
  <si>
    <t>TE DE ACO GALVANIZADO 4" - FORNECIMENTO E INSTALACAO</t>
  </si>
  <si>
    <t>92644</t>
  </si>
  <si>
    <t>TÊ, EM FERRO GALVANIZADO, CONEXÃO ROSQUEADA, DN 80 (3"), INSTALADO EM REDE DE ALIMENTAÇÃO PARA HIDRANTE - FORNECIMENTO E INSTALAÇÃO. AF_12/2015</t>
  </si>
  <si>
    <t>72681</t>
  </si>
  <si>
    <t>NIPLE DE ACO GALVANIZADO 4" - FORNECIMENTO E INSTALACAO</t>
  </si>
  <si>
    <t>97487</t>
  </si>
  <si>
    <t>CURVA 45 GRAUS, EM AÇO, CONEXÃO SOLDADA, DN 65 (2 1/2"), INSTALADO EM REDE DE ALIMENTAÇÃO PARA HIDRANTE - FORNECIMENTO E INSTALAÇÃO. AF_12/2015</t>
  </si>
  <si>
    <t>92377</t>
  </si>
  <si>
    <t>NIPLE, EM FERRO GALVANIZADO, DN 65 (2 1/2"), CONEXÃO ROSQUEADA, INSTALADO EM REDE DE ALIMENTAÇÃO PARA HIDRANTE - FORNECIMENTO E INSTALAÇÃO. AF_12/2015</t>
  </si>
  <si>
    <t>97478</t>
  </si>
  <si>
    <t>LUVA COM REDUÇÃO, EM AÇO, CONEXÃO SOLDADA, DN 80 X 65 MM (3" X 2 1/2"), INSTALADO EM REDE DE ALIMENTAÇÃO PARA HIDRANTE - FORNECIMENTO E INSTALAÇÃO. AF_12/2015,</t>
  </si>
  <si>
    <t>SES055</t>
  </si>
  <si>
    <t>LUVA DE REDUCAO DE FERRO GALVANIZADO, COM ROSCA, DE 4" X 2 1/2" - FORNECIMENTO E INSTALAÇÃO.</t>
  </si>
  <si>
    <t>72482</t>
  </si>
  <si>
    <t>UNIAO DE ACO GALVANIZADO 4" - FORNECIMENTO E INSTALACAO</t>
  </si>
  <si>
    <t>97599</t>
  </si>
  <si>
    <t>LUMINÁRIA DE EMERGÊNCIA - FORNECIMENTO E INSTALAÇÃO. AF_11/2017</t>
  </si>
  <si>
    <t>SDC02270</t>
  </si>
  <si>
    <t>FORNECIMENTO E INSTALAÇÃO DE BOMBA TRIFÁSICA 12CV - 220/380</t>
  </si>
  <si>
    <t>SES054</t>
  </si>
  <si>
    <t>DETECTOR DE FUMAÇA OPTICO</t>
  </si>
  <si>
    <t>72118</t>
  </si>
  <si>
    <t>VIDRO TEMPERADO INCOLOR, ESPESSURA 6MM, FORNECIMENTO E INSTALACAO, INCLUSIVE MASSA PARA VEDACAO</t>
  </si>
  <si>
    <t>SDC04031</t>
  </si>
  <si>
    <t>FORNECIMENTO E INSTALAÇÃO DE BARRA DE APOIO PARA PCD, EM AÇO INOX, 40CM</t>
  </si>
  <si>
    <t>73916/002</t>
  </si>
  <si>
    <t>PLACA ESMALTADA PARA IDENTIFICAÇÃO NR DE RUA, DIMENSÕES 45X25CM</t>
  </si>
  <si>
    <t>ADM</t>
  </si>
  <si>
    <t>7.7</t>
  </si>
  <si>
    <t>7.8</t>
  </si>
  <si>
    <t>7.9</t>
  </si>
  <si>
    <t>7.10</t>
  </si>
  <si>
    <t>7.11</t>
  </si>
  <si>
    <t>7.12</t>
  </si>
  <si>
    <t>7.13</t>
  </si>
  <si>
    <t>7.14</t>
  </si>
  <si>
    <t>10.8</t>
  </si>
  <si>
    <t>11.9</t>
  </si>
  <si>
    <t>11.10</t>
  </si>
  <si>
    <t>11.11</t>
  </si>
  <si>
    <t>13.4</t>
  </si>
  <si>
    <t>15.3</t>
  </si>
  <si>
    <t>15.4</t>
  </si>
  <si>
    <t>15.5</t>
  </si>
  <si>
    <t>15.6</t>
  </si>
  <si>
    <t>15.7</t>
  </si>
  <si>
    <t>15.8</t>
  </si>
  <si>
    <t>15.9</t>
  </si>
  <si>
    <t>15.10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</si>
  <si>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</si>
  <si>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</si>
  <si>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</si>
  <si>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</si>
  <si>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</si>
  <si>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</si>
  <si>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</si>
  <si>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</si>
  <si>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</si>
  <si>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</si>
  <si>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</si>
  <si>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</si>
  <si>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</si>
  <si>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</si>
  <si>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</si>
  <si>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</si>
  <si>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</si>
  <si>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</si>
  <si>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</si>
  <si>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</si>
  <si>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</si>
  <si>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</si>
  <si>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</si>
  <si>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18.30</t>
  </si>
  <si>
    <t>18.31</t>
  </si>
  <si>
    <t>18.32</t>
  </si>
  <si>
    <t>18.33</t>
  </si>
  <si>
    <t>18.34</t>
  </si>
  <si>
    <t>18.35</t>
  </si>
  <si>
    <t>18.36</t>
  </si>
  <si>
    <t>18.37</t>
  </si>
  <si>
    <t>18.38</t>
  </si>
  <si>
    <t>18.39</t>
  </si>
  <si>
    <t>18.40</t>
  </si>
  <si>
    <t>18.41</t>
  </si>
  <si>
    <t>18.42</t>
  </si>
  <si>
    <t>18.43</t>
  </si>
  <si>
    <t>18.44</t>
  </si>
  <si>
    <t>18.45</t>
  </si>
  <si>
    <t>18.46</t>
  </si>
  <si>
    <t>18.47</t>
  </si>
  <si>
    <t>18.48</t>
  </si>
  <si>
    <t>18.49</t>
  </si>
  <si>
    <t>18.50</t>
  </si>
  <si>
    <t>18.51</t>
  </si>
  <si>
    <t>18.52</t>
  </si>
  <si>
    <t>18.53</t>
  </si>
  <si>
    <t>18.54</t>
  </si>
  <si>
    <t>18.55</t>
  </si>
  <si>
    <t>18.56</t>
  </si>
  <si>
    <t>18.57</t>
  </si>
  <si>
    <t>18.58</t>
  </si>
  <si>
    <t>18.59</t>
  </si>
  <si>
    <t>18.60</t>
  </si>
  <si>
    <t>18.61</t>
  </si>
  <si>
    <t>18.62</t>
  </si>
  <si>
    <t>18.63</t>
  </si>
  <si>
    <t>18.64</t>
  </si>
  <si>
    <t>18.65</t>
  </si>
  <si>
    <t>18.66</t>
  </si>
  <si>
    <t>18.67</t>
  </si>
  <si>
    <t>18.68</t>
  </si>
  <si>
    <t>18.69</t>
  </si>
  <si>
    <t>18.70</t>
  </si>
  <si>
    <t>18.71</t>
  </si>
  <si>
    <t>18.72</t>
  </si>
  <si>
    <t>20.34</t>
  </si>
  <si>
    <t>20.35</t>
  </si>
  <si>
    <t>20.36</t>
  </si>
  <si>
    <t>20.37</t>
  </si>
  <si>
    <t>20.38</t>
  </si>
  <si>
    <t>20.39</t>
  </si>
  <si>
    <t>20.40</t>
  </si>
  <si>
    <t>20.41</t>
  </si>
  <si>
    <t>20.42</t>
  </si>
  <si>
    <t>20.43</t>
  </si>
  <si>
    <t>20.44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</si>
  <si>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</si>
  <si>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</si>
  <si>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</si>
  <si>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</si>
  <si>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</si>
  <si>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</si>
  <si>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</si>
  <si>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</si>
  <si>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</si>
  <si>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</si>
  <si>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</si>
  <si>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</si>
  <si>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20.57</t>
  </si>
  <si>
    <t>20.58</t>
  </si>
  <si>
    <t>20.59</t>
  </si>
  <si>
    <t>20.60</t>
  </si>
  <si>
    <t>20.61</t>
  </si>
  <si>
    <t>20.62</t>
  </si>
  <si>
    <t>22.14</t>
  </si>
  <si>
    <t>22.40</t>
  </si>
  <si>
    <t>22.41</t>
  </si>
  <si>
    <t>22.42</t>
  </si>
  <si>
    <t>Arquitetônico</t>
  </si>
  <si>
    <t>Demoliçaõ piso de concreto</t>
  </si>
  <si>
    <t>BLOCO 01</t>
  </si>
  <si>
    <t>Área externa</t>
  </si>
  <si>
    <t>BLOCO 02</t>
  </si>
  <si>
    <t>Dp. Água, Aquecedor e sala de banho</t>
  </si>
  <si>
    <t>Sala telefonia, hall e cpd</t>
  </si>
  <si>
    <t>RPG, recepção e ortése</t>
  </si>
  <si>
    <t>BLOCO AUDIOMETRIA</t>
  </si>
  <si>
    <t>Recepção/Espera 1</t>
  </si>
  <si>
    <t>Prontuario</t>
  </si>
  <si>
    <t>Serviço Social</t>
  </si>
  <si>
    <t>WC F</t>
  </si>
  <si>
    <t>WC 1</t>
  </si>
  <si>
    <t>WC M</t>
  </si>
  <si>
    <t>WC 2</t>
  </si>
  <si>
    <t>Oficina protese Auditiva</t>
  </si>
  <si>
    <t>Exame Auditivo</t>
  </si>
  <si>
    <t>Exame Auditivo 2</t>
  </si>
  <si>
    <t>Exame Auditivo 3</t>
  </si>
  <si>
    <t>Exame</t>
  </si>
  <si>
    <t>Espera 2</t>
  </si>
  <si>
    <t>FACHADA</t>
  </si>
  <si>
    <t>Calçada fachada</t>
  </si>
  <si>
    <t>Demoliçaõ piso de granilite</t>
  </si>
  <si>
    <t>Banheiro Diretoria</t>
  </si>
  <si>
    <t>Banheiro Masculino</t>
  </si>
  <si>
    <t>Banheiro Feminino</t>
  </si>
  <si>
    <t>Bloco 02</t>
  </si>
  <si>
    <t>BLOCO 03</t>
  </si>
  <si>
    <t>Bloco 3</t>
  </si>
  <si>
    <t>BLOCO 04</t>
  </si>
  <si>
    <t>Bloco 4</t>
  </si>
  <si>
    <t>BLOCO 05</t>
  </si>
  <si>
    <t>Bloco 5</t>
  </si>
  <si>
    <t>Demoliçaõ de azulejo</t>
  </si>
  <si>
    <t>Perimetro</t>
  </si>
  <si>
    <t>Altura</t>
  </si>
  <si>
    <t>Desc. Vão</t>
  </si>
  <si>
    <t>Banheiro Wc piscina</t>
  </si>
  <si>
    <t>Copa</t>
  </si>
  <si>
    <t>Sala Eletrotermoterapia</t>
  </si>
  <si>
    <t>Wc. Fundo</t>
  </si>
  <si>
    <t>Wc. Consultorio</t>
  </si>
  <si>
    <t>Wc Fisioterapia infantil</t>
  </si>
  <si>
    <t>Wc. Terapia ocupacional</t>
  </si>
  <si>
    <t>Brinquedoteca</t>
  </si>
  <si>
    <t>Remoçaõ de portas</t>
  </si>
  <si>
    <t>Largura</t>
  </si>
  <si>
    <t>Porta quarto ao lado caixa d´agua</t>
  </si>
  <si>
    <t>Portão</t>
  </si>
  <si>
    <t>Depósito</t>
  </si>
  <si>
    <t>Sala motorista</t>
  </si>
  <si>
    <t>Sala associação funcionários</t>
  </si>
  <si>
    <t>Associação dos funcionários</t>
  </si>
  <si>
    <t>Coordenadoria técnica</t>
  </si>
  <si>
    <t>Estatística</t>
  </si>
  <si>
    <t>Gerencia Administrativa</t>
  </si>
  <si>
    <t>Banheiro Ferminino</t>
  </si>
  <si>
    <t>Sala de reunião</t>
  </si>
  <si>
    <t>Gerencia de apoio logistico</t>
  </si>
  <si>
    <t>Concessão cadeira de rodas</t>
  </si>
  <si>
    <t>Educação e saúde</t>
  </si>
  <si>
    <t>Dep. Agua</t>
  </si>
  <si>
    <t>Aquecedor</t>
  </si>
  <si>
    <t>Sala de Banho</t>
  </si>
  <si>
    <t>Wc.</t>
  </si>
  <si>
    <t>Sala Avaliação</t>
  </si>
  <si>
    <t>Dep. Cadeira de rodas</t>
  </si>
  <si>
    <t>Acupuntura</t>
  </si>
  <si>
    <t>Saúde da Mama</t>
  </si>
  <si>
    <t>Corredor</t>
  </si>
  <si>
    <t>CPD</t>
  </si>
  <si>
    <t>Hall</t>
  </si>
  <si>
    <t>Telefonia</t>
  </si>
  <si>
    <t>Entrada</t>
  </si>
  <si>
    <t>Entrada bloco</t>
  </si>
  <si>
    <t>RPG</t>
  </si>
  <si>
    <t>Ambulatório</t>
  </si>
  <si>
    <t>Consultório</t>
  </si>
  <si>
    <t>Fisioterapia infantil</t>
  </si>
  <si>
    <t>Wc. COnsultorio</t>
  </si>
  <si>
    <t>Wc. Recepção</t>
  </si>
  <si>
    <t>Comunicação alternativa</t>
  </si>
  <si>
    <t>Psicologia</t>
  </si>
  <si>
    <t>Sala 01</t>
  </si>
  <si>
    <t>Sala 02</t>
  </si>
  <si>
    <t>Sala 03</t>
  </si>
  <si>
    <t>Sala 4</t>
  </si>
  <si>
    <t>Sala 05</t>
  </si>
  <si>
    <t>Casa terapeutica</t>
  </si>
  <si>
    <t>Sala de avaliação</t>
  </si>
  <si>
    <t>Pedagogia</t>
  </si>
  <si>
    <t>Roupa limpa</t>
  </si>
  <si>
    <t>Atendimento grupo</t>
  </si>
  <si>
    <t>Banheiros</t>
  </si>
  <si>
    <t>sala limpeza</t>
  </si>
  <si>
    <t xml:space="preserve">Cinesioterapia adulto </t>
  </si>
  <si>
    <t>Sala avaliação</t>
  </si>
  <si>
    <t>Neurologia</t>
  </si>
  <si>
    <t>Prontuária</t>
  </si>
  <si>
    <t>Oficina</t>
  </si>
  <si>
    <t>Portas entrada</t>
  </si>
  <si>
    <t>Remoçaõ de janelas</t>
  </si>
  <si>
    <t>Sala Telefonia</t>
  </si>
  <si>
    <t>J11</t>
  </si>
  <si>
    <t>Janelas fachada</t>
  </si>
  <si>
    <t>Demoliçaõ de estrutura para telhado fibrocimento</t>
  </si>
  <si>
    <t>Quarto ao lado caixa d´agua</t>
  </si>
  <si>
    <t>Sala do motorista e sala de associação dos funcionários</t>
  </si>
  <si>
    <t>Entrada autal</t>
  </si>
  <si>
    <t>Varanda fundo</t>
  </si>
  <si>
    <t>Telhado demolir</t>
  </si>
  <si>
    <t>Demoliçaõ de  telhado fibrocimento</t>
  </si>
  <si>
    <t>Demoliçaõ de forro pvc</t>
  </si>
  <si>
    <t>Demoliçaõ de alvenaria</t>
  </si>
  <si>
    <t>Comprimento</t>
  </si>
  <si>
    <t>espessura</t>
  </si>
  <si>
    <t>Parede caixa d´agua</t>
  </si>
  <si>
    <t>Quarto próximo depósito</t>
  </si>
  <si>
    <t>Sala motorista e sala associação</t>
  </si>
  <si>
    <t>Estatistica</t>
  </si>
  <si>
    <t>Dep. Água</t>
  </si>
  <si>
    <t>Sala Banho</t>
  </si>
  <si>
    <t>Vão de parede piscina para porta</t>
  </si>
  <si>
    <t>Wc/acupuntura</t>
  </si>
  <si>
    <t>Eletrocinesioterapia</t>
  </si>
  <si>
    <t>Clínica</t>
  </si>
  <si>
    <t>Demolição Área piscina</t>
  </si>
  <si>
    <t>Janela Ambulatório</t>
  </si>
  <si>
    <t>wc</t>
  </si>
  <si>
    <t>WC</t>
  </si>
  <si>
    <t>Neuropediatria</t>
  </si>
  <si>
    <t>Sala 5</t>
  </si>
  <si>
    <t>Área Externa</t>
  </si>
  <si>
    <t>Terapia Ocupacional (WC)</t>
  </si>
  <si>
    <t>Sala Fonaudiologia</t>
  </si>
  <si>
    <t>Arte terapia</t>
  </si>
  <si>
    <t>Cinesioterapia adulto</t>
  </si>
  <si>
    <t>Roupas limpas / atendimento grupo</t>
  </si>
  <si>
    <t>Cinesioterapia adulto banheiro</t>
  </si>
  <si>
    <t>Mureta</t>
  </si>
  <si>
    <t>Elementos vazados</t>
  </si>
  <si>
    <t>Demoliçaõ de fechamento vertical de madeira do oitão</t>
  </si>
  <si>
    <t>Fechamento frontal do telhado</t>
  </si>
  <si>
    <t>Fechamento fundo do telhado</t>
  </si>
  <si>
    <t>Demoliçaõ de divisórias Eucatex</t>
  </si>
  <si>
    <t>Retirada de loucas</t>
  </si>
  <si>
    <t>Und.</t>
  </si>
  <si>
    <t>Pias</t>
  </si>
  <si>
    <t>Vasos</t>
  </si>
  <si>
    <t>Demoliçaõ de forro madeira</t>
  </si>
  <si>
    <t>Área bloco 5</t>
  </si>
  <si>
    <t>Demolição de reboco</t>
  </si>
  <si>
    <t>Desc.</t>
  </si>
  <si>
    <t>Corredor entrada</t>
  </si>
  <si>
    <t xml:space="preserve">TOTAL </t>
  </si>
  <si>
    <t>6.6</t>
  </si>
  <si>
    <t>Retirada bancada Granito</t>
  </si>
  <si>
    <t>Largura (m)</t>
  </si>
  <si>
    <t>Qtdd</t>
  </si>
  <si>
    <t>oficina Protese</t>
  </si>
  <si>
    <t>Volume</t>
  </si>
  <si>
    <t>Transporte</t>
  </si>
  <si>
    <t>Transporta caminhão basculante 6m²</t>
  </si>
  <si>
    <t>Alvenarias e divisórias</t>
  </si>
  <si>
    <t>ALVENARIA DE VEDAÇÃO DE BLOCOS VAZADOS DE CERÂMICA DE 9X19X19CM</t>
  </si>
  <si>
    <t>Quant</t>
  </si>
  <si>
    <t>Gerencia Apoio Logistico</t>
  </si>
  <si>
    <t>Divisão de blocos</t>
  </si>
  <si>
    <t>Fechamento de alvenaria ar</t>
  </si>
  <si>
    <t>Fechamento fundo</t>
  </si>
  <si>
    <t>Esterelização</t>
  </si>
  <si>
    <t>Expurgo</t>
  </si>
  <si>
    <t>Consultorio 2</t>
  </si>
  <si>
    <t>Divisão blocos</t>
  </si>
  <si>
    <t>Copa/cozinha</t>
  </si>
  <si>
    <t>Wc1</t>
  </si>
  <si>
    <t>Sala técnica</t>
  </si>
  <si>
    <t>Wc PCD</t>
  </si>
  <si>
    <t>WC. PCD</t>
  </si>
  <si>
    <t>Escritório Regional</t>
  </si>
  <si>
    <t>Separação de blocos corredor frente</t>
  </si>
  <si>
    <t>Separação de blocos corredor fundo</t>
  </si>
  <si>
    <t>SALA 07</t>
  </si>
  <si>
    <t>WC FEMININO</t>
  </si>
  <si>
    <t>CORREDOR ENTRADA</t>
  </si>
  <si>
    <t>Canto muro fundo</t>
  </si>
  <si>
    <t>Medicamentos</t>
  </si>
  <si>
    <t>Wc. Fem</t>
  </si>
  <si>
    <t>Wc. Mas</t>
  </si>
  <si>
    <t>Fechamento Elemento vazado e portas</t>
  </si>
  <si>
    <t>Platibanda</t>
  </si>
  <si>
    <t>Platibanda varanda</t>
  </si>
  <si>
    <t>ABRIGO DE RESÍDUOS</t>
  </si>
  <si>
    <t>Abrigo de resíduos</t>
  </si>
  <si>
    <t>wc CHURRAS</t>
  </si>
  <si>
    <t>Divisórias gesso acartonado</t>
  </si>
  <si>
    <t>Salas consultório</t>
  </si>
  <si>
    <t>Consultório 5</t>
  </si>
  <si>
    <t>Recursos humanos</t>
  </si>
  <si>
    <t>Espera adulto</t>
  </si>
  <si>
    <t>Bloco 03</t>
  </si>
  <si>
    <t>Divisórias de granito</t>
  </si>
  <si>
    <t>Wc. Masc</t>
  </si>
  <si>
    <t>verga para janela acima de 1,5m</t>
  </si>
  <si>
    <t>j1</t>
  </si>
  <si>
    <t>Contraverga acima 1,5</t>
  </si>
  <si>
    <t>verga para porta acima de 1,5m</t>
  </si>
  <si>
    <t>P6</t>
  </si>
  <si>
    <t>P7</t>
  </si>
  <si>
    <t>verga para porta abaixo de 1,5m</t>
  </si>
  <si>
    <t>ESQUADRIAS E FERRAGENS</t>
  </si>
  <si>
    <t>Suite</t>
  </si>
  <si>
    <t>PORTAS DE MADEIRA 0,9X2,10</t>
  </si>
  <si>
    <t>Filho</t>
  </si>
  <si>
    <t>Lavanderia</t>
  </si>
  <si>
    <t>Coordenadoria tecnica</t>
  </si>
  <si>
    <t>Gerencia administrativa</t>
  </si>
  <si>
    <t>Banheiro masculino</t>
  </si>
  <si>
    <t>Pastilha</t>
  </si>
  <si>
    <t>Banheiro feminino</t>
  </si>
  <si>
    <t>Almoxarifado</t>
  </si>
  <si>
    <t>Coodenação</t>
  </si>
  <si>
    <t>Consultório 01</t>
  </si>
  <si>
    <t>Consultório 02</t>
  </si>
  <si>
    <t>Consultório 03</t>
  </si>
  <si>
    <t>Consultório 04</t>
  </si>
  <si>
    <t>Consultório 05</t>
  </si>
  <si>
    <t>Consultório 06</t>
  </si>
  <si>
    <t>Espera Infantil</t>
  </si>
  <si>
    <t>Serviço social</t>
  </si>
  <si>
    <t>Wc Mas. PCD</t>
  </si>
  <si>
    <t>Wc Mas.</t>
  </si>
  <si>
    <t>Wc FEM. PCD</t>
  </si>
  <si>
    <t>Wc Fem.</t>
  </si>
  <si>
    <t>Sala bloco 3</t>
  </si>
  <si>
    <t>Salas bloco 4</t>
  </si>
  <si>
    <t>Potas bloco 5</t>
  </si>
  <si>
    <t>PORTAS VENEZIANA ALUMINIO</t>
  </si>
  <si>
    <t>Wc. Fem.</t>
  </si>
  <si>
    <t>PORTAS  ALUMINIO lambri</t>
  </si>
  <si>
    <t>Multiuso</t>
  </si>
  <si>
    <t>Portão em tela</t>
  </si>
  <si>
    <t>PORTAS de vidro  2,4X2,10</t>
  </si>
  <si>
    <t>Porta duas folhas entrada</t>
  </si>
  <si>
    <t>PORTAS de vidro  2,0X2,10</t>
  </si>
  <si>
    <t>PORTAS de correr madeira</t>
  </si>
  <si>
    <t>Entrada Multiuso</t>
  </si>
  <si>
    <t>Janela Basculante</t>
  </si>
  <si>
    <t>J1</t>
  </si>
  <si>
    <t>Blocos</t>
  </si>
  <si>
    <t>Pingadeira</t>
  </si>
  <si>
    <t>Calhas</t>
  </si>
  <si>
    <t>Manta Telhado</t>
  </si>
  <si>
    <t>Telhado antigo bloco</t>
  </si>
  <si>
    <t>Varanda entrada</t>
  </si>
  <si>
    <t>Desc</t>
  </si>
  <si>
    <t>Área externa bloco</t>
  </si>
  <si>
    <t>Área externa fondo bloco</t>
  </si>
  <si>
    <t>Perimetro externo</t>
  </si>
  <si>
    <t>Fundos</t>
  </si>
  <si>
    <t>Perimentro externo</t>
  </si>
  <si>
    <t>Wc</t>
  </si>
  <si>
    <t>Circulação banheiro</t>
  </si>
  <si>
    <t>EMBOÇO/MASSA ÚNICA</t>
  </si>
  <si>
    <t>Regularização onde tirou azulejo</t>
  </si>
  <si>
    <t>Revestimento ceramico parede</t>
  </si>
  <si>
    <t>Wc. Masc. Funci.</t>
  </si>
  <si>
    <t>Wc. Fem. Func.</t>
  </si>
  <si>
    <t>Wc. Masc.</t>
  </si>
  <si>
    <t>Área compressores</t>
  </si>
  <si>
    <t>Wc. 1</t>
  </si>
  <si>
    <t>Wc. 2</t>
  </si>
  <si>
    <t>Revestimento ceramico parede pastilha 5x5</t>
  </si>
  <si>
    <t>Revestimento Fechada</t>
  </si>
  <si>
    <t>FORRO DE GESSO ACARTONADO</t>
  </si>
  <si>
    <t>Emassamento parede</t>
  </si>
  <si>
    <t>Sala 11</t>
  </si>
  <si>
    <t>Sala 12</t>
  </si>
  <si>
    <t>Sala 10</t>
  </si>
  <si>
    <t>Sala 8</t>
  </si>
  <si>
    <t>Sala 9</t>
  </si>
  <si>
    <t>Sala 7</t>
  </si>
  <si>
    <t>Sala 06</t>
  </si>
  <si>
    <t>Sala 04</t>
  </si>
  <si>
    <t>Almoxarifado prédio 2 andares</t>
  </si>
  <si>
    <t>Pavimento inferior interno prédio 2 andares</t>
  </si>
  <si>
    <t>Wc. Func. Masc.</t>
  </si>
  <si>
    <t>Wc. Func. Fem.</t>
  </si>
  <si>
    <t>Coordenação</t>
  </si>
  <si>
    <t>Recursos Humanos</t>
  </si>
  <si>
    <t>Espera Adulto</t>
  </si>
  <si>
    <t>wc1</t>
  </si>
  <si>
    <t>wc2</t>
  </si>
  <si>
    <t>Circulação 02</t>
  </si>
  <si>
    <t>Sala reunião</t>
  </si>
  <si>
    <t>WC masc</t>
  </si>
  <si>
    <t>Escritorio regional</t>
  </si>
  <si>
    <t>Sala escritório regional</t>
  </si>
  <si>
    <t>Sala 2 escritório regional</t>
  </si>
  <si>
    <t>dml</t>
  </si>
  <si>
    <t>Cozinha</t>
  </si>
  <si>
    <t>farmácia</t>
  </si>
  <si>
    <t>Sala 07</t>
  </si>
  <si>
    <t>Sala 08</t>
  </si>
  <si>
    <t>Sala 09</t>
  </si>
  <si>
    <t>Dispensação</t>
  </si>
  <si>
    <t>wc3</t>
  </si>
  <si>
    <t>wc pcd1</t>
  </si>
  <si>
    <t>wc pcd2</t>
  </si>
  <si>
    <t>Wc4</t>
  </si>
  <si>
    <t>Farmácia</t>
  </si>
  <si>
    <t>Pintura Interna</t>
  </si>
  <si>
    <t>Perimetro (m)</t>
  </si>
  <si>
    <t>Pé-Direito</t>
  </si>
  <si>
    <t>D. Vãos (m)</t>
  </si>
  <si>
    <t>Emassamento Teto</t>
  </si>
  <si>
    <t>Laje fachada</t>
  </si>
  <si>
    <t>Pintura Teto</t>
  </si>
  <si>
    <t>Wc diretoria</t>
  </si>
  <si>
    <t>Compressores</t>
  </si>
  <si>
    <t>WC fem</t>
  </si>
  <si>
    <t>Farmacia</t>
  </si>
  <si>
    <t>1.4</t>
  </si>
  <si>
    <t>Fundo Selador</t>
  </si>
  <si>
    <t>Área externa prédio 2 andares</t>
  </si>
  <si>
    <t>Perimetro externo bloco 2</t>
  </si>
  <si>
    <t>Fachada</t>
  </si>
  <si>
    <t>1.3</t>
  </si>
  <si>
    <t>Pintura de parede textura</t>
  </si>
  <si>
    <t>Pintura de Porta madeira</t>
  </si>
  <si>
    <t>Salas bloco 3</t>
  </si>
  <si>
    <t>Salas bloco 5</t>
  </si>
  <si>
    <t>Pintura de Janelas</t>
  </si>
  <si>
    <t>J8</t>
  </si>
  <si>
    <t>J13</t>
  </si>
  <si>
    <t>J14</t>
  </si>
  <si>
    <t>J7</t>
  </si>
  <si>
    <t>J9</t>
  </si>
  <si>
    <t>j15</t>
  </si>
  <si>
    <t>J15</t>
  </si>
  <si>
    <t>J5</t>
  </si>
  <si>
    <t>J17</t>
  </si>
  <si>
    <t>J12</t>
  </si>
  <si>
    <t>J10</t>
  </si>
  <si>
    <t>J19</t>
  </si>
  <si>
    <t>Pintura demarcação de piso</t>
  </si>
  <si>
    <t>Marcação faixa estacionamento</t>
  </si>
  <si>
    <t>Pintura de piso</t>
  </si>
  <si>
    <t>Faixas de pedestres</t>
  </si>
  <si>
    <t>PAVIMENTAÇÃO</t>
  </si>
  <si>
    <t>Calçada externa</t>
  </si>
  <si>
    <t>Revestimento ceramico piso</t>
  </si>
  <si>
    <t>Revestimento granilite</t>
  </si>
  <si>
    <t>wc 1</t>
  </si>
  <si>
    <t>wc 2</t>
  </si>
  <si>
    <t>Pia bancada 50x60cm</t>
  </si>
  <si>
    <t>Wc. Mas func.</t>
  </si>
  <si>
    <t>Wc. Fem. Func</t>
  </si>
  <si>
    <t>Pia de bancada 1,50x0,6</t>
  </si>
  <si>
    <t>Tanque</t>
  </si>
  <si>
    <t>Tanque DML</t>
  </si>
  <si>
    <t>Lavatório de Coluna</t>
  </si>
  <si>
    <t xml:space="preserve">Esterelização </t>
  </si>
  <si>
    <t>Banheiro Bloco 3</t>
  </si>
  <si>
    <t>Banheiros bloco 4</t>
  </si>
  <si>
    <t>,</t>
  </si>
  <si>
    <t>Vaso Sanitário</t>
  </si>
  <si>
    <t>Banheiros Bloco 3</t>
  </si>
  <si>
    <t>Banheiros Bloco 4</t>
  </si>
  <si>
    <t>Espelho</t>
  </si>
  <si>
    <t>WC-masc</t>
  </si>
  <si>
    <t>Wc. Diretoria</t>
  </si>
  <si>
    <t>Wc 1</t>
  </si>
  <si>
    <t>Wc2</t>
  </si>
  <si>
    <t>Papeleira metal sanitario</t>
  </si>
  <si>
    <t>Bancada granito</t>
  </si>
  <si>
    <t>Placa de porta</t>
  </si>
  <si>
    <t>Sala Multiuso</t>
  </si>
  <si>
    <t>Vidro fechamento ar</t>
  </si>
  <si>
    <t>Vidro para janelas</t>
  </si>
  <si>
    <t>Barra Apoio 80cm</t>
  </si>
  <si>
    <t>Barra Apoio 40cm</t>
  </si>
  <si>
    <t>Placa de porta EM BRAILE</t>
  </si>
  <si>
    <t>Piso podotatil</t>
  </si>
  <si>
    <t>Piso tatil direcional</t>
  </si>
  <si>
    <t>Piso tatil alerta</t>
  </si>
  <si>
    <t>1.8</t>
  </si>
  <si>
    <t>Placa de Sinalização 0,50x0,70m</t>
  </si>
  <si>
    <t>Placa Base - Detalhe do apoio Tipo 1</t>
  </si>
  <si>
    <t>Material</t>
  </si>
  <si>
    <t>Elementos</t>
  </si>
  <si>
    <t>Dimensões (mm)</t>
  </si>
  <si>
    <t>Peso (kg)</t>
  </si>
  <si>
    <t>A-36 250 Mpa</t>
  </si>
  <si>
    <t>Placa Base</t>
  </si>
  <si>
    <t>150x260x12,7</t>
  </si>
  <si>
    <t>Contra Placa</t>
  </si>
  <si>
    <t>Aleta</t>
  </si>
  <si>
    <t>240x250/2x10</t>
  </si>
  <si>
    <t>Chapa de Apoio</t>
  </si>
  <si>
    <t>150x240x10</t>
  </si>
  <si>
    <t>CA-50 (Nervurado)</t>
  </si>
  <si>
    <t>Parafusos de ancoragem</t>
  </si>
  <si>
    <t>φ 16mm - L=300 mm</t>
  </si>
  <si>
    <t>Placa Base - Detalhe do apoio Tipo 2</t>
  </si>
  <si>
    <t>150x150x10</t>
  </si>
  <si>
    <t>φ 12,5mm - L=300 mm</t>
  </si>
  <si>
    <t>Placa Base - Detalhe do apoio Tipo 3</t>
  </si>
  <si>
    <t>175x850x12,7</t>
  </si>
  <si>
    <t>φ 16mm - L=150 mm</t>
  </si>
  <si>
    <t>Resumo de Materiais - Aço dobrado</t>
  </si>
  <si>
    <t>Área de Pintura (m²)</t>
  </si>
  <si>
    <t>Perfil - U</t>
  </si>
  <si>
    <t>100x50x3,04</t>
  </si>
  <si>
    <t>75x40x3,04</t>
  </si>
  <si>
    <t>Perfil - CR</t>
  </si>
  <si>
    <t>125x50x17x2,25</t>
  </si>
  <si>
    <t xml:space="preserve"> ESTRUTURA DE COBERTURA - CRIDAC ANTIGO</t>
  </si>
  <si>
    <t>LEVANTAMENTO QUANTITATIVOS ESTRUTURA DE CONCRETO - REFORMA CRIDAC ANTIGO</t>
  </si>
  <si>
    <t>ESCAVAÇÃO  DAS VIGAS BALDRAMES (FOLGA DE 20cm PARA CADA LADO) - m3</t>
  </si>
  <si>
    <t>APILOAMENTO DE FUNDO DAS SAPATAS - CONSIDERADO ÁREA ESCAVADA - m2
APILOAMENTO DE FUNDO DAS VIGAS BALDRAMES - CONSIDERADO ÁREA ESCAVADA - m2</t>
  </si>
  <si>
    <t>LASTRO DE CONCRETO - BLOCOS - m2
LASTRO DE CONCRETO - VIGAS BALDRAMES - m2</t>
  </si>
  <si>
    <t>BOTA FORA DOS BLOCOS - VOLUME DE CONCRETO DOS BLOCOS X EMPOLAMENTO 1,3 (m3)
BOTA FORA DAS VIGAS BALDRAMES - VOLUME DE CONCRETO DAS SAPATAS X EMPOLAMENTO 1,3 (m3)</t>
  </si>
  <si>
    <t>un.</t>
  </si>
  <si>
    <t>LAJE PRÉ-MOLDADA TRELIÇADA, PARA COBERTURA, INCLUSIVE EPS, CAPEAMENTO 4,0cm E ALTURA FINAL 12cm, fck=25MPa. INCLUSO ESCORAMENTO - Até 5,00m de vão livre</t>
  </si>
  <si>
    <t>COBERTURA DE FIBROCIMENTO</t>
  </si>
  <si>
    <t>Estrutura de madeira pontaletada em laje para cobertura de fibrocimento</t>
  </si>
  <si>
    <t>Cobertura de fibrocimento, incluso telhamento e trama de madeira, com telha tipo Kalhetão</t>
  </si>
  <si>
    <t>PLANILHA QUANTITATIVA - HIDRAULICO</t>
  </si>
  <si>
    <t>REGISTRO BRUTO DE GAVETA IND. 4"</t>
  </si>
  <si>
    <t>REGISTRO BRUTO DE GAVETA IND. 2.1/2"</t>
  </si>
  <si>
    <t>VALVULA DE RETENÇÃO HORIZ. C/ PORTINHOLA 4"</t>
  </si>
  <si>
    <t xml:space="preserve"> ADAPTADOR CURTO COM BOLSA E ROSCA PARA REGISTRO, PVC, SOLDÁVEL, DN 110MM X 4"</t>
  </si>
  <si>
    <t>BUCHA DE REDUÇÃO CURTA, PVC, SOLDÁVEL, DN 32MM X 25MM, INSTALADO E FORNECIMENTO</t>
  </si>
  <si>
    <t>BUCHA DE REDUÇÃO CURTA, PVC, SOLDÁVEL, DN 60MM X 50MM, INSTALADO E FORNECIMENTO</t>
  </si>
  <si>
    <t>BUCHA DE REDUÇÃO CURTA, PVC, SOLDÁVEL, DN 50MM X 40MM, FORNECIMENTO E INSTALAÇÃO</t>
  </si>
  <si>
    <t>BUCHA DE REDUÇÃO LONGA, PVC, SOLDÁVEL, DN 60MM X 25MM, FORNECIMENTO E INSTALAÇÃO</t>
  </si>
  <si>
    <t>JOELHO 45 GRAUS, PVC, SOLDÁVEL, DN 60MM, FORNECIMENTO E INSTALAÇÃO.</t>
  </si>
  <si>
    <t>JOELHO DE RED. SOLD. 90° - 32MM X 25MM</t>
  </si>
  <si>
    <t xml:space="preserve"> TUBO, PVC, SOLDÁVEL, DN 60MM, INSTALADO EM PRUMADA DE ÁGUA - FORNECIMENTO E INSTALAÇÃO. AF_12/2014</t>
  </si>
  <si>
    <t xml:space="preserve">TUBO, PVC, SOLDÁVEL, DN 40MM,FORNECIMENTO E INSTALAÇÃO. </t>
  </si>
  <si>
    <t xml:space="preserve">TÊ DE REDUÇÃO, PVC, SOLDÁVEL, DN 40 MM X 32 MM, FORNECIMENTO E INSTALAÇÃO. </t>
  </si>
  <si>
    <t>NIPLE PVC PARALELO ROSCAVEL 1/2"</t>
  </si>
  <si>
    <t>PVC SOLDÁVEL AZUL C/ BUCHA LATÃO</t>
  </si>
  <si>
    <t>LUVA DE RED. SOLD. C/ BUCHA LATÃO 25MM X 1/2"</t>
  </si>
  <si>
    <t>LUVA DE RED. SOLD. C/ BUCHA LATÃO 25MM X 3/4"</t>
  </si>
  <si>
    <t>RASGO</t>
  </si>
  <si>
    <t>PLANILHA QUANTITATIVA - ESGOTO</t>
  </si>
  <si>
    <t xml:space="preserve"> CAIXA DE INSPEÇÃO DE ESGOTO SIMPLES 80X80CM  </t>
  </si>
  <si>
    <t>BUCHA DE REDUÇÃO LONGA 50MM- 40MM</t>
  </si>
  <si>
    <t xml:space="preserve">RASGO </t>
  </si>
  <si>
    <t>Sanitário</t>
  </si>
  <si>
    <t>SISTEMA DE ALARME E DETECÇÃO DE EMERGENCIA</t>
  </si>
  <si>
    <t>Fornecimento e Instalação de acionador manual para alarme, tipo quebra vidro, com martelo.</t>
  </si>
  <si>
    <t>Fornecimento e instalação de sirene eletrônica 12v, alarme de emergência</t>
  </si>
  <si>
    <t>Fornecimento e instalação de central de alarme IPA, 12 laços, sem bateria</t>
  </si>
  <si>
    <t>Fornecimento e instalação de bateria selada para central de alarme, 12V/5A</t>
  </si>
  <si>
    <t>Cabo de cobre flexível isolado, 2,5 MM², anti-chama 0.6/1,0kv, para circuitos terminais - Fornecimento e instalação</t>
  </si>
  <si>
    <t>Placa de sinalização de segurança contra incêndio fotoluminescente de alarme e sirene, retangular 13x26 cm, em pvc 2 mm anti chamas (simbolos, cores e pictogramas conforme NBR 13434)</t>
  </si>
  <si>
    <t>Abraçadeira em aço para amarração de eletrodutos, tipo D, com 3/4" e cunha de fixação</t>
  </si>
  <si>
    <t>Luva para eletroduto, Pvc, vermelho, para incendio,DN 25mm(3/4") - FORNECIMENTO E INSTALAÇÃO</t>
  </si>
  <si>
    <t>Condulete de pvc,tipo x, vermelho, para incendio, 3/4", com tampa cega  - FORNECIMENTO E INSTALAÇÃO</t>
  </si>
  <si>
    <t>Eletroduto PVC Vermelho 3/4" - 3M - FORNECIMENTO E INSTALAÇÃO</t>
  </si>
  <si>
    <t>Adaptador PVC vermelho 3/4" para incendio - FORNECIMENTO E INSTALAÇÃO</t>
  </si>
  <si>
    <t xml:space="preserve">Eletroduto teto 3/4 </t>
  </si>
  <si>
    <t>SISTEMA DE ACIONAMENTO DO HIDRANTE</t>
  </si>
  <si>
    <t>Registro de gaveta com haste ascendente de bronze 2.1/2"- FORNECIMENTO E INSTALAÇÃO</t>
  </si>
  <si>
    <t>ABRIGO PARA HIDRANTE, 90X60X17CM, COM REGISTRO GLOBO ANGULAR 45º 2.1/2", ADAPTADOR STORZ 2.1/2", MANGUEIRA DE INCÊNDIO 30M,  ESGUICHO EM LATÃO - FORNECIMENTO E INSTALAÇÃO</t>
  </si>
  <si>
    <t>Tampão de ferro fundido para passeio com inscrição hidrante 70x60cm</t>
  </si>
  <si>
    <t>Cotovelo 45 graus de aço galv. 2.1/2"</t>
  </si>
  <si>
    <t>Cotovelo 90 graus 2.1/2"</t>
  </si>
  <si>
    <t>Cotovelo 90 graus 4"</t>
  </si>
  <si>
    <t>Fornecimento e instalação de adaptador storz para engate rapido 2.1/2" com tampão e corrente</t>
  </si>
  <si>
    <t>Tubo de aço galvanizado 4" - 100mm</t>
  </si>
  <si>
    <t xml:space="preserve">Tubo de aço galvanizado 2.1/2" 65mm </t>
  </si>
  <si>
    <t>Tubo de aço galvanizado 3" - 80mm</t>
  </si>
  <si>
    <t>Tê 2.1/2"</t>
  </si>
  <si>
    <t>Tê 4"</t>
  </si>
  <si>
    <t>Tê de redução 3" x 2.1/2"</t>
  </si>
  <si>
    <t>Curva macho - fêmea 2.1/2"</t>
  </si>
  <si>
    <t>Niple duplo 2.1/2"</t>
  </si>
  <si>
    <t>Bucha de redução 3" x 2.1/2"</t>
  </si>
  <si>
    <t>Bucha de redução 4" x 2.1/2"</t>
  </si>
  <si>
    <t>União ass. De ferro conico macho-femea 4"</t>
  </si>
  <si>
    <t>Niple duplo 4"</t>
  </si>
  <si>
    <t>Placa de sinalização de segurança contra incêndio fotoluminescente para hidrantes, retangular 13x26 cm, em pvc 2 mm anti chamas (simbolos, cores e pictogramas conforme NBR 13434)</t>
  </si>
  <si>
    <t>Placa de sinalização de segurança contra incêndio fotoluminescente para botoeiras, retangular 13x26 cm, em pvc 2 mm anti chamas (simbolos, cores e pictogramas conforme NBR 13434)</t>
  </si>
  <si>
    <t>Placa de sinalização de segurança contra incêndio fotoluminescente (proibido fumar), retangular 13x26 cm, em pvc 2 mm anti chamas (simbolos, cores e pictogramas conforme NBR 13434)</t>
  </si>
  <si>
    <t>Bomba Hidráulica - Incêndio</t>
  </si>
  <si>
    <t>Bomba BC-21  R/F 2.1/2" - 12.5 CV</t>
  </si>
  <si>
    <t>CORTE CONTRAPISO</t>
  </si>
  <si>
    <t>RASGO EM CONTRAPISO PARA RAMAIS/ DISTRIBUIÇÃO COM DIÂMETROS MAIORES QUE 75 MM. AF_05/201</t>
  </si>
  <si>
    <t>Detector de incêndio</t>
  </si>
  <si>
    <t>Caixa de areia pluvial com grelha 60x60cm</t>
  </si>
  <si>
    <t>Caixa de areia pluvial com grelha 80x80cm</t>
  </si>
  <si>
    <t>Caixa de passagem modulada DN 50cm</t>
  </si>
  <si>
    <t>Poço de visita p/ drenagem pluvial PVD - 80x80cm</t>
  </si>
  <si>
    <t xml:space="preserve">PVC ACESSÓRIOS </t>
  </si>
  <si>
    <t>RALO CORPO CAIXA SECA 100X100X40MM</t>
  </si>
  <si>
    <t>RALO ABACAXI 100MM</t>
  </si>
  <si>
    <t xml:space="preserve">PVC </t>
  </si>
  <si>
    <t>CURVA CURTA ESGOTO 45°x100mm - FORNECIMENTO E INSTALAÇÃO</t>
  </si>
  <si>
    <t>CURVA LONGA ESGOTO 45°x150mm - FORNECIMENTO E INSTALAÇÃO</t>
  </si>
  <si>
    <t>CURVA CURTA ESGOTO 45°x75mm - FORNECIMENTO E INSTALAÇÃO</t>
  </si>
  <si>
    <t>CURVA LONGA ESGOTO 45°x40mm - FORNECIMENTO E INSTALAÇÃO</t>
  </si>
  <si>
    <t>CURVA CURTA ESGOTO 90°x100mm - FORNECIMENTO E INSTALAÇÃO</t>
  </si>
  <si>
    <t>CURVA CURTA ESGOTO 90°x 75mm - FORNECIMENTO E INSTALAÇÃO</t>
  </si>
  <si>
    <t>CURVA CURTA ESGOTO 90°x 40mm - FORNECIMENTO E INSTALAÇÃO</t>
  </si>
  <si>
    <t>JOELHO 45°x 100mm - FORNECIMENTO E INSTALAÇÃO</t>
  </si>
  <si>
    <t>JOELHO 90°x 150mm - FORNECIMENTO E INSTALAÇÃO</t>
  </si>
  <si>
    <t>JOELHO 90°x 25mm - FORNECIMENTO E INSTALAÇÃO</t>
  </si>
  <si>
    <t>JOELHO 45°x 25mm - FORNECIMENTO E INSTALAÇÃO</t>
  </si>
  <si>
    <t>BUCHA DE REDUÇÃO SOLD. LONGA 40MM X 25MM   - FORNECIMENTO E INSTALAÇÃO</t>
  </si>
  <si>
    <t>JUNÇÃO SIMPLES 100X100mm - FORNECIMENTO E INSTALAÇÃO</t>
  </si>
  <si>
    <t>JUNÇÃO SIMPLES 40X40mm - FORNECIMENTO E INSTALAÇÃO</t>
  </si>
  <si>
    <t>LUVA  SIMPLES 40mm - FORNECIMENTO E INSTALAÇÃO</t>
  </si>
  <si>
    <t>LUVA  SIMPLES 100mm - FORNECIMENTO E INSTALAÇÃO</t>
  </si>
  <si>
    <t>LUVA  SIMPLES 150mm - FORNECIMENTO E INSTALAÇÃO</t>
  </si>
  <si>
    <t>LUVA  SIMPLES 75mm - FORNECIMENTO E INSTALAÇÃO</t>
  </si>
  <si>
    <t>TUBO PVC, SERIE NORMAL, DN 100 MM, FORNECIDO E INSTALADO</t>
  </si>
  <si>
    <t>TUBO PVC, SERIE NORMAL, DN 150 MM, FORNECIDO E INSTALADO</t>
  </si>
  <si>
    <t>TUBO PVC, SERIE NORMAL, DN 75 MM, FORNECIDO E INSTALADO</t>
  </si>
  <si>
    <t>TUBO PVC, SERIE NORMAL, DN 40 MM, FORNECIDO E INSTALADO</t>
  </si>
  <si>
    <t>TUBO PVC, SERIE NORMAL, DN 25 MM, FORNECIDO E INSTALADO</t>
  </si>
  <si>
    <t>Und,</t>
  </si>
  <si>
    <t>Quant,</t>
  </si>
  <si>
    <t xml:space="preserve">Caixa 2x4 baixa </t>
  </si>
  <si>
    <t>pc</t>
  </si>
  <si>
    <t>Caixa de passagem na parede 10x10cm sobrepor</t>
  </si>
  <si>
    <t>caixa de passagem no piso 30x30x30cm</t>
  </si>
  <si>
    <t xml:space="preserve">Caixa de passagem no teto </t>
  </si>
  <si>
    <t>Caixa Octavada</t>
  </si>
  <si>
    <t>Eletroduto Flexível - Parede 1,1/2"</t>
  </si>
  <si>
    <t>Eletroduto Flexível - Parede 3/4"</t>
  </si>
  <si>
    <t>Eletroduto Flexível - Parede 1"</t>
  </si>
  <si>
    <t>Eletroduto Flexível - Piso 1"</t>
  </si>
  <si>
    <t>Eletroduto Flexível - Teto 1,1/2"</t>
  </si>
  <si>
    <t>Eletroduto Flexível - Teto 1"</t>
  </si>
  <si>
    <t>Eletroduto Flexível - Teto 3/4"</t>
  </si>
  <si>
    <t>Eletroduto Flexivel - Piso 4"</t>
  </si>
  <si>
    <t>Eletroduto Rígido - Parede 2,1/2"</t>
  </si>
  <si>
    <t>Eletroduto Rígido - Parede 1,1/2"</t>
  </si>
  <si>
    <t>Eletroduto Rígido - Parede 3/4"</t>
  </si>
  <si>
    <t>Eletroduto Rígido - Parede 1,1/4"</t>
  </si>
  <si>
    <t>Eletroduto Rígido - Teto 1,1/2"</t>
  </si>
  <si>
    <t>Eletroduto Rígido - Teto 1"</t>
  </si>
  <si>
    <t>Eletroduto Rígido - Teto 3/4"</t>
  </si>
  <si>
    <t>Eletroduto Rígido - Teto 1,1/4"</t>
  </si>
  <si>
    <t>Curva roscável macho - Rígido 3/4"</t>
  </si>
  <si>
    <t>Luva roscável - Rígido 1,1/2"</t>
  </si>
  <si>
    <t>Luva roscável - Rígido 1"</t>
  </si>
  <si>
    <t>Luva roscável - Rígido 3/4"</t>
  </si>
  <si>
    <t>Luva roscável - Rígido 1,1/4"</t>
  </si>
  <si>
    <t>Luminária 2x20W T8 no teto</t>
  </si>
  <si>
    <t>Arandela tartaruga bocal E-27</t>
  </si>
  <si>
    <t xml:space="preserve">Plafon LED sobrepor </t>
  </si>
  <si>
    <t>Quadro de distribuição trifásico barramento de 150 A</t>
  </si>
  <si>
    <t xml:space="preserve">Espelho cego para caixa 4x2 para fechar caixas 4x2 dos ares </t>
  </si>
  <si>
    <t>Disjuntor a seco – DIN BIPOLAR 25A</t>
  </si>
  <si>
    <t>Disjuntor a seco – DIN BIPOLAR 10A</t>
  </si>
  <si>
    <t>Disjuntor a seco – DIN BIPOLAR 20A</t>
  </si>
  <si>
    <t>Disjuntor a seco - DIN  MONOPOLAR 20A</t>
  </si>
  <si>
    <t>Disjuntor a seco – DIN BIPOLAR 16A</t>
  </si>
  <si>
    <t>Disjuntor a seco – DIN MONOPOLAR 25A</t>
  </si>
  <si>
    <t>Disjuntor a seco - DIN BIPOLAR  32A</t>
  </si>
  <si>
    <t>Disjuntor em caixa moldada 150A TRIPOLAR 150A</t>
  </si>
  <si>
    <t>DPS Classe I - 45kA</t>
  </si>
  <si>
    <t>Fio cabo 750 V - PVC - Retorno 1,5 mm2</t>
  </si>
  <si>
    <t>Fio cabo 750 V - PVC - Fase 4 mm2</t>
  </si>
  <si>
    <t>Fio cabo 750 V - PVC - Terra 2,5 mm2</t>
  </si>
  <si>
    <t>Fio cabo 750 V - PVC - Fase 6 mm2</t>
  </si>
  <si>
    <t>Cabo 1 KV - XLPE - Fase 50 mm2</t>
  </si>
  <si>
    <t>Cabo 1 KV - XLPE - Terra 25 mm2</t>
  </si>
  <si>
    <t>Tomada Média</t>
  </si>
  <si>
    <t>Tomada baixa 30cm</t>
  </si>
  <si>
    <t>Caixa 2x4 (média)</t>
  </si>
  <si>
    <t>Interruptor duplo</t>
  </si>
  <si>
    <t>Interruptor paralelo</t>
  </si>
  <si>
    <t>Interruptor simples</t>
  </si>
  <si>
    <t>Interruptor triplo</t>
  </si>
  <si>
    <t>Caixa condulete galvanizado X 3/4"" - 5 entradas baixa</t>
  </si>
  <si>
    <t>refletor led 50 w</t>
  </si>
  <si>
    <t xml:space="preserve">Relé fotoelétrico </t>
  </si>
  <si>
    <t>Cotovelo 'U' 200x100mm</t>
  </si>
  <si>
    <t>Curva Horizontal 90 'C' 200x100mm</t>
  </si>
  <si>
    <t>Duto aéreo perfurado 'U' - Parede 200mmx100mm</t>
  </si>
  <si>
    <t>Tê Vertical de derivação 'U' 200x100x200x100mm</t>
  </si>
  <si>
    <t>Saída Lateral 3/4"" 38x38mm</t>
  </si>
  <si>
    <t>Cabo 1 KV - XLPE - 10mm2</t>
  </si>
  <si>
    <t>Caixa de embutir metálica 15x15x10cm</t>
  </si>
  <si>
    <t xml:space="preserve">Caixa de passagem em alvenaria </t>
  </si>
  <si>
    <t xml:space="preserve">caixa de passagem sobrepor </t>
  </si>
  <si>
    <t>Curva roscável macho - Rígido 1"</t>
  </si>
  <si>
    <t>Eletroduto Flexível - Piso 1,1/2"</t>
  </si>
  <si>
    <t>Eletroduto Rígido - Parede 1"</t>
  </si>
  <si>
    <t>Eletroduto rígido 1'' forro</t>
  </si>
  <si>
    <t>Condulete tipo X 3/4''</t>
  </si>
  <si>
    <t>bucha+porca+parafuso S8</t>
  </si>
  <si>
    <t>Quadro de Distribuição - Telefônica</t>
  </si>
  <si>
    <t>Tomada rj 45 1 ponto</t>
  </si>
  <si>
    <t>tomada rj 45 2 pontos</t>
  </si>
  <si>
    <t>Câmera IP para área externa hd ou full hd</t>
  </si>
  <si>
    <t>Roteador wireless como acess point</t>
  </si>
  <si>
    <t>Cabo UTP CAT 6</t>
  </si>
  <si>
    <t>Switch gerenciavel 48 portas 100/1000 cat 6</t>
  </si>
  <si>
    <t>Distribuidor optico 12p</t>
  </si>
  <si>
    <t xml:space="preserve">Régua de tomadas </t>
  </si>
  <si>
    <t>Organizador de cabos para rack</t>
  </si>
  <si>
    <t>Pach panel 48 portas CAT 6</t>
  </si>
  <si>
    <t>Pach cord CAT 6 1,5 m</t>
  </si>
  <si>
    <t>Conector fêmea RJ-45 CAT 6</t>
  </si>
  <si>
    <t>PABX Híbrido para 32 ramais</t>
  </si>
  <si>
    <t>Certificação para cabeamento de rede CAT 6</t>
  </si>
  <si>
    <t>Certificação de fibra optica</t>
  </si>
  <si>
    <t>Cabo de Fibra Ótica - Cabo para lógica</t>
  </si>
  <si>
    <t>NVD POE 16 canais ou 8 canais</t>
  </si>
  <si>
    <t xml:space="preserve">HD SATA 8TB 5400 RPM </t>
  </si>
  <si>
    <t>Duto aéreo perfurado 'U' - Teto 200mmx100mm</t>
  </si>
  <si>
    <t>Duto aéreo perfurado 'U' - 100mmx100mm</t>
  </si>
  <si>
    <t>Cotovelo 'U' 100x100mm</t>
  </si>
  <si>
    <t>Tê Horizontal 90 'U' 100x100mm</t>
  </si>
  <si>
    <t>Duto perfurado - 38mmx38mm</t>
  </si>
  <si>
    <t>Suporte vertical para eletrocalha 100x100mm</t>
  </si>
  <si>
    <t>Rack</t>
  </si>
  <si>
    <t>(Dois milhões, doze mil setecentos e vinte e sete reais e noventa e sete centavos)</t>
  </si>
  <si>
    <t>Composição</t>
  </si>
  <si>
    <t xml:space="preserve"> 1.1 </t>
  </si>
  <si>
    <t xml:space="preserve"> ADMCRIDAC </t>
  </si>
  <si>
    <t>95.356,20</t>
  </si>
  <si>
    <t>Composição Auxiliar</t>
  </si>
  <si>
    <t xml:space="preserve"> 94295 </t>
  </si>
  <si>
    <t>MESTRE DE OBRAS COM ENCARGOS COMPLEMENTARES</t>
  </si>
  <si>
    <t>10,0</t>
  </si>
  <si>
    <t>4.689,42</t>
  </si>
  <si>
    <t xml:space="preserve"> 90777 </t>
  </si>
  <si>
    <t>ENGENHEIRO CIVIL DE OBRA JUNIOR COM ENCARGOS COMPLEMENTARES</t>
  </si>
  <si>
    <t>H</t>
  </si>
  <si>
    <t>600,0</t>
  </si>
  <si>
    <t>80,77</t>
  </si>
  <si>
    <t xml:space="preserve"> 2.1 </t>
  </si>
  <si>
    <t xml:space="preserve"> SDC01228 </t>
  </si>
  <si>
    <t>1.000,00</t>
  </si>
  <si>
    <t>Insumo da Composição</t>
  </si>
  <si>
    <t xml:space="preserve"> 693 </t>
  </si>
  <si>
    <t>1,0</t>
  </si>
  <si>
    <t xml:space="preserve"> 3.1 </t>
  </si>
  <si>
    <t xml:space="preserve"> SDC01056 </t>
  </si>
  <si>
    <t>20,88</t>
  </si>
  <si>
    <t xml:space="preserve"> 88309 </t>
  </si>
  <si>
    <t>PEDREIRO COM ENCARGOS COMPLEMENTARES</t>
  </si>
  <si>
    <t>0,13</t>
  </si>
  <si>
    <t>17,60</t>
  </si>
  <si>
    <t xml:space="preserve"> 88316 </t>
  </si>
  <si>
    <t>SERVENTE COM ENCARGOS COMPLEMENTARES</t>
  </si>
  <si>
    <t>1,3</t>
  </si>
  <si>
    <t>14,31</t>
  </si>
  <si>
    <t xml:space="preserve"> 3.2 </t>
  </si>
  <si>
    <t xml:space="preserve"> SDC01065 </t>
  </si>
  <si>
    <t>22,49</t>
  </si>
  <si>
    <t>0,14</t>
  </si>
  <si>
    <t>1,4</t>
  </si>
  <si>
    <t xml:space="preserve"> 3.8 </t>
  </si>
  <si>
    <t xml:space="preserve"> SDC01054 </t>
  </si>
  <si>
    <t>6,42</t>
  </si>
  <si>
    <t>0,4</t>
  </si>
  <si>
    <t xml:space="preserve"> 88262 </t>
  </si>
  <si>
    <t>CARPINTEIRO DE FORMAS COM ENCARGOS COMPLEMENTARES</t>
  </si>
  <si>
    <t>0,04</t>
  </si>
  <si>
    <t>17,50</t>
  </si>
  <si>
    <t xml:space="preserve"> 3.13 </t>
  </si>
  <si>
    <t xml:space="preserve"> SDC01048 </t>
  </si>
  <si>
    <t>19,14</t>
  </si>
  <si>
    <t>0,6</t>
  </si>
  <si>
    <t xml:space="preserve"> 4.3 </t>
  </si>
  <si>
    <t xml:space="preserve"> SDC05002 </t>
  </si>
  <si>
    <t>573,38</t>
  </si>
  <si>
    <t xml:space="preserve"> 00010777 </t>
  </si>
  <si>
    <t>LOCACAO DE CONTAINER 2,30 X 4,30 M, ALT. 2,50 M, PARA SANITARIO, COM 3 BACIAS, 4 CHUVEIROS, 1 LAVATORIO E 1 MICTORIO</t>
  </si>
  <si>
    <t xml:space="preserve"> 4.6 </t>
  </si>
  <si>
    <t xml:space="preserve"> SDC05004 </t>
  </si>
  <si>
    <t>1.417,48</t>
  </si>
  <si>
    <t xml:space="preserve"> 88248 </t>
  </si>
  <si>
    <t>AUXILIAR DE ENCANADOR OU BOMBEIRO HIDRÁULICO COM ENCARGOS COMPLEMENTARES</t>
  </si>
  <si>
    <t>4,0</t>
  </si>
  <si>
    <t>14,12</t>
  </si>
  <si>
    <t xml:space="preserve"> 88267 </t>
  </si>
  <si>
    <t>ENCANADOR OU BOMBEIRO HIDRÁULICO COM ENCARGOS COMPLEMENTARES</t>
  </si>
  <si>
    <t>8,0</t>
  </si>
  <si>
    <t>18,02</t>
  </si>
  <si>
    <t>8,12</t>
  </si>
  <si>
    <t xml:space="preserve"> 00020247 </t>
  </si>
  <si>
    <t>PREGO DE ACO POLIDO COM CABECA 15 X 15 (1 1/4 X 13)</t>
  </si>
  <si>
    <t>10,43</t>
  </si>
  <si>
    <t xml:space="preserve"> 00009836 </t>
  </si>
  <si>
    <t>TUBO PVC  SERIE NORMAL, DN 100 MM, PARA ESGOTO  PREDIAL (NBR 5688)</t>
  </si>
  <si>
    <t>5,0</t>
  </si>
  <si>
    <t>7,49</t>
  </si>
  <si>
    <t xml:space="preserve"> 00000370 </t>
  </si>
  <si>
    <t>AREIA MEDIA - POSTO JAZIDA/FORNECEDOR (RETIRADO NA JAZIDA, SEM TRANSPORTE)</t>
  </si>
  <si>
    <t>0,0189</t>
  </si>
  <si>
    <t>62,75</t>
  </si>
  <si>
    <t xml:space="preserve"> 00012774 </t>
  </si>
  <si>
    <t>HIDROMETRO UNIJATO, VAZAO MAXIMA DE 5,0 M3/H, DE 3/4"</t>
  </si>
  <si>
    <t>100,72</t>
  </si>
  <si>
    <t xml:space="preserve"> 00006189 </t>
  </si>
  <si>
    <t>TABUA MADEIRA 2A QUALIDADE 2,5 X 30,0CM (1 X 12") NAO APARELHADA</t>
  </si>
  <si>
    <t>6,33</t>
  </si>
  <si>
    <t xml:space="preserve"> 00009868 </t>
  </si>
  <si>
    <t>TUBO PVC, SOLDAVEL, DN 25 MM, AGUA FRIA (NBR-5648)</t>
  </si>
  <si>
    <t>30,0</t>
  </si>
  <si>
    <t>2,87</t>
  </si>
  <si>
    <t xml:space="preserve"> 00004425 </t>
  </si>
  <si>
    <t>VIGA DE MADEIRA NAO APARELHADA 6 X 12 CM, MACARANDUBA, ANGELIM OU EQUIVALENTE DA REGIAO</t>
  </si>
  <si>
    <t>25,0</t>
  </si>
  <si>
    <t>9,90</t>
  </si>
  <si>
    <t xml:space="preserve"> 00007258 </t>
  </si>
  <si>
    <t>TIJOLO CERAMICO MACICO *5 X 10 X 20* CM</t>
  </si>
  <si>
    <t>0,33</t>
  </si>
  <si>
    <t xml:space="preserve"> 00034636 </t>
  </si>
  <si>
    <t>CAIXA D'AGUA EM POLIETILENO 1000 LITROS, COM TAMPA</t>
  </si>
  <si>
    <t>275,93</t>
  </si>
  <si>
    <t xml:space="preserve"> 4.7 </t>
  </si>
  <si>
    <t xml:space="preserve"> SDC05008 </t>
  </si>
  <si>
    <t>1.468,69</t>
  </si>
  <si>
    <t xml:space="preserve"> 88264 </t>
  </si>
  <si>
    <t>ELETRICISTA COM ENCARGOS COMPLEMENTARES</t>
  </si>
  <si>
    <t>18,22</t>
  </si>
  <si>
    <t xml:space="preserve"> 00000406 </t>
  </si>
  <si>
    <t>FITA ACO INOX PARA CINTAR POSTE, L = 19 MM, E = 0,5 MM (ROLO DE 30M)</t>
  </si>
  <si>
    <t>0,1333333</t>
  </si>
  <si>
    <t>51,30</t>
  </si>
  <si>
    <t xml:space="preserve"> 00000420 </t>
  </si>
  <si>
    <t>CINTA CIRCULAR EM ACO GALVANIZADO DE 150 MM DE DIAMETRO PARA FIXACAO DE CAIXA MEDICAO, INCLUI PARAFUSOS E PORCAS</t>
  </si>
  <si>
    <t>2,0</t>
  </si>
  <si>
    <t>19,40</t>
  </si>
  <si>
    <t xml:space="preserve"> 00000857 </t>
  </si>
  <si>
    <t>CABO DE COBRE NU 16 MM2 MEIO-DURO</t>
  </si>
  <si>
    <t>3,0</t>
  </si>
  <si>
    <t>8,16</t>
  </si>
  <si>
    <t xml:space="preserve"> 00000937 </t>
  </si>
  <si>
    <t>FIO DE COBRE, SOLIDO, CLASSE 1, ISOLACAO EM PVC/A, ANTICHAMA BWF-B, 450/750V, SECAO NOMINAL 10 MM2</t>
  </si>
  <si>
    <t>27,0</t>
  </si>
  <si>
    <t>5,05</t>
  </si>
  <si>
    <t xml:space="preserve"> 00001062 </t>
  </si>
  <si>
    <t>CAIXA INTERNA DE MEDICAO PARA 1 MEDIDOR TRIFASICO, COM VISOR, EM CHAPA DE ACO 18 USG (PADRAO DA CONCESSIONARIA LOCAL)</t>
  </si>
  <si>
    <t>149,50</t>
  </si>
  <si>
    <t xml:space="preserve"> 00001096 </t>
  </si>
  <si>
    <t>ARMACAO VERTICAL COM HASTE E CONTRA-PINO, EM CHAPA DE ACO GALVANIZADO 3/16", COM 4 ESTRIBOS E 4 ISOLADORES</t>
  </si>
  <si>
    <t>64,39</t>
  </si>
  <si>
    <t xml:space="preserve"> 00001539 </t>
  </si>
  <si>
    <t>CONECTOR METALICO TIPO PARAFUSO FENDIDO (SPLIT BOLT), PARA CABOS ATE 16 MM2</t>
  </si>
  <si>
    <t>4,00</t>
  </si>
  <si>
    <t xml:space="preserve"> 00001892 </t>
  </si>
  <si>
    <t>LUVA EM PVC RIGIDO ROSCAVEL, DE 1", PARA ELETRODUTO</t>
  </si>
  <si>
    <t>1,16</t>
  </si>
  <si>
    <t xml:space="preserve"> 00002392 </t>
  </si>
  <si>
    <t>DISJUNTOR TIPO NEMA, TRIPOLAR 10  ATE  50A, TENSAO MAXIMA DE 415 V</t>
  </si>
  <si>
    <t>57,39</t>
  </si>
  <si>
    <t xml:space="preserve"> 00002685 </t>
  </si>
  <si>
    <t>ELETRODUTO DE PVC RIGIDO ROSCAVEL DE 1 ", SEM LUVA</t>
  </si>
  <si>
    <t>3,23</t>
  </si>
  <si>
    <t xml:space="preserve"> 00003379 </t>
  </si>
  <si>
    <t>!EM PROCESSO DE DESATIVACAO! HASTE DE ATERRAMENTO EM ACO COM 3,00 M DE COMPRIMENTO E DN = 5/8", REVESTIDA COM BAIXA CAMADA DE COBRE, SEM CONECTOR</t>
  </si>
  <si>
    <t>33,55</t>
  </si>
  <si>
    <t xml:space="preserve"> 00004346 </t>
  </si>
  <si>
    <t>PARAFUSO DE FERRO POLIDO, SEXTAVADO, COM ROSCA PARCIAL, DIAMETRO 5/8", COMPRIMENTO 6", COM PORCA E ARRUELA DE PRESSAO MEDIA</t>
  </si>
  <si>
    <t>5,38</t>
  </si>
  <si>
    <t xml:space="preserve"> 00011267 </t>
  </si>
  <si>
    <t>ARRUELA REDONDA DE LATAO, DIAMETRO EXTERNO = 34 MM, ESPESSURA = 2,5 MM, DIAMETRO DO FURO = 17 MM</t>
  </si>
  <si>
    <t>5,26</t>
  </si>
  <si>
    <t xml:space="preserve"> 00012034 </t>
  </si>
  <si>
    <t>CURVA 180 GRAUS, DE PVC RIGIDO ROSCAVEL, DE 3/4", PARA ELETRODUTO</t>
  </si>
  <si>
    <t>3,30</t>
  </si>
  <si>
    <t xml:space="preserve"> 00039176 </t>
  </si>
  <si>
    <t>BUCHA EM ALUMINIO, COM ROSCA, DE 1", PARA ELETRODUTO</t>
  </si>
  <si>
    <t>0,66</t>
  </si>
  <si>
    <t xml:space="preserve"> 00039210 </t>
  </si>
  <si>
    <t>ARRUELA EM ALUMINIO, COM ROSCA, DE 1", PARA ELETRODUTO</t>
  </si>
  <si>
    <t>0,49</t>
  </si>
  <si>
    <t xml:space="preserve"> 00012366 </t>
  </si>
  <si>
    <t>POSTE DE CONCRETO CIRCULAR, 150 KG, H = 10 M (NBR 8451)</t>
  </si>
  <si>
    <t>540,11</t>
  </si>
  <si>
    <t xml:space="preserve"> 5.1 </t>
  </si>
  <si>
    <t xml:space="preserve"> SDC01295 </t>
  </si>
  <si>
    <t>20,14</t>
  </si>
  <si>
    <t xml:space="preserve"> 97065 </t>
  </si>
  <si>
    <t>MONTAGEM E DESMONTAGEM DE ANDAIME MULTIDIRECIONAL (EXCLUSIVE ANDAIME E LIMPEZA). AF_11/2017</t>
  </si>
  <si>
    <t>5,14</t>
  </si>
  <si>
    <t xml:space="preserve"> 00010527 </t>
  </si>
  <si>
    <t>LOCACAO DE ANDAIME METALICO TUBULAR DE ENCAIXE, TIPO DE TORRE, COM LARGURA DE 1 ATE 1,5 M E ALTURA DE *1,00* M</t>
  </si>
  <si>
    <t>M/MES</t>
  </si>
  <si>
    <t>15,00</t>
  </si>
  <si>
    <t xml:space="preserve"> 7.9 </t>
  </si>
  <si>
    <t xml:space="preserve"> SDC01242 </t>
  </si>
  <si>
    <t>421,72</t>
  </si>
  <si>
    <t>0,363</t>
  </si>
  <si>
    <t>0,544</t>
  </si>
  <si>
    <t xml:space="preserve"> 90586 </t>
  </si>
  <si>
    <t>VIBRADOR DE IMERSÃO, DIÂMETRO DE PONTEIRA 45MM, MOTOR ELÉTRICO TRIFÁSICO POTÊNCIA DE 2 CV - CHP DIURNO. AF_06/2015</t>
  </si>
  <si>
    <t>CHP</t>
  </si>
  <si>
    <t>0,088</t>
  </si>
  <si>
    <t>1,12</t>
  </si>
  <si>
    <t xml:space="preserve"> 90587 </t>
  </si>
  <si>
    <t>VIBRADOR DE IMERSÃO, DIÂMETRO DE PONTEIRA 45MM, MOTOR ELÉTRICO TRIFÁSICO POTÊNCIA DE 2 CV - CHI DIURNO. AF_06/2015</t>
  </si>
  <si>
    <t>CHI</t>
  </si>
  <si>
    <t>0,093</t>
  </si>
  <si>
    <t>0,30</t>
  </si>
  <si>
    <t xml:space="preserve"> 00001527 </t>
  </si>
  <si>
    <t>CONCRETO USINADO BOMBEAVEL, CLASSE DE RESISTENCIA C25, COM BRITA 0 E 1, SLUMP = 100 +/- 20 MM, INCLUI SERVICO DE BOMBEAMENTO (NBR 8953)</t>
  </si>
  <si>
    <t>1,15</t>
  </si>
  <si>
    <t>354,31</t>
  </si>
  <si>
    <t xml:space="preserve"> 8.3 </t>
  </si>
  <si>
    <t xml:space="preserve"> SDC01198 </t>
  </si>
  <si>
    <t>378,44</t>
  </si>
  <si>
    <t xml:space="preserve"> 92874 </t>
  </si>
  <si>
    <t>LANÇAMENTO COM USO DE BOMBA, ADENSAMENTO E ACABAMENTO DE CONCRETO EM ESTRUTURAS. AF_12/2015</t>
  </si>
  <si>
    <t>24,13</t>
  </si>
  <si>
    <t xml:space="preserve"> 8.10 </t>
  </si>
  <si>
    <t xml:space="preserve"> SDC01016 </t>
  </si>
  <si>
    <t>79,79</t>
  </si>
  <si>
    <t>0,19</t>
  </si>
  <si>
    <t>0,35</t>
  </si>
  <si>
    <t>0,85</t>
  </si>
  <si>
    <t>0,06</t>
  </si>
  <si>
    <t xml:space="preserve"> SDC01002 </t>
  </si>
  <si>
    <t>CONCRETO USINADO BOMBEAVEL, CLASSE DE RESISTENCIA C25, COM BRITA 0 E 1, SLUMP = 100 +/- 20 MM, EXCLUI SERVICO DE BOMBEAMENTO (NBR 8953)</t>
  </si>
  <si>
    <t>303,61</t>
  </si>
  <si>
    <t xml:space="preserve"> 00000231 </t>
  </si>
  <si>
    <t>LAJE PRÉ-MOLDADA DE COBERTURA TRELIÇADA, C/ H=12CM, APOIO SIMPLES, INCLUSIVE EPS</t>
  </si>
  <si>
    <t>31,67</t>
  </si>
  <si>
    <t xml:space="preserve"> 00004491 </t>
  </si>
  <si>
    <t>PECA DE MADEIRA NATIVA / REGIONAL 7,5 X 7,5CM (3X3) NAO APARELHADA (P/FORMA)</t>
  </si>
  <si>
    <t>1,1</t>
  </si>
  <si>
    <t>4,33</t>
  </si>
  <si>
    <t xml:space="preserve"> 00005075 </t>
  </si>
  <si>
    <t>PREGO DE ACO POLIDO COM CABECA 18 X 30 (2 3/4 X 10)</t>
  </si>
  <si>
    <t>0,02</t>
  </si>
  <si>
    <t>9,42</t>
  </si>
  <si>
    <t>0,3</t>
  </si>
  <si>
    <t xml:space="preserve"> 9.3 </t>
  </si>
  <si>
    <t xml:space="preserve"> SDC01135 </t>
  </si>
  <si>
    <t>421,86</t>
  </si>
  <si>
    <t xml:space="preserve"> 88274 </t>
  </si>
  <si>
    <t>MARMORISTA/GRANITEIRO COM ENCARGOS COMPLEMENTARES</t>
  </si>
  <si>
    <t>4,8</t>
  </si>
  <si>
    <t>17,83</t>
  </si>
  <si>
    <t>2,3</t>
  </si>
  <si>
    <t xml:space="preserve"> 88631 </t>
  </si>
  <si>
    <t>ARGAMASSA TRAÇO 1:4 (CIMENTO E AREIA MÉDIA), PREPARO MANUAL. AF_08/2014</t>
  </si>
  <si>
    <t>0,0033</t>
  </si>
  <si>
    <t>381,17</t>
  </si>
  <si>
    <t xml:space="preserve"> 00001380 </t>
  </si>
  <si>
    <t>CIMENTO BRANCO</t>
  </si>
  <si>
    <t>0,7</t>
  </si>
  <si>
    <t>3,04</t>
  </si>
  <si>
    <t xml:space="preserve"> 366 </t>
  </si>
  <si>
    <t>DIVISÓRIA EM GRANITO CINZA POLIDO, ESPESSURA 2CM</t>
  </si>
  <si>
    <t>300,00</t>
  </si>
  <si>
    <t xml:space="preserve"> 10.5 </t>
  </si>
  <si>
    <t xml:space="preserve"> SDC01032 </t>
  </si>
  <si>
    <t>3.949,76</t>
  </si>
  <si>
    <t xml:space="preserve"> 88325 </t>
  </si>
  <si>
    <t>VIDRACEIRO COM ENCARGOS COMPLEMENTARES</t>
  </si>
  <si>
    <t>16,98</t>
  </si>
  <si>
    <t xml:space="preserve"> 00003104 </t>
  </si>
  <si>
    <t>JOGO DE FERRAGENS CROMADAS P/ PORTA DE VIDRO TEMPERADO, UMA FOLHA COMPOSTA: DOBRADICA SUPERIOR (101) E INFERIOR (103),TRINCO (502), FECHADURA (520),CONTRA FECHADURA (531),COM CAPUCHINHO</t>
  </si>
  <si>
    <t>CJ</t>
  </si>
  <si>
    <t>350,87</t>
  </si>
  <si>
    <t xml:space="preserve"> 00010507 </t>
  </si>
  <si>
    <t>VIDRO TEMPERADO INCOLOR E = 10 MM, SEM COLOCACAO</t>
  </si>
  <si>
    <t>5,04</t>
  </si>
  <si>
    <t>221,89</t>
  </si>
  <si>
    <t xml:space="preserve"> 00011523 </t>
  </si>
  <si>
    <t>PUXADOR CONCHA DE EMBUTIR, EM LATAO CROMADO, PARA PORTA / JANELA DE CORRER, LISO, SEM FURO PARA CHAVE, COM FUROS PARA FIXAR PARAFUSOS, *30 X 90* MM (LARGURA X ALTURA)</t>
  </si>
  <si>
    <t>12,72</t>
  </si>
  <si>
    <t xml:space="preserve"> 00011499 </t>
  </si>
  <si>
    <t>MOLA HIDRAULICA DE PISO P/ VIDRO TEMPERADO 10MM</t>
  </si>
  <si>
    <t>1.047,04</t>
  </si>
  <si>
    <t xml:space="preserve"> 10.6 </t>
  </si>
  <si>
    <t xml:space="preserve"> SDC01030 </t>
  </si>
  <si>
    <t>3.763,37</t>
  </si>
  <si>
    <t>4,2</t>
  </si>
  <si>
    <t xml:space="preserve"> 11.3 </t>
  </si>
  <si>
    <t xml:space="preserve"> SDC01017 </t>
  </si>
  <si>
    <t>8,00</t>
  </si>
  <si>
    <t xml:space="preserve"> 88315 </t>
  </si>
  <si>
    <t>SERRALHEIRO COM ENCARGOS COMPLEMENTARES</t>
  </si>
  <si>
    <t xml:space="preserve"> 88251 </t>
  </si>
  <si>
    <t>AUXILIAR DE SERRALHEIRO COM ENCARGOS COMPLEMENTARES</t>
  </si>
  <si>
    <t>14,26</t>
  </si>
  <si>
    <t xml:space="preserve"> 88310 </t>
  </si>
  <si>
    <t>PINTOR COM ENCARGOS COMPLEMENTARES</t>
  </si>
  <si>
    <t>0,003</t>
  </si>
  <si>
    <t>17,54</t>
  </si>
  <si>
    <t xml:space="preserve"> 88240 </t>
  </si>
  <si>
    <t>AJUDANTE DE ESTRUTURA METÁLICA COM ENCARGOS COMPLEMENTARES</t>
  </si>
  <si>
    <t>11,54</t>
  </si>
  <si>
    <t xml:space="preserve"> 88317 </t>
  </si>
  <si>
    <t>SOLDADOR COM ENCARGOS COMPLEMENTARES</t>
  </si>
  <si>
    <t xml:space="preserve"> 00000179 </t>
  </si>
  <si>
    <t>PERFIL AÇO DOBRADO, LAMINADO E CHAPARIA ASTM A 36</t>
  </si>
  <si>
    <t>0,525</t>
  </si>
  <si>
    <t>4,88</t>
  </si>
  <si>
    <t xml:space="preserve"> 00000549 </t>
  </si>
  <si>
    <t>BARRA DE FERRO RETANGULAR, BARRA CHATA, 2" X 1/2" (L X E), 5,06 KG/M</t>
  </si>
  <si>
    <t>0,1037</t>
  </si>
  <si>
    <t>32,43</t>
  </si>
  <si>
    <t xml:space="preserve"> 00007307 </t>
  </si>
  <si>
    <t>FUNDO ANTICORROSIVO PARA METAIS FERROSOS (ZARCAO)</t>
  </si>
  <si>
    <t>L</t>
  </si>
  <si>
    <t>0,0025</t>
  </si>
  <si>
    <t>20,78</t>
  </si>
  <si>
    <t xml:space="preserve"> 00010997 </t>
  </si>
  <si>
    <t>ELETRODO REVESTIDO AWS - E7018, DIAMETRO IGUAL A 4,00 MM</t>
  </si>
  <si>
    <t>0,013</t>
  </si>
  <si>
    <t>12,00</t>
  </si>
  <si>
    <t xml:space="preserve"> 00005318 </t>
  </si>
  <si>
    <t>SOLVENTE DILUENTE A BASE DE AGUARRAS</t>
  </si>
  <si>
    <t>0,0003</t>
  </si>
  <si>
    <t>11,48</t>
  </si>
  <si>
    <t xml:space="preserve"> 11.4 </t>
  </si>
  <si>
    <t xml:space="preserve"> SDC01018 </t>
  </si>
  <si>
    <t>2,45</t>
  </si>
  <si>
    <t xml:space="preserve"> 88278 </t>
  </si>
  <si>
    <t>MONTADOR DE ESTRUTURA METÁLICA COM ENCARGOS COMPLEMENTARES</t>
  </si>
  <si>
    <t>13,77</t>
  </si>
  <si>
    <t xml:space="preserve"> 89272 </t>
  </si>
  <si>
    <t>GUINDASTE HIDRÁULICO AUTOPROPELIDO, COM LANÇA TELESCÓPICA 28,80 M, CAPACIDADE MÁXIMA 30 T, POTÊNCIA 97 KW, TRAÇÃO 4 X 4 - CHP DIURNO. AF_11/2014</t>
  </si>
  <si>
    <t>0,01</t>
  </si>
  <si>
    <t>149,80</t>
  </si>
  <si>
    <t xml:space="preserve"> 11.9 </t>
  </si>
  <si>
    <t xml:space="preserve"> SDC01312 </t>
  </si>
  <si>
    <t>45,40</t>
  </si>
  <si>
    <t xml:space="preserve"> 87317 </t>
  </si>
  <si>
    <t>ARGAMASSA TRAÇO 1:4 (CIMENTO E AREIA GROSSA) PARA CHAPISCO CONVENCIONAL, PREPARO MECÂNICO COM BETONEIRA 600 L. AF_06/2014</t>
  </si>
  <si>
    <t>0,002</t>
  </si>
  <si>
    <t>283,99</t>
  </si>
  <si>
    <t xml:space="preserve"> 00039632 </t>
  </si>
  <si>
    <t>CHAPA DE ACO GALVANIZADA BITOLA GSG 24, E = 0,65 MM (5,20 KG/M2)</t>
  </si>
  <si>
    <t>36,97</t>
  </si>
  <si>
    <t xml:space="preserve"> 16.4 </t>
  </si>
  <si>
    <t xml:space="preserve"> SDC01011 </t>
  </si>
  <si>
    <t>22,15</t>
  </si>
  <si>
    <t>0,54</t>
  </si>
  <si>
    <t xml:space="preserve"> 00001379 </t>
  </si>
  <si>
    <t>CIMENTO PORTLAND COMPOSTO CP II-32</t>
  </si>
  <si>
    <t>0,51</t>
  </si>
  <si>
    <t xml:space="preserve"> 00004824 </t>
  </si>
  <si>
    <t>GRANILHA/ GRANA/ PEDRISCO OU AGREGADO EM MARMORE/ GRANITO/ QUARTZO E CALCARIO, PRETO, CINZA, PALHA OU BRANCO</t>
  </si>
  <si>
    <t>3,2</t>
  </si>
  <si>
    <t>0,41</t>
  </si>
  <si>
    <t xml:space="preserve"> 18.7 </t>
  </si>
  <si>
    <t xml:space="preserve"> SDC02015 </t>
  </si>
  <si>
    <t>4,40</t>
  </si>
  <si>
    <t>0,09</t>
  </si>
  <si>
    <t xml:space="preserve"> 00000122 </t>
  </si>
  <si>
    <t>ADESIVO PLASTICO PARA PVC, FRASCO COM 850 GR</t>
  </si>
  <si>
    <t>0,006</t>
  </si>
  <si>
    <t>49,68</t>
  </si>
  <si>
    <t xml:space="preserve"> 00000829 </t>
  </si>
  <si>
    <t>BUCHA DE REDUCAO DE PVC, SOLDAVEL, CURTA, COM 32 X 25 MM, PARA AGUA FRIA PREDIAL</t>
  </si>
  <si>
    <t>0,78</t>
  </si>
  <si>
    <t xml:space="preserve"> 00020083 </t>
  </si>
  <si>
    <t>SOLUCAO LIMPADORA PARA PVC, FRASCO COM 1000 CM3</t>
  </si>
  <si>
    <t>43,14</t>
  </si>
  <si>
    <t xml:space="preserve"> 18.8 </t>
  </si>
  <si>
    <t xml:space="preserve"> SDC02017 </t>
  </si>
  <si>
    <t>0,014</t>
  </si>
  <si>
    <t xml:space="preserve"> 00000818 </t>
  </si>
  <si>
    <t>BUCHA DE REDUCAO DE PVC, SOLDAVEL, CURTA, COM 60 X 50 MM, PARA AGUA FRIA PREDIAL</t>
  </si>
  <si>
    <t>5,47</t>
  </si>
  <si>
    <t xml:space="preserve"> 18.9 </t>
  </si>
  <si>
    <t xml:space="preserve"> SDC02016 </t>
  </si>
  <si>
    <t>7,79</t>
  </si>
  <si>
    <t>0,119</t>
  </si>
  <si>
    <t>0,012</t>
  </si>
  <si>
    <t xml:space="preserve"> 00000819 </t>
  </si>
  <si>
    <t>BUCHA DE REDUCAO DE PVC, SOLDAVEL, CURTA, COM 50 X 40 MM, PARA AGUA FRIA PREDIAL</t>
  </si>
  <si>
    <t>2,92</t>
  </si>
  <si>
    <t xml:space="preserve"> 18.10 </t>
  </si>
  <si>
    <t xml:space="preserve"> SDC02022 </t>
  </si>
  <si>
    <t>14,51</t>
  </si>
  <si>
    <t>0,25</t>
  </si>
  <si>
    <t>0,004</t>
  </si>
  <si>
    <t xml:space="preserve"> 00000820 </t>
  </si>
  <si>
    <t>BUCHA DE REDUCAO DE PVC, SOLDAVEL, LONGA, COM 50 X 32 MM, PARA AGUA FRIA PREDIAL</t>
  </si>
  <si>
    <t>4,05</t>
  </si>
  <si>
    <t>0,051</t>
  </si>
  <si>
    <t xml:space="preserve"> 18.11 </t>
  </si>
  <si>
    <t xml:space="preserve"> SDC02003 </t>
  </si>
  <si>
    <t>17,82</t>
  </si>
  <si>
    <t xml:space="preserve"> 00000816 </t>
  </si>
  <si>
    <t>BUCHA DE REDUCAO DE PVC, SOLDAVEL, LONGA, COM 60 X 25 MM, PARA AGUA FRIA PREDIAL</t>
  </si>
  <si>
    <t>6,93</t>
  </si>
  <si>
    <t>0,061</t>
  </si>
  <si>
    <t xml:space="preserve"> 18.12 </t>
  </si>
  <si>
    <t xml:space="preserve"> SDC02002 </t>
  </si>
  <si>
    <t>13,57</t>
  </si>
  <si>
    <t>0,24</t>
  </si>
  <si>
    <t xml:space="preserve"> 00000813 </t>
  </si>
  <si>
    <t>BUCHA DE REDUCAO DE PVC, SOLDAVEL, LONGA, COM 50 X 25 MM, PARA AGUA FRIA PREDIAL</t>
  </si>
  <si>
    <t>3,70</t>
  </si>
  <si>
    <t>0,046</t>
  </si>
  <si>
    <t xml:space="preserve"> 18.13 </t>
  </si>
  <si>
    <t xml:space="preserve"> SDC02020 </t>
  </si>
  <si>
    <t>0,22</t>
  </si>
  <si>
    <t xml:space="preserve"> 00000834 </t>
  </si>
  <si>
    <t>BUCHA DE REDUCAO DE PVC, SOLDAVEL, LONGA, COM 40 X 25 MM, PARA AGUA FRIA PREDIAL</t>
  </si>
  <si>
    <t>2,83</t>
  </si>
  <si>
    <t>0,034</t>
  </si>
  <si>
    <t xml:space="preserve"> 18.21 </t>
  </si>
  <si>
    <t xml:space="preserve"> SDC02027 </t>
  </si>
  <si>
    <t>8,88</t>
  </si>
  <si>
    <t>0,18</t>
  </si>
  <si>
    <t xml:space="preserve"> 00003538 </t>
  </si>
  <si>
    <t>JOELHO DE REDUCAO, PVC SOLDAVEL, 90 GRAUS,  32 MM X 25 MM, PARA AGUA FRIA PREDIAL</t>
  </si>
  <si>
    <t>2,35</t>
  </si>
  <si>
    <t xml:space="preserve"> 18.35 </t>
  </si>
  <si>
    <t xml:space="preserve"> SDC02146 </t>
  </si>
  <si>
    <t>6,12</t>
  </si>
  <si>
    <t>0,007</t>
  </si>
  <si>
    <t xml:space="preserve"> 00003874 </t>
  </si>
  <si>
    <t>LUVA SOLDAVEL COM BUCHA DE LATAO, PVC, 25 MM X 1/2"</t>
  </si>
  <si>
    <t>4,14</t>
  </si>
  <si>
    <t>0,008</t>
  </si>
  <si>
    <t xml:space="preserve"> 00038383 </t>
  </si>
  <si>
    <t>LIXA D'AGUA EM FOLHA, GRAO 100</t>
  </si>
  <si>
    <t>1,66</t>
  </si>
  <si>
    <t xml:space="preserve"> 18.41 </t>
  </si>
  <si>
    <t xml:space="preserve"> SDC02262 </t>
  </si>
  <si>
    <t>423,95</t>
  </si>
  <si>
    <t>4,56</t>
  </si>
  <si>
    <t>13,33</t>
  </si>
  <si>
    <t xml:space="preserve"> 00000031 </t>
  </si>
  <si>
    <t>ACO CA-50, 12,5 MM, VERGALHAO</t>
  </si>
  <si>
    <t>3,67</t>
  </si>
  <si>
    <t>4,32</t>
  </si>
  <si>
    <t>0,328</t>
  </si>
  <si>
    <t xml:space="preserve"> 00001382 </t>
  </si>
  <si>
    <t>CIMENTO PORTLAND POZOLANICO CP IV- 32</t>
  </si>
  <si>
    <t>50KG</t>
  </si>
  <si>
    <t>2,33</t>
  </si>
  <si>
    <t>24,95</t>
  </si>
  <si>
    <t xml:space="preserve"> 00004721 </t>
  </si>
  <si>
    <t>PEDRA BRITADA N. 1 (9,5 a 19 MM) POSTO PEDREIRA/FORNECEDOR, SEM FRETE</t>
  </si>
  <si>
    <t>0,176</t>
  </si>
  <si>
    <t>63,77</t>
  </si>
  <si>
    <t xml:space="preserve"> 00007271 </t>
  </si>
  <si>
    <t>BLOCO CERAMICO (ALVENARIA DE VEDACAO), 8 FUROS, DE 9 X 19 X 19 CM</t>
  </si>
  <si>
    <t>89,0</t>
  </si>
  <si>
    <t>0,53</t>
  </si>
  <si>
    <t xml:space="preserve"> 18.44 </t>
  </si>
  <si>
    <t xml:space="preserve"> SDC02004 </t>
  </si>
  <si>
    <t>38,81</t>
  </si>
  <si>
    <t>0,5</t>
  </si>
  <si>
    <t xml:space="preserve"> 00011712 </t>
  </si>
  <si>
    <t>CAIXA SIFONADA PVC, 150 X 150 X 50 MM, COM GRELHA QUADRADA BRANCA (NBR 5688)</t>
  </si>
  <si>
    <t>22,74</t>
  </si>
  <si>
    <t xml:space="preserve"> 18.45 </t>
  </si>
  <si>
    <t xml:space="preserve"> SDC02175 </t>
  </si>
  <si>
    <t>30,56</t>
  </si>
  <si>
    <t xml:space="preserve"> 00000301 </t>
  </si>
  <si>
    <t>ANEL BORRACHA PARA TUBO ESGOTO PREDIAL, DN 100 MM (NBR 5688)</t>
  </si>
  <si>
    <t>1,62</t>
  </si>
  <si>
    <t xml:space="preserve"> 00038426 </t>
  </si>
  <si>
    <t>CURVA DE PVC, 45 GRAUS, SERIE R, DN 100 MM, PARA ESGOTO PREDIAL</t>
  </si>
  <si>
    <t>20,08</t>
  </si>
  <si>
    <t xml:space="preserve"> 00020078 </t>
  </si>
  <si>
    <t>PASTA LUBRIFICANTE PARA TUBOS E CONEXOES COM JUNTA ELASTICA (USO EM PVC, ACO, POLIETILENO E OUTROS) ( DE *400* G)</t>
  </si>
  <si>
    <t>18,19</t>
  </si>
  <si>
    <t xml:space="preserve"> 18.46 </t>
  </si>
  <si>
    <t xml:space="preserve"> SDC02110 </t>
  </si>
  <si>
    <t>12,26</t>
  </si>
  <si>
    <t xml:space="preserve"> 00000296 </t>
  </si>
  <si>
    <t>ANEL BORRACHA PARA TUBO ESGOTO PREDIAL DN 50 MM (NBR 5688)</t>
  </si>
  <si>
    <t>0,91</t>
  </si>
  <si>
    <t xml:space="preserve"> 00010765 </t>
  </si>
  <si>
    <t>6,65</t>
  </si>
  <si>
    <t xml:space="preserve"> 18.47 </t>
  </si>
  <si>
    <t xml:space="preserve"> SDC02278 </t>
  </si>
  <si>
    <t>10,81</t>
  </si>
  <si>
    <t xml:space="preserve"> 00000295 </t>
  </si>
  <si>
    <t>ANEL BORRACHA PARA TUBO ESGOTO PREDIAL DN 40 MM (NBR 5688)</t>
  </si>
  <si>
    <t>0,88</t>
  </si>
  <si>
    <t xml:space="preserve"> 00001929 </t>
  </si>
  <si>
    <t>CURVA DE PVC 45 GRAUS, SOLDAVEL, 40 MM, PARA AGUA FRIA PREDIAL (NBR 5648)</t>
  </si>
  <si>
    <t>3,44</t>
  </si>
  <si>
    <t>0,0375</t>
  </si>
  <si>
    <t xml:space="preserve"> 18.54 </t>
  </si>
  <si>
    <t xml:space="preserve"> SDC02127 </t>
  </si>
  <si>
    <t>7,45</t>
  </si>
  <si>
    <t xml:space="preserve"> 00010835 </t>
  </si>
  <si>
    <t xml:space="preserve"> 18.55 </t>
  </si>
  <si>
    <t xml:space="preserve"> SDC02273 </t>
  </si>
  <si>
    <t>33,57</t>
  </si>
  <si>
    <t>0,472</t>
  </si>
  <si>
    <t>0,0676</t>
  </si>
  <si>
    <t xml:space="preserve"> 00003659 </t>
  </si>
  <si>
    <t>JUNCAO SIMPLES, PVC, DN 100 X 50 MM, SERIE NORMAL PARA ESGOTO PREDIAL</t>
  </si>
  <si>
    <t>11,13</t>
  </si>
  <si>
    <t>0,0911</t>
  </si>
  <si>
    <t xml:space="preserve"> 18.62 </t>
  </si>
  <si>
    <t xml:space="preserve"> SDC02008 </t>
  </si>
  <si>
    <t>7,43</t>
  </si>
  <si>
    <t>0,07</t>
  </si>
  <si>
    <t xml:space="preserve"> 00039319 </t>
  </si>
  <si>
    <t>TERMINAL DE VENTILACAO, 50 MM, SERIE NORMAL, ESGOTO PREDIAL</t>
  </si>
  <si>
    <t>4,12</t>
  </si>
  <si>
    <t xml:space="preserve"> 18.67 </t>
  </si>
  <si>
    <t xml:space="preserve"> SDC02091 </t>
  </si>
  <si>
    <t>28,35</t>
  </si>
  <si>
    <t>0,46</t>
  </si>
  <si>
    <t>0,056</t>
  </si>
  <si>
    <t xml:space="preserve"> 00011655 </t>
  </si>
  <si>
    <t>TE SANITARIO, PVC, DN 100 X 50 MM, SERIE NORMAL, PARA ESGOTO PREDIAL</t>
  </si>
  <si>
    <t>9,95</t>
  </si>
  <si>
    <t xml:space="preserve"> 19.1 </t>
  </si>
  <si>
    <t xml:space="preserve"> SDC02252 </t>
  </si>
  <si>
    <t>352,00</t>
  </si>
  <si>
    <t xml:space="preserve"> 73445 </t>
  </si>
  <si>
    <t>CAIACAO INT OU EXT SOBRE REVESTIMENTO LISO C/ADOCAO DE FIXADOR COM    COM DUAS DEMAOS</t>
  </si>
  <si>
    <t>1,68</t>
  </si>
  <si>
    <t>7,31</t>
  </si>
  <si>
    <t xml:space="preserve"> 87316 </t>
  </si>
  <si>
    <t>ARGAMASSA TRAÇO 1:4 (CIMENTO E AREIA GROSSA) PARA CHAPISCO CONVENCIONAL, PREPARO MECÂNICO COM BETONEIRA 400 L. AF_06/2014</t>
  </si>
  <si>
    <t>290,27</t>
  </si>
  <si>
    <t xml:space="preserve"> 94962 </t>
  </si>
  <si>
    <t>CONCRETO MAGRO PARA LASTRO, TRAÇO 1:4,5:4,5 (CIMENTO/ AREIA MÉDIA/ BRITA 1)  - PREPARO MECÂNICO COM BETONEIRA 400 L. AF_07/2016</t>
  </si>
  <si>
    <t>255,88</t>
  </si>
  <si>
    <t xml:space="preserve"> 00012530 </t>
  </si>
  <si>
    <t>ANEL DE CONCRETO ARMADO, D = 0,60 M, H = 0,30 M</t>
  </si>
  <si>
    <t>40,84</t>
  </si>
  <si>
    <t xml:space="preserve"> 00011236 </t>
  </si>
  <si>
    <t>GRELHA FOFO SIMPLES COM REQUADRO, CARGA MAXIMA 1,5 T, 200 X 1000 MM, E= *15* MM</t>
  </si>
  <si>
    <t>170,90</t>
  </si>
  <si>
    <t xml:space="preserve"> 19.2 </t>
  </si>
  <si>
    <t xml:space="preserve"> SDC02188 </t>
  </si>
  <si>
    <t>398,64</t>
  </si>
  <si>
    <t xml:space="preserve"> 00012533 </t>
  </si>
  <si>
    <t>ANEL DE CONCRETO ARMADO, D = 0,80 M, H = 0,30 M</t>
  </si>
  <si>
    <t>66,64</t>
  </si>
  <si>
    <t xml:space="preserve"> 19.6 </t>
  </si>
  <si>
    <t xml:space="preserve"> SDC02050 </t>
  </si>
  <si>
    <t>31,56</t>
  </si>
  <si>
    <t xml:space="preserve"> 00011708 </t>
  </si>
  <si>
    <t>RALO FOFO SEMIESFERICO, 100 MM, PARA LAJES/ CALHAS</t>
  </si>
  <si>
    <t>15,40</t>
  </si>
  <si>
    <t xml:space="preserve"> 19.7 </t>
  </si>
  <si>
    <t xml:space="preserve"> SDC02124 </t>
  </si>
  <si>
    <t>24,80</t>
  </si>
  <si>
    <t xml:space="preserve"> 00001966 </t>
  </si>
  <si>
    <t>CURVA PVC CURTA 90 GRAUS, 100 MM, PARA ESGOTO PREDIAL</t>
  </si>
  <si>
    <t>14,32</t>
  </si>
  <si>
    <t xml:space="preserve"> 19.9 </t>
  </si>
  <si>
    <t xml:space="preserve"> SDC02125 </t>
  </si>
  <si>
    <t>112,38</t>
  </si>
  <si>
    <t xml:space="preserve"> 00000305 </t>
  </si>
  <si>
    <t>ANEL BORRACHA, PARA TUBO PVC, REDE COLETOR ESGOTO, DN 150 MM (NBR 7362)</t>
  </si>
  <si>
    <t>5,75</t>
  </si>
  <si>
    <t>0,069</t>
  </si>
  <si>
    <t xml:space="preserve"> 00001844 </t>
  </si>
  <si>
    <t>CURVA LONGA PVC, PB, JE, 45 GRAUS, DN 150 MM, PARA REDE COLETORA ESGOTO (NBR 10569)</t>
  </si>
  <si>
    <t>88,35</t>
  </si>
  <si>
    <t xml:space="preserve"> 19.10 </t>
  </si>
  <si>
    <t xml:space="preserve"> SDC02174 </t>
  </si>
  <si>
    <t>18,39</t>
  </si>
  <si>
    <t xml:space="preserve"> 00000297 </t>
  </si>
  <si>
    <t>ANEL BORRACHA PARA TUBO ESGOTO PREDIAL DN 75 MM (NBR 5688)</t>
  </si>
  <si>
    <t>1,29</t>
  </si>
  <si>
    <t>0,03</t>
  </si>
  <si>
    <t xml:space="preserve"> 00038425 </t>
  </si>
  <si>
    <t>CURVA DE PVC, 45 GRAUS, SERIE R, DN 75 MM, PARA ESGOTO PREDIAL</t>
  </si>
  <si>
    <t>10,46</t>
  </si>
  <si>
    <t xml:space="preserve"> 20.2 </t>
  </si>
  <si>
    <t xml:space="preserve"> SES041 </t>
  </si>
  <si>
    <t>25,20</t>
  </si>
  <si>
    <t xml:space="preserve"> 88247 </t>
  </si>
  <si>
    <t>AUXILIAR DE ELETRICISTA COM ENCARGOS COMPLEMENTARES</t>
  </si>
  <si>
    <t>14,19</t>
  </si>
  <si>
    <t xml:space="preserve"> 811 </t>
  </si>
  <si>
    <t>CAIXA DE PASSAGEM SOBREPOR COM TAMPA 10 X 10 CM</t>
  </si>
  <si>
    <t>12,25</t>
  </si>
  <si>
    <t xml:space="preserve"> 20.4 </t>
  </si>
  <si>
    <t xml:space="preserve"> SDC03009 </t>
  </si>
  <si>
    <t>25,68</t>
  </si>
  <si>
    <t xml:space="preserve"> 00020254 </t>
  </si>
  <si>
    <t>CAIXA DE PASSAGEM METALICA DE SOBREPOR COM TAMPA PARAFUSADA, DIMENSOES 15 X 15 X 10 CM</t>
  </si>
  <si>
    <t>15,97</t>
  </si>
  <si>
    <t xml:space="preserve"> 20.6 </t>
  </si>
  <si>
    <t xml:space="preserve"> SDC03314 </t>
  </si>
  <si>
    <t>7,96</t>
  </si>
  <si>
    <t>0,184</t>
  </si>
  <si>
    <t xml:space="preserve"> 00040402 </t>
  </si>
  <si>
    <t>ELETRODUTO FLEXIVEL PLANO EM PEAD, COR PRETA E LARANJA,  DIAMETRO 40 MM</t>
  </si>
  <si>
    <t>1,017</t>
  </si>
  <si>
    <t>1,97</t>
  </si>
  <si>
    <t xml:space="preserve"> 20.9 </t>
  </si>
  <si>
    <t xml:space="preserve"> SDC07041 </t>
  </si>
  <si>
    <t>8,07</t>
  </si>
  <si>
    <t>0,45</t>
  </si>
  <si>
    <t xml:space="preserve"> 00000244 </t>
  </si>
  <si>
    <t>DUTO CORRUGADO FLEXÍVEL 1"</t>
  </si>
  <si>
    <t>1,015</t>
  </si>
  <si>
    <t xml:space="preserve"> 20.10 </t>
  </si>
  <si>
    <t xml:space="preserve"> SDC03277 </t>
  </si>
  <si>
    <t>8,22</t>
  </si>
  <si>
    <t>0,1</t>
  </si>
  <si>
    <t xml:space="preserve"> 91170 </t>
  </si>
  <si>
    <t>FIXAÇÃO DE TUBOS HORIZONTAIS DE PVC, CPVC OU COBRE DIÂMETROS MENORES OU IGUAIS A 40 MM OU ELETROCALHAS ATÉ 150MM DE LARGURA, COM ABRAÇADEIRA METÁLICA RÍGIDA TIPO D 1/2, FIXADA EM PERFILADO EM LAJE. AF_05/2015</t>
  </si>
  <si>
    <t>2,06</t>
  </si>
  <si>
    <t xml:space="preserve"> 00039246 </t>
  </si>
  <si>
    <t>ELETRODUTODUTO PEAD FLEXIVEL PAREDE SIMPLES, CORRUGACAO HELICOIDAL, COR PRETA, SEM ROSCA, DE 1 1/2",  PARA CABEAMENTO SUBTERRANEO (NBR 15715)</t>
  </si>
  <si>
    <t>2,67</t>
  </si>
  <si>
    <t xml:space="preserve"> 20.13 </t>
  </si>
  <si>
    <t xml:space="preserve"> SDC03200 </t>
  </si>
  <si>
    <t>31,49</t>
  </si>
  <si>
    <t>0,8</t>
  </si>
  <si>
    <t xml:space="preserve"> 00000324 </t>
  </si>
  <si>
    <t>DUTO CORRUGADO FLEXÍVEL EM PEAD Ø = 4"</t>
  </si>
  <si>
    <t>5,57</t>
  </si>
  <si>
    <t xml:space="preserve"> 20.14 </t>
  </si>
  <si>
    <t xml:space="preserve"> SDC03041 </t>
  </si>
  <si>
    <t>83,43</t>
  </si>
  <si>
    <t>0,2343</t>
  </si>
  <si>
    <t xml:space="preserve"> 91174 </t>
  </si>
  <si>
    <t>FIXAÇÃO DE TUBOS VERTICAIS DE PPR DIÂMETROS MAIORES QUE 40 MM E MENORES OU IGUAIS A 75 MM COM ABRAÇADEIRA METÁLICA RÍGIDA TIPO D 1 1/2", FIXADA EM PERFILADO EM ALVENARIA. AF_05/2015</t>
  </si>
  <si>
    <t>2,03</t>
  </si>
  <si>
    <t xml:space="preserve"> 00021131 </t>
  </si>
  <si>
    <t>ELETRODUTO EM ACO GALVANIZADO ELETROLITICO, SEMI-PESADO, DIAMETRO 2 1/2", PAREDE DE 1,52 MM</t>
  </si>
  <si>
    <t>1,05</t>
  </si>
  <si>
    <t>68,38</t>
  </si>
  <si>
    <t xml:space="preserve"> 20.22 </t>
  </si>
  <si>
    <t xml:space="preserve"> SDC03071 </t>
  </si>
  <si>
    <t>12,71</t>
  </si>
  <si>
    <t>0,2</t>
  </si>
  <si>
    <t xml:space="preserve"> 00000268 </t>
  </si>
  <si>
    <t>CURVA 90º DE FERRO ZINCADO 3/4"</t>
  </si>
  <si>
    <t>2,60</t>
  </si>
  <si>
    <t xml:space="preserve"> 20.27 </t>
  </si>
  <si>
    <t xml:space="preserve"> SDC03007 </t>
  </si>
  <si>
    <t>121,87</t>
  </si>
  <si>
    <t xml:space="preserve"> 00012232 </t>
  </si>
  <si>
    <t>LUMINARIA DE SOBREPOR EM CHAPA DE ACO PARA 2 LAMPADAS FLUORESCENTES DE *18* W, PERFIL COMERCIAL (NAO INCLUI REATOR E LAMPADAS)</t>
  </si>
  <si>
    <t>13,01</t>
  </si>
  <si>
    <t xml:space="preserve"> 00039387 </t>
  </si>
  <si>
    <t>LAMPADA LED TUBULAR BIVOLT 18/20 W, BASE G13</t>
  </si>
  <si>
    <t>40,61</t>
  </si>
  <si>
    <t xml:space="preserve"> 20.31 </t>
  </si>
  <si>
    <t xml:space="preserve"> SDC03072 </t>
  </si>
  <si>
    <t>2,69</t>
  </si>
  <si>
    <t>0,08</t>
  </si>
  <si>
    <t xml:space="preserve"> 00000271 </t>
  </si>
  <si>
    <t>PLACA CEGA P/ CAIXA 4" X 2"</t>
  </si>
  <si>
    <t>1,55</t>
  </si>
  <si>
    <t xml:space="preserve"> 20.39 </t>
  </si>
  <si>
    <t xml:space="preserve"> SES0009 </t>
  </si>
  <si>
    <t>255,78</t>
  </si>
  <si>
    <t xml:space="preserve"> 785 </t>
  </si>
  <si>
    <t>DISJUNTOR TRIPOLAR CAIXA MOLDADA 150A</t>
  </si>
  <si>
    <t>242,83</t>
  </si>
  <si>
    <t xml:space="preserve"> 20.40 </t>
  </si>
  <si>
    <t xml:space="preserve"> SDC03139 </t>
  </si>
  <si>
    <t>80,83</t>
  </si>
  <si>
    <t xml:space="preserve"> 00039467 </t>
  </si>
  <si>
    <t>DISPOSITIVO DPS CLASSE II, 1 POLO, TENSAO MAXIMA DE 175 V, CORRENTE MAXIMA DE *45* KA (TIPO AC)</t>
  </si>
  <si>
    <t>71,08</t>
  </si>
  <si>
    <t xml:space="preserve"> 20.56 </t>
  </si>
  <si>
    <t xml:space="preserve"> SDC03128 </t>
  </si>
  <si>
    <t>397,06</t>
  </si>
  <si>
    <t xml:space="preserve"> 00000199 </t>
  </si>
  <si>
    <t>PROJETOR LED 150W BIVOLT</t>
  </si>
  <si>
    <t>382,95</t>
  </si>
  <si>
    <t xml:space="preserve"> 00004331 </t>
  </si>
  <si>
    <t>PARAFUSO ZINCADO, SEXTAVADO, COM ROSCA INTEIRA, DIAMETRO 5/8", COMPRIMENTO 2 1/4"</t>
  </si>
  <si>
    <t>2,18</t>
  </si>
  <si>
    <t xml:space="preserve"> 20.58 </t>
  </si>
  <si>
    <t xml:space="preserve"> SES0016 </t>
  </si>
  <si>
    <t>25,36</t>
  </si>
  <si>
    <t xml:space="preserve"> 792 </t>
  </si>
  <si>
    <t>CURVA VERTICAL INTERNA 90 "U" 200X100MM PARA ELETROCALHA</t>
  </si>
  <si>
    <t>18,86</t>
  </si>
  <si>
    <t xml:space="preserve"> 20.59 </t>
  </si>
  <si>
    <t xml:space="preserve"> SES0002 </t>
  </si>
  <si>
    <t>39,11</t>
  </si>
  <si>
    <t xml:space="preserve"> 778 </t>
  </si>
  <si>
    <t>CURVA HORIZONTAL 90 "U" PERFURADO 200X100MM</t>
  </si>
  <si>
    <t>32,61</t>
  </si>
  <si>
    <t xml:space="preserve"> 20.60 </t>
  </si>
  <si>
    <t xml:space="preserve"> SES0003 </t>
  </si>
  <si>
    <t>37,48</t>
  </si>
  <si>
    <t xml:space="preserve"> 779 </t>
  </si>
  <si>
    <t>ELETROCALHA (DUTO) AÉREO PERFURADO "U" 200X100MM</t>
  </si>
  <si>
    <t>24,48</t>
  </si>
  <si>
    <t xml:space="preserve"> 20.61 </t>
  </si>
  <si>
    <t xml:space="preserve"> SES0008 </t>
  </si>
  <si>
    <t>34,01</t>
  </si>
  <si>
    <t>0,05</t>
  </si>
  <si>
    <t xml:space="preserve"> 784 </t>
  </si>
  <si>
    <t>TÊ HORIZONTAL 90 "U" 200X100MM PARA ELETROCALHA</t>
  </si>
  <si>
    <t>33,10</t>
  </si>
  <si>
    <t xml:space="preserve"> 20.62 </t>
  </si>
  <si>
    <t xml:space="preserve"> SES0048 </t>
  </si>
  <si>
    <t>6,63</t>
  </si>
  <si>
    <t>0,16</t>
  </si>
  <si>
    <t xml:space="preserve"> SES018 </t>
  </si>
  <si>
    <t>SAÍDA LATERAL SIMPLES DE ELETROCALHA PARA ELETRODUTO 3/4'</t>
  </si>
  <si>
    <t>1,45</t>
  </si>
  <si>
    <t xml:space="preserve"> 21.4 </t>
  </si>
  <si>
    <t xml:space="preserve"> SDC03048 </t>
  </si>
  <si>
    <t>33,80</t>
  </si>
  <si>
    <t>0,451</t>
  </si>
  <si>
    <t xml:space="preserve"> 00003148 </t>
  </si>
  <si>
    <t>FITA VEDA ROSCA EM ROLOS DE 18 MM X 50 M (L X C)</t>
  </si>
  <si>
    <t>11,06</t>
  </si>
  <si>
    <t xml:space="preserve"> 00001787 </t>
  </si>
  <si>
    <t>CURVA 90 GRAUS DE FERRO GALVANIZADO, COM ROSCA BSP FEMEA, DE 1"</t>
  </si>
  <si>
    <t>19,12</t>
  </si>
  <si>
    <t xml:space="preserve"> 21.6 </t>
  </si>
  <si>
    <t xml:space="preserve"> SDC03197 </t>
  </si>
  <si>
    <t>18,73</t>
  </si>
  <si>
    <t xml:space="preserve"> 683 </t>
  </si>
  <si>
    <t>DUTO PEAD CORRUGADO HELICOIDAL  Ø1.1/2" 40MM</t>
  </si>
  <si>
    <t>2,53</t>
  </si>
  <si>
    <t xml:space="preserve"> 21.12 </t>
  </si>
  <si>
    <t xml:space="preserve"> SDC04023 </t>
  </si>
  <si>
    <t>3,14</t>
  </si>
  <si>
    <t>0,15</t>
  </si>
  <si>
    <t xml:space="preserve"> 00007583 </t>
  </si>
  <si>
    <t>BUCHA DE NYLON SEM ABA S8, COM PARAFUSO DE 4,80 X 50 MM EM ACO ZINCADO COM ROSCA SOBERBA, CABECA CHATA E FENDA PHILLIPS</t>
  </si>
  <si>
    <t xml:space="preserve"> 21.14 </t>
  </si>
  <si>
    <t xml:space="preserve"> SES0046 </t>
  </si>
  <si>
    <t>13,35</t>
  </si>
  <si>
    <t xml:space="preserve"> SES016 </t>
  </si>
  <si>
    <t>CAIXA COM ESPELHO PARA CONECTOR 1 RJ45</t>
  </si>
  <si>
    <t>4,44</t>
  </si>
  <si>
    <t xml:space="preserve"> 21.15 </t>
  </si>
  <si>
    <t xml:space="preserve"> SES0047 </t>
  </si>
  <si>
    <t>13,66</t>
  </si>
  <si>
    <t xml:space="preserve"> SES017 </t>
  </si>
  <si>
    <t>CAIXA COM ESPELHO PARA CONECTOR 2 RJ45</t>
  </si>
  <si>
    <t>4,75</t>
  </si>
  <si>
    <t xml:space="preserve"> 21.16 </t>
  </si>
  <si>
    <t xml:space="preserve"> SES0019 </t>
  </si>
  <si>
    <t>443,42</t>
  </si>
  <si>
    <t xml:space="preserve"> 88266 </t>
  </si>
  <si>
    <t>ELETROTÉCNICO COM ENCARGOS COMPLEMENTARES</t>
  </si>
  <si>
    <t>18,28</t>
  </si>
  <si>
    <t xml:space="preserve"> 795 </t>
  </si>
  <si>
    <t>CAMERA BULLET IP POE 2 MPIXEL IR20 3.6MM 20M VIP1220B</t>
  </si>
  <si>
    <t>402,64</t>
  </si>
  <si>
    <t xml:space="preserve"> 817 </t>
  </si>
  <si>
    <t>BALUN HIBRIDO PARA CFTV</t>
  </si>
  <si>
    <t>22,50</t>
  </si>
  <si>
    <t xml:space="preserve"> 21.17 </t>
  </si>
  <si>
    <t xml:space="preserve"> SDC03237 </t>
  </si>
  <si>
    <t>263,79</t>
  </si>
  <si>
    <t xml:space="preserve"> 492 </t>
  </si>
  <si>
    <t xml:space="preserve">ROTEADOR PARA REDE </t>
  </si>
  <si>
    <t xml:space="preserve"> 21.18 </t>
  </si>
  <si>
    <t xml:space="preserve"> SDC03231 </t>
  </si>
  <si>
    <t>3,74</t>
  </si>
  <si>
    <t xml:space="preserve"> 685 </t>
  </si>
  <si>
    <t>CABO UTP CAT. 6</t>
  </si>
  <si>
    <t>1,80</t>
  </si>
  <si>
    <t xml:space="preserve"> 21.19 </t>
  </si>
  <si>
    <t xml:space="preserve"> SDC03117 </t>
  </si>
  <si>
    <t>3.023,26</t>
  </si>
  <si>
    <t xml:space="preserve"> 00000309 </t>
  </si>
  <si>
    <t>2.922,00</t>
  </si>
  <si>
    <t xml:space="preserve"> 21.20 </t>
  </si>
  <si>
    <t xml:space="preserve"> SES0022 </t>
  </si>
  <si>
    <t>474,71</t>
  </si>
  <si>
    <t xml:space="preserve"> 798 </t>
  </si>
  <si>
    <t>DISTRIBUIDOR OPTICO 19" X 1U 12P SM 0.9 SC COMPLETO</t>
  </si>
  <si>
    <t>458,45</t>
  </si>
  <si>
    <t xml:space="preserve"> 21.21 </t>
  </si>
  <si>
    <t xml:space="preserve"> SDC03239 </t>
  </si>
  <si>
    <t>87,65</t>
  </si>
  <si>
    <t>0,206</t>
  </si>
  <si>
    <t xml:space="preserve"> 494 </t>
  </si>
  <si>
    <t>84,73</t>
  </si>
  <si>
    <t xml:space="preserve"> 21.22 </t>
  </si>
  <si>
    <t xml:space="preserve"> SES0017 </t>
  </si>
  <si>
    <t>22,37</t>
  </si>
  <si>
    <t xml:space="preserve"> 793 </t>
  </si>
  <si>
    <t>GUIA CABO 19" HORIZONTAL FECHADO 1U X 50MM PARA RACK</t>
  </si>
  <si>
    <t xml:space="preserve"> 21.24 </t>
  </si>
  <si>
    <t xml:space="preserve"> SDC03095 </t>
  </si>
  <si>
    <t>31,81</t>
  </si>
  <si>
    <t>0,619</t>
  </si>
  <si>
    <t xml:space="preserve"> 00000292 </t>
  </si>
  <si>
    <t>23,03</t>
  </si>
  <si>
    <t xml:space="preserve"> 21.25 </t>
  </si>
  <si>
    <t xml:space="preserve"> SDC03030 </t>
  </si>
  <si>
    <t>28,46</t>
  </si>
  <si>
    <t>0,258</t>
  </si>
  <si>
    <t xml:space="preserve"> 00000291 </t>
  </si>
  <si>
    <t xml:space="preserve"> 21.26 </t>
  </si>
  <si>
    <t xml:space="preserve"> SES047 </t>
  </si>
  <si>
    <t>1.226,18</t>
  </si>
  <si>
    <t>1,5</t>
  </si>
  <si>
    <t xml:space="preserve"> 00011902 </t>
  </si>
  <si>
    <t>CABO TELEFONICO CCI 50, 2 PARES, USO INTERNO, SEM BLINDAGEM</t>
  </si>
  <si>
    <t>1,41</t>
  </si>
  <si>
    <t xml:space="preserve"> 819 </t>
  </si>
  <si>
    <t>CENTRAL PABX</t>
  </si>
  <si>
    <t>1.175,89</t>
  </si>
  <si>
    <t xml:space="preserve"> 21.27 </t>
  </si>
  <si>
    <t xml:space="preserve"> SES0032 </t>
  </si>
  <si>
    <t>46,00</t>
  </si>
  <si>
    <t xml:space="preserve"> 805 </t>
  </si>
  <si>
    <t>CERTIFICAÇÃO DE CABEAMENTO DE REDE TIPO CAT5E, CAT6</t>
  </si>
  <si>
    <t xml:space="preserve"> 21.28 </t>
  </si>
  <si>
    <t xml:space="preserve"> SES0031 </t>
  </si>
  <si>
    <t>40,00</t>
  </si>
  <si>
    <t xml:space="preserve"> 804 </t>
  </si>
  <si>
    <t>CERTIFICAÇÃO DE FIBRA OPTICA</t>
  </si>
  <si>
    <t xml:space="preserve"> 21.29 </t>
  </si>
  <si>
    <t xml:space="preserve"> SES0024 </t>
  </si>
  <si>
    <t>9,67</t>
  </si>
  <si>
    <t xml:space="preserve"> 800 </t>
  </si>
  <si>
    <t>CABO OPTICO SM 0.9  6FO ANTI ROEDOR</t>
  </si>
  <si>
    <t>5,12</t>
  </si>
  <si>
    <t xml:space="preserve"> 21.30 </t>
  </si>
  <si>
    <t xml:space="preserve"> SES0020 </t>
  </si>
  <si>
    <t>3.124,01</t>
  </si>
  <si>
    <t>7,5</t>
  </si>
  <si>
    <t xml:space="preserve"> 796 </t>
  </si>
  <si>
    <t>NVR 32 CANAIS IP NVD7032</t>
  </si>
  <si>
    <t>2.986,91</t>
  </si>
  <si>
    <t xml:space="preserve"> 21.31 </t>
  </si>
  <si>
    <t xml:space="preserve"> SES0021 </t>
  </si>
  <si>
    <t>2.065,01</t>
  </si>
  <si>
    <t xml:space="preserve"> 797 </t>
  </si>
  <si>
    <t>HARD DISK 8TB 7200 RPM  HD</t>
  </si>
  <si>
    <t>2.063,19</t>
  </si>
  <si>
    <t xml:space="preserve"> 21.33 </t>
  </si>
  <si>
    <t xml:space="preserve"> SES056 </t>
  </si>
  <si>
    <t>43,13</t>
  </si>
  <si>
    <t>0,75</t>
  </si>
  <si>
    <t xml:space="preserve"> SES011 </t>
  </si>
  <si>
    <t>ELETROCALHA PERFURADA, CHAPA 22, 100X100MM, 3M</t>
  </si>
  <si>
    <t>pç</t>
  </si>
  <si>
    <t>0,43</t>
  </si>
  <si>
    <t>43,80</t>
  </si>
  <si>
    <t xml:space="preserve"> 21.34 </t>
  </si>
  <si>
    <t xml:space="preserve"> SES057 </t>
  </si>
  <si>
    <t>33,48</t>
  </si>
  <si>
    <t xml:space="preserve"> SES010 </t>
  </si>
  <si>
    <t>CURVA 90° PARA ELETROCALHA, 100X100MM</t>
  </si>
  <si>
    <t>20,53</t>
  </si>
  <si>
    <t xml:space="preserve"> 21.35 </t>
  </si>
  <si>
    <t xml:space="preserve"> SES058 </t>
  </si>
  <si>
    <t>34,00</t>
  </si>
  <si>
    <t xml:space="preserve"> SES012 </t>
  </si>
  <si>
    <t>TÊ HORIZONTAL PARA ELETROCALHA, 100X100M</t>
  </si>
  <si>
    <t>27,53</t>
  </si>
  <si>
    <t xml:space="preserve"> 21.36 </t>
  </si>
  <si>
    <t xml:space="preserve"> SDC03085 </t>
  </si>
  <si>
    <t>22,95</t>
  </si>
  <si>
    <t xml:space="preserve"> 00039028 </t>
  </si>
  <si>
    <t>PERFILADO PERFURADO SIMPLES 38 X 38 MM, CHAPA 22</t>
  </si>
  <si>
    <t>6,69</t>
  </si>
  <si>
    <t xml:space="preserve"> 21.39 </t>
  </si>
  <si>
    <t xml:space="preserve"> SDC03233 </t>
  </si>
  <si>
    <t>499,93</t>
  </si>
  <si>
    <t xml:space="preserve"> 88243 </t>
  </si>
  <si>
    <t>AJUDANTE ESPECIALIZADO COM ENCARGOS COMPLEMENTARES</t>
  </si>
  <si>
    <t>1,169</t>
  </si>
  <si>
    <t>17,05</t>
  </si>
  <si>
    <t xml:space="preserve"> 487 </t>
  </si>
  <si>
    <t xml:space="preserve">RACK (ARMÁRIO REDE DE LÓGICA 19"), 16U </t>
  </si>
  <si>
    <t>480,00</t>
  </si>
  <si>
    <t xml:space="preserve"> 22.4 </t>
  </si>
  <si>
    <t xml:space="preserve"> SDC07001 </t>
  </si>
  <si>
    <t>18,38</t>
  </si>
  <si>
    <t xml:space="preserve"> 00000187 </t>
  </si>
  <si>
    <t>PLACA DE SINALIZAÇÃO DE EXTINTOR 20X30CM</t>
  </si>
  <si>
    <t xml:space="preserve"> 22.6 </t>
  </si>
  <si>
    <t xml:space="preserve"> SDC07002 </t>
  </si>
  <si>
    <t>21,95</t>
  </si>
  <si>
    <t xml:space="preserve"> 88242 </t>
  </si>
  <si>
    <t>AJUDANTE DE PEDREIRO COM ENCARGOS COMPLEMENTARES</t>
  </si>
  <si>
    <t>14,24</t>
  </si>
  <si>
    <t xml:space="preserve"> 00011950 </t>
  </si>
  <si>
    <t>BUCHA DE NYLON SEM ABA S6, COM PARAFUSO DE 4,20 X 40 MM EM ACO ZINCADO COM ROSCA SOBERBA, CABECA CHATA E FENDA PHILLIPS</t>
  </si>
  <si>
    <t>0,20</t>
  </si>
  <si>
    <t xml:space="preserve"> 00000188 </t>
  </si>
  <si>
    <t>PLACA DE SINALIZAÇÃO INDICATIVA, SAÍDA DE EMERGÊNCIA, SAÍDA LATERAL ESQUERDA/DIREITA/SAÍDA EM FRENTE</t>
  </si>
  <si>
    <t xml:space="preserve"> 22.7 </t>
  </si>
  <si>
    <t xml:space="preserve"> SDC07004 </t>
  </si>
  <si>
    <t>71,97</t>
  </si>
  <si>
    <t xml:space="preserve"> 00000057 </t>
  </si>
  <si>
    <t>ACIONADOR MANUAL PARA ALARME, TIPO QUEBRA VIDRO, COM MARTELO</t>
  </si>
  <si>
    <t>55,71</t>
  </si>
  <si>
    <t xml:space="preserve"> 22.8 </t>
  </si>
  <si>
    <t xml:space="preserve"> SDC07005 </t>
  </si>
  <si>
    <t>62,60</t>
  </si>
  <si>
    <t xml:space="preserve"> 00000206 </t>
  </si>
  <si>
    <t>SIRENE ELETRÔNICA, 12V, ALARME DE EMERGÊNCIA</t>
  </si>
  <si>
    <t>39,84</t>
  </si>
  <si>
    <t xml:space="preserve"> 22.9 </t>
  </si>
  <si>
    <t xml:space="preserve"> SDC07006 </t>
  </si>
  <si>
    <t>595,52</t>
  </si>
  <si>
    <t xml:space="preserve"> 00000113 </t>
  </si>
  <si>
    <t>CENTRAL DE ALARME IPA, 12 LAÇOS, SEM BATERIA</t>
  </si>
  <si>
    <t>577,30</t>
  </si>
  <si>
    <t xml:space="preserve"> 22.10 </t>
  </si>
  <si>
    <t xml:space="preserve"> SDC07007 </t>
  </si>
  <si>
    <t>217,53</t>
  </si>
  <si>
    <t>6,0</t>
  </si>
  <si>
    <t xml:space="preserve"> 00000079 </t>
  </si>
  <si>
    <t>BATERIA SELADA PARA CENTRAL DE ALARME, 12V/5A</t>
  </si>
  <si>
    <t>108,21</t>
  </si>
  <si>
    <t xml:space="preserve"> 22.12 </t>
  </si>
  <si>
    <t xml:space="preserve"> SDC07008 </t>
  </si>
  <si>
    <t>24,32</t>
  </si>
  <si>
    <t xml:space="preserve"> 00037539 </t>
  </si>
  <si>
    <t>17,94</t>
  </si>
  <si>
    <t xml:space="preserve"> 22.13 </t>
  </si>
  <si>
    <t xml:space="preserve"> SDC03005 </t>
  </si>
  <si>
    <t>4,65</t>
  </si>
  <si>
    <t xml:space="preserve"> 00039128 </t>
  </si>
  <si>
    <t>1,11</t>
  </si>
  <si>
    <t xml:space="preserve"> 22.14 </t>
  </si>
  <si>
    <t xml:space="preserve"> SDC07022 </t>
  </si>
  <si>
    <t>6,70</t>
  </si>
  <si>
    <t>0,159</t>
  </si>
  <si>
    <t xml:space="preserve"> 00000165 </t>
  </si>
  <si>
    <t>LUVA PVC VERMELHO 3/4" PARA INCENDIO</t>
  </si>
  <si>
    <t>1,56</t>
  </si>
  <si>
    <t xml:space="preserve"> 22.15 </t>
  </si>
  <si>
    <t xml:space="preserve"> SDC07021 </t>
  </si>
  <si>
    <t>9,29</t>
  </si>
  <si>
    <t>0,0952</t>
  </si>
  <si>
    <t xml:space="preserve"> 00000118 </t>
  </si>
  <si>
    <t>CONDULETE DE PVC, VERMELHO, PARA INCENDIO  3/4"</t>
  </si>
  <si>
    <t>4,19</t>
  </si>
  <si>
    <t xml:space="preserve"> 00000212 </t>
  </si>
  <si>
    <t>TAMPA CEGA, VERMELHO, PARA INCENDIO 3/4"</t>
  </si>
  <si>
    <t>2,02</t>
  </si>
  <si>
    <t xml:space="preserve"> 22.16 </t>
  </si>
  <si>
    <t xml:space="preserve"> SDC07018 </t>
  </si>
  <si>
    <t>13,94</t>
  </si>
  <si>
    <t xml:space="preserve"> 00000266 </t>
  </si>
  <si>
    <t>ELETRODUTO DE FERRO ZINCADO LEVE 3/4" X 3M</t>
  </si>
  <si>
    <t>12,10</t>
  </si>
  <si>
    <t xml:space="preserve"> 22.17 </t>
  </si>
  <si>
    <t xml:space="preserve"> SDC07024 </t>
  </si>
  <si>
    <t>2,75</t>
  </si>
  <si>
    <t xml:space="preserve"> 00000058 </t>
  </si>
  <si>
    <t>ADAPTADOR PVC VERMELHO 3/4" PARA INCENDIO</t>
  </si>
  <si>
    <t>0,93</t>
  </si>
  <si>
    <t xml:space="preserve"> 22.20 </t>
  </si>
  <si>
    <t xml:space="preserve"> SDC07038 </t>
  </si>
  <si>
    <t>1.213,76</t>
  </si>
  <si>
    <t xml:space="preserve"> 00010885 </t>
  </si>
  <si>
    <t>CAIXA DE INCENDIO/ABRIGO PARA MANGUEIRA, DE EMBUTIR/INTERNA, COM 90 X 60 X 17 CM, EM CHAPA DE ACO, PORTA COM VENTILACAO, VISOR COM A INSCRICAO "INCENDIO", SUPORTE/CESTA INTERNA PARA A MANGUEIRA, PINTURA ELETROSTATICA VERMELHA</t>
  </si>
  <si>
    <t>272,19</t>
  </si>
  <si>
    <t xml:space="preserve"> 00010899 </t>
  </si>
  <si>
    <t>ADAPTADOR, EM LATAO, ENGATE RAPIDO 2 1/2" X ROSCA INTERNA 5 FIOS 2 1/2",  PARA INSTALACAO PREDIAL DE COMBATE A INCENDIO</t>
  </si>
  <si>
    <t>62,86</t>
  </si>
  <si>
    <t xml:space="preserve"> 00010902 </t>
  </si>
  <si>
    <t>ESGUICHO TIPO JATO SOLIDO, EM LATAO, ENGATE RAPIDO 1 1/2" X 13 MM, PARA MANGUEIRA EM INSTALACAO PREDIAL COMBATE A INCENDIO</t>
  </si>
  <si>
    <t>51,44</t>
  </si>
  <si>
    <t xml:space="preserve"> 00010904 </t>
  </si>
  <si>
    <t>REGISTRO OU VALVULA GLOBO ANGULAR EM LATAO, PARA HIDRANTES EM INSTALACAO PREDIAL DE INCENDIO, 45 GRAUS, DIAMETRO DE 2 1/2", COM VOLANTE, CLASSE DE PRESSAO DE ATE 200 PSI</t>
  </si>
  <si>
    <t>143,50</t>
  </si>
  <si>
    <t xml:space="preserve"> 00020972 </t>
  </si>
  <si>
    <t>REDUCAO FIXA TIPO STORZ, ENGATE RAPIDO 2.1/2" X 1.1/2", EM LATAO, PARA INSTALACAO PREDIAL COMBATE A INCENDIO PREDIAL</t>
  </si>
  <si>
    <t>102,49</t>
  </si>
  <si>
    <t xml:space="preserve"> 00021032 </t>
  </si>
  <si>
    <t>MANGUEIRA DE INCENDIO, TIPO 1, DE 1 1/2", COMPRIMENTO = 30 M, TECIDO EM FIO DE POLIESTER E TUBO INTERNO EM BORRACHA SINTETICA, COM UNIOES ENGATE RAPIDO</t>
  </si>
  <si>
    <t>451,96</t>
  </si>
  <si>
    <t xml:space="preserve"> 22.21 </t>
  </si>
  <si>
    <t xml:space="preserve"> SDC02037 </t>
  </si>
  <si>
    <t>434,90</t>
  </si>
  <si>
    <t>14,0</t>
  </si>
  <si>
    <t xml:space="preserve"> 00006243 </t>
  </si>
  <si>
    <t>TAMPAO FOFO SIMPLES COM BASE, CLASSE B125 CARGA MAX 12,5 T, REDONDO TAMPA 600 MM, REDE PLUVIAL/ESGOTO</t>
  </si>
  <si>
    <t>361,43</t>
  </si>
  <si>
    <t xml:space="preserve"> 22.25 </t>
  </si>
  <si>
    <t xml:space="preserve"> SDC07017 </t>
  </si>
  <si>
    <t>238,90</t>
  </si>
  <si>
    <t xml:space="preserve"> 00003146 </t>
  </si>
  <si>
    <t>FITA VEDA ROSCA EM ROLOS DE 18 MM X 10 M (L X C)</t>
  </si>
  <si>
    <t>0,282</t>
  </si>
  <si>
    <t>3,00</t>
  </si>
  <si>
    <t xml:space="preserve"> 00010905 </t>
  </si>
  <si>
    <t>TAMPAO COM CORRENTE, EM LATAO, ENGATE RAPIDO 2 1/2", PARA INSTALACAO PREDIAL DE COMBATE A INCENDIO</t>
  </si>
  <si>
    <t>75,16</t>
  </si>
  <si>
    <t xml:space="preserve"> 00020974 </t>
  </si>
  <si>
    <t>UNIAO TIPO STORZ, COM EMPATACAO INTERNA TIPO ANEL DE EXPANSAO, ENGATE RAPIDO 2 1/2", PARA MANGUEIRA DE COMBATE A INCENDIO PREDIAL</t>
  </si>
  <si>
    <t>125,73</t>
  </si>
  <si>
    <t xml:space="preserve"> 22.26 </t>
  </si>
  <si>
    <t xml:space="preserve"> SDC02266 </t>
  </si>
  <si>
    <t>120,93</t>
  </si>
  <si>
    <t xml:space="preserve"> 00007693 </t>
  </si>
  <si>
    <t>TUBO ACO GALVANIZADO COM COSTURA, CLASSE MEDIA, DN 4", E = 4,50* MM, PESO 12,10* KG/M (NBR 5580)</t>
  </si>
  <si>
    <t>1,01</t>
  </si>
  <si>
    <t>91,32</t>
  </si>
  <si>
    <t>2,07</t>
  </si>
  <si>
    <t xml:space="preserve"> 22.36 </t>
  </si>
  <si>
    <t xml:space="preserve"> SES055 </t>
  </si>
  <si>
    <t>118,17</t>
  </si>
  <si>
    <t>0,828</t>
  </si>
  <si>
    <t>0,035</t>
  </si>
  <si>
    <t xml:space="preserve"> 00003932 </t>
  </si>
  <si>
    <t>LUVA DE REDUCAO DE FERRO GALVANIZADO, COM ROSCA BSP, DE 4" X 2 1/2"</t>
  </si>
  <si>
    <t>91,02</t>
  </si>
  <si>
    <t xml:space="preserve"> 22.40 </t>
  </si>
  <si>
    <t xml:space="preserve"> SDC02270 </t>
  </si>
  <si>
    <t>5.047,34</t>
  </si>
  <si>
    <t>2,5</t>
  </si>
  <si>
    <t xml:space="preserve"> 703 </t>
  </si>
  <si>
    <t>BOMBA TRIFÁSICA 12CV - 220/380</t>
  </si>
  <si>
    <t>4.966,02</t>
  </si>
  <si>
    <t xml:space="preserve"> 22.42 </t>
  </si>
  <si>
    <t xml:space="preserve"> SES054 </t>
  </si>
  <si>
    <t>84,61</t>
  </si>
  <si>
    <t xml:space="preserve"> 840 </t>
  </si>
  <si>
    <t>68,35</t>
  </si>
  <si>
    <t xml:space="preserve"> 23.3 </t>
  </si>
  <si>
    <t xml:space="preserve"> SDC04120 </t>
  </si>
  <si>
    <t>515,65</t>
  </si>
  <si>
    <t>0,65</t>
  </si>
  <si>
    <t>1,14</t>
  </si>
  <si>
    <t xml:space="preserve"> 00000592 </t>
  </si>
  <si>
    <t>CANTONEIRA ALUMINIO ABAS IGUAIS 1 ", E = 1/8 ", 25,40 X 3,17 MM (0,408 KG/M)</t>
  </si>
  <si>
    <t>0,2448</t>
  </si>
  <si>
    <t>20,00</t>
  </si>
  <si>
    <t xml:space="preserve"> 00011795 </t>
  </si>
  <si>
    <t>GRANITO PARA BANCADA, POLIDO, TIPO ANDORINHA/ QUARTZ/ CASTELO/ CORUMBA OU OUTROS EQUIVALENTES DA REGIAO, E=  *2,5* CM</t>
  </si>
  <si>
    <t>483,01</t>
  </si>
  <si>
    <t xml:space="preserve"> 23.4 </t>
  </si>
  <si>
    <t xml:space="preserve"> SES036 </t>
  </si>
  <si>
    <t>52,99</t>
  </si>
  <si>
    <t xml:space="preserve"> 00010851 </t>
  </si>
  <si>
    <t>PLACA DE ACRILICO TRANSPARENTE ADESIVADA PARA SINALIZACAO DE PORTAS, BORDA POLIDA, DE *25 X 8*, E = 6 MM (NAO INCLUI ACESSORIOS PARA FIXACAO)</t>
  </si>
  <si>
    <t>46,45</t>
  </si>
  <si>
    <t xml:space="preserve"> 00004358 </t>
  </si>
  <si>
    <t>PARAFUSO DE LATAO COM ROSCA SOBERBA, CABECA CHATA E FENDA SIMPLES, DIAMETRO 4,8 MM, COMPRIMENTO 65 MM</t>
  </si>
  <si>
    <t>1,07</t>
  </si>
  <si>
    <t xml:space="preserve"> 24.1 </t>
  </si>
  <si>
    <t xml:space="preserve"> SDC04009 </t>
  </si>
  <si>
    <t xml:space="preserve"> 00036081 </t>
  </si>
  <si>
    <t>BARRA DE APOIO RETA, EM ACO INOX POLIDO, COMPRIMENTO 80CM, DIAMETRO MINIMO 3 CM</t>
  </si>
  <si>
    <t>206,99</t>
  </si>
  <si>
    <t xml:space="preserve"> 24.2 </t>
  </si>
  <si>
    <t xml:space="preserve"> SDC04031 </t>
  </si>
  <si>
    <t>145,90</t>
  </si>
  <si>
    <t xml:space="preserve"> 00000075 </t>
  </si>
  <si>
    <t>BARRA DE APOIO INOX 40CM</t>
  </si>
  <si>
    <t>129,95</t>
  </si>
  <si>
    <t xml:space="preserve"> 24.3 </t>
  </si>
  <si>
    <t xml:space="preserve"> SDC04004 </t>
  </si>
  <si>
    <t>118,57</t>
  </si>
  <si>
    <t xml:space="preserve"> 00000186 </t>
  </si>
  <si>
    <t>PLACA DE PORTA EM PVC 2MM, SUPERFÍCIE REVESTIDA COM ADESIVO PVC CINZA (REF. COR PANTONE 420 C), BRAILE APLICADO ABAIXO DOS TEXTOS VISUAIS E TÁTEIS, DIMENSÕES 30X10CM</t>
  </si>
  <si>
    <t>115,00</t>
  </si>
  <si>
    <t xml:space="preserve"> 24.4 </t>
  </si>
  <si>
    <t xml:space="preserve"> SDC04010 </t>
  </si>
  <si>
    <t>174,98</t>
  </si>
  <si>
    <t xml:space="preserve"> 88256 </t>
  </si>
  <si>
    <t>AZULEJISTA OU LADRILHISTA COM ENCARGOS COMPLEMENTARES</t>
  </si>
  <si>
    <t>1,6</t>
  </si>
  <si>
    <t>1,25</t>
  </si>
  <si>
    <t xml:space="preserve"> 00001106 </t>
  </si>
  <si>
    <t>CAL HIDRATADA CH-I PARA ARGAMASSAS</t>
  </si>
  <si>
    <t>2,73</t>
  </si>
  <si>
    <t>0,56</t>
  </si>
  <si>
    <t>0,0182</t>
  </si>
  <si>
    <t>2,8</t>
  </si>
  <si>
    <t xml:space="preserve"> 00000185 </t>
  </si>
  <si>
    <t>PISO TÁTIL EM CONCRETO, 25X25CM - DIRECIONAL E E ALERTA</t>
  </si>
  <si>
    <t>17,6</t>
  </si>
  <si>
    <t>7,10</t>
  </si>
  <si>
    <t>Reforma e adequação do antigo CRIDAC para novas instalações do CEOPE, Farmácia de Alto Custo e Escritório Regional de Saúde de Cuiabá.</t>
  </si>
  <si>
    <t>Rua Joaquim Murtinho 1556 - Bairro: Centro Sul</t>
  </si>
  <si>
    <t xml:space="preserve">SDC02002 </t>
  </si>
  <si>
    <t>ORSE 1083</t>
  </si>
  <si>
    <t>Tipo</t>
  </si>
  <si>
    <t>INHI - INSTALAÇÕES HIDROS SANITÁRIAS</t>
  </si>
  <si>
    <t>ORSE 1085</t>
  </si>
  <si>
    <t>SEINFRA C3586</t>
  </si>
  <si>
    <t>ORSE 1666</t>
  </si>
  <si>
    <t>ORSE 1072</t>
  </si>
  <si>
    <t>ORSE 1074</t>
  </si>
  <si>
    <t>ORSE 1075</t>
  </si>
  <si>
    <t>ORSE 1081</t>
  </si>
  <si>
    <t>ORSE 1084</t>
  </si>
  <si>
    <t>ORSE 1144</t>
  </si>
  <si>
    <t>RODAPE PRE-MOLDADO DE GRANILITE L = 10 CM</t>
  </si>
  <si>
    <t>SEINFRA C2246</t>
  </si>
  <si>
    <t>PISO - PISOS</t>
  </si>
  <si>
    <t>SINAPI 74141/002</t>
  </si>
  <si>
    <t>FUES - FUNDAÇÕES E ESTRUTURAS</t>
  </si>
  <si>
    <t>SIURB-SP 15505</t>
  </si>
  <si>
    <t>SIURB-SP 15512</t>
  </si>
  <si>
    <t>SINAPI 73838/001</t>
  </si>
  <si>
    <t>ESQV - ESQUADRIAS/FERRAGENS/VIDROS</t>
  </si>
  <si>
    <t>IOPES 160322</t>
  </si>
  <si>
    <t>INEL - INSTALAÇÃO ELÉTRICA/ELETRIFICAÇÃO E ILUMINAÇÃO EXTERNA</t>
  </si>
  <si>
    <t xml:space="preserve">SINAPI 73953/002 </t>
  </si>
  <si>
    <t>CPOS 40.02.040</t>
  </si>
  <si>
    <t>SINAPI 95752</t>
  </si>
  <si>
    <t>SINAPI 92670</t>
  </si>
  <si>
    <t>IOPES 010225</t>
  </si>
  <si>
    <t>SERP - SERVIÇOS PRELIMINARES</t>
  </si>
  <si>
    <t>DEMOLIÇÃO DE FORRO DE RIPAS DE MADEIRA</t>
  </si>
  <si>
    <t>ORSE 12</t>
  </si>
  <si>
    <t>DEMOLIÇÃO MANUAL DE PISO EM CONCRETO SIMPLES 10CM DE ESPESSURA</t>
  </si>
  <si>
    <t>SINAPI 73616</t>
  </si>
  <si>
    <t>SAOP-MT CB0093</t>
  </si>
  <si>
    <t>ORSE 1661</t>
  </si>
  <si>
    <t>COTAÇÃO DE MERCADO</t>
  </si>
  <si>
    <t>SEDI - SERVIÇOS DIVERSOS</t>
  </si>
  <si>
    <t>SETOP ACE-BAR-005</t>
  </si>
  <si>
    <t>SEINFRA C4624</t>
  </si>
  <si>
    <t>ORSE 10620</t>
  </si>
  <si>
    <t>SUDECAP 13.40.59</t>
  </si>
  <si>
    <t>SINAPI 73607</t>
  </si>
  <si>
    <t>ORSE 9045</t>
  </si>
  <si>
    <t xml:space="preserve">LOCAÇÃO DE CONTAINER 2,30 X 4,30 M, ALT. 2,50 M, PARA SANITARIO, COM 3 BACIAS, 4 CHUVEIROS, 1 LAVATORIO E 1 MICTORIO </t>
  </si>
  <si>
    <t>ORSE 4656</t>
  </si>
  <si>
    <t>CANT - CANTEIRO DE OBRAS</t>
  </si>
  <si>
    <t>SEINFRA - C1622</t>
  </si>
  <si>
    <t>SEDOP 241468</t>
  </si>
  <si>
    <t>IOPES 160612</t>
  </si>
  <si>
    <t>ORSE 7861</t>
  </si>
  <si>
    <t>INES - INSTALAÇÕES ESPECIAIS</t>
  </si>
  <si>
    <t>ORSE 8503</t>
  </si>
  <si>
    <t>ORSE 8058</t>
  </si>
  <si>
    <t>ORSE 8693</t>
  </si>
  <si>
    <t>FORNECIMENTO E INSTALAÇÃO DE ADAPTADOR STORZ PARA ENGATE RAPIDO 2.1/2 X 2.1/2 COM TAMPÃO E CORRENTE</t>
  </si>
  <si>
    <t>ORSE 1510</t>
  </si>
  <si>
    <t xml:space="preserve"> SDC03085</t>
  </si>
  <si>
    <t>SAOP-MT CP0304</t>
  </si>
  <si>
    <t xml:space="preserve"> SDC03071</t>
  </si>
  <si>
    <t>SEDOP 171344</t>
  </si>
  <si>
    <t xml:space="preserve"> SDC03072</t>
  </si>
  <si>
    <t>ORSE 8998</t>
  </si>
  <si>
    <t xml:space="preserve"> SDC03128</t>
  </si>
  <si>
    <t>ORSE 8739</t>
  </si>
  <si>
    <t xml:space="preserve"> SDC07038</t>
  </si>
  <si>
    <t>SINAPI 72284</t>
  </si>
  <si>
    <t xml:space="preserve"> SDC02050</t>
  </si>
  <si>
    <t>ORSE 4283</t>
  </si>
  <si>
    <t>SINAPI 95811</t>
  </si>
  <si>
    <t>SINAPI 91884</t>
  </si>
  <si>
    <t xml:space="preserve"> SDC07024</t>
  </si>
  <si>
    <t>ORSE 1521</t>
  </si>
  <si>
    <t>SBC 61359</t>
  </si>
  <si>
    <t>SBC 59442</t>
  </si>
  <si>
    <t>SEDOP 171185</t>
  </si>
  <si>
    <t xml:space="preserve"> SDC03139</t>
  </si>
  <si>
    <t>ORSE 8894</t>
  </si>
  <si>
    <t xml:space="preserve"> SDC02110</t>
  </si>
  <si>
    <t>CURVA LONGA 45 GRAUS, PVC, SERIE NORMAL, ESGOTO PREDIAL, DN 75 MM, JUNTA ELÁSTICA, FORNECIDO E INSTALADO EM RAMAL DE DESCARGA OU RAMAL DE ESGOTO SANITÁRIO. AF_12/2014</t>
  </si>
  <si>
    <t>ORSE 1620</t>
  </si>
  <si>
    <t>SINAPI 79627</t>
  </si>
  <si>
    <t>CONCRETO USINADO BOMBEAVEL, CLASSE CONCRETO USINADO BOMBEAVEL, CLASSE DE RESISTENCIA C25, COM BRITA 0 E 1, SLUMP = 100 +/- 20 MM, BOMBEADO, LANÇADO E ADENSADO EM ESTRUTURA.</t>
  </si>
  <si>
    <t>ORSE 98</t>
  </si>
  <si>
    <t xml:space="preserve">REVE - REVESTIMENTO E TRATAMENTO DE SUPERFÍCIES </t>
  </si>
  <si>
    <t>M3</t>
  </si>
  <si>
    <t xml:space="preserve">LUVA COM BUCHA DE LATÃO, PVC, SOLDÁVEL, DN 25MM X 1/2 </t>
  </si>
  <si>
    <t>SINAPI 89980</t>
  </si>
  <si>
    <t>ASTU - ASSENTAMENTO DE TUBOS E PECAS</t>
  </si>
  <si>
    <t xml:space="preserve"> SDC07018</t>
  </si>
  <si>
    <t>SEINFRA C1205</t>
  </si>
  <si>
    <t xml:space="preserve"> SDC01228</t>
  </si>
  <si>
    <t>SUDECAP 65.01.02</t>
  </si>
  <si>
    <t xml:space="preserve"> SDC05008</t>
  </si>
  <si>
    <t>SINAPI 41598</t>
  </si>
  <si>
    <t>CONCRETAGEM DE BLOCOS DE COROAMENTO E VIGAS BALDRAMES, FCK 25 MPA, COM USO DE BOMBA  LANÇAMENTO, ADENSAMENTO E ACABAMENTO</t>
  </si>
  <si>
    <t>SINAPI 96557</t>
  </si>
  <si>
    <t>ORSE 892</t>
  </si>
  <si>
    <t>SINAPI 91836</t>
  </si>
  <si>
    <t>ORSE 9811</t>
  </si>
  <si>
    <t>SINAPI 72774</t>
  </si>
  <si>
    <t xml:space="preserve"> SDC04120</t>
  </si>
  <si>
    <t>ORSE 10759</t>
  </si>
  <si>
    <t>orse 8356</t>
  </si>
  <si>
    <t>SES003</t>
  </si>
  <si>
    <t>DUTO AÉREO PERFURADO "U" 200X100MM</t>
  </si>
  <si>
    <t>orse 763</t>
  </si>
  <si>
    <t>SES016</t>
  </si>
  <si>
    <t>CURVA VERTICAL INTERNA 90 "U" 200X100MM</t>
  </si>
  <si>
    <t>orse 11289</t>
  </si>
  <si>
    <t>SES008</t>
  </si>
  <si>
    <t>TÊ HORIZONTAL 90 "U" 200X100MM</t>
  </si>
  <si>
    <t>orse 11927</t>
  </si>
  <si>
    <t>SES009</t>
  </si>
  <si>
    <t>sinapi 74130/010</t>
  </si>
  <si>
    <t>SES022</t>
  </si>
  <si>
    <t>orse 11307</t>
  </si>
  <si>
    <t>SES017</t>
  </si>
  <si>
    <t>GUIA CABO 19" HORIZONTAL FECHADO 1U X 50MM</t>
  </si>
  <si>
    <t>orse 520</t>
  </si>
  <si>
    <t>SES024</t>
  </si>
  <si>
    <t>orse 8690</t>
  </si>
  <si>
    <t>SES019</t>
  </si>
  <si>
    <t>ORSE 12165</t>
  </si>
  <si>
    <t>SES020</t>
  </si>
  <si>
    <t>CPOS SP  - 66.08.620</t>
  </si>
  <si>
    <t>SES021</t>
  </si>
  <si>
    <t>CPOS SP  - 66.08.350</t>
  </si>
  <si>
    <t>SES031</t>
  </si>
  <si>
    <t>COTAÇÃO</t>
  </si>
  <si>
    <t>SES032</t>
  </si>
  <si>
    <t>SETOP PLA-ALU-035</t>
  </si>
  <si>
    <t>SETOP ELE-CXS-019</t>
  </si>
  <si>
    <t>SES046</t>
  </si>
  <si>
    <t>FORNECIMENTO E INSTALAÇÃO DE CONECTOR RJ45 FEMEA CAT6 PARA CONDULETE</t>
  </si>
  <si>
    <t>SETOP CAB-CON-005</t>
  </si>
  <si>
    <t>ORSE 7841</t>
  </si>
  <si>
    <t xml:space="preserve"> INES - INSTALAÇÕES ESPECIAIS</t>
  </si>
  <si>
    <t>SES048</t>
  </si>
  <si>
    <t>CANALETA EM PVC PARA INSTALAÇÃO ELÉTRICA APARENTE, INCLUSIVE CONEXÕES, DIMENSÕES 50 X 20 MM</t>
  </si>
  <si>
    <t>SETOP ELE-CAN-010</t>
  </si>
  <si>
    <t>ORSE 11978</t>
  </si>
  <si>
    <t>SINAPI 92937</t>
  </si>
  <si>
    <t>CPOS 38.21.310</t>
  </si>
  <si>
    <t>ORSE 8701</t>
  </si>
  <si>
    <t>ORSE 8687</t>
  </si>
  <si>
    <t>SINAPI 89750</t>
  </si>
  <si>
    <t>TCPO 16.011.000003.SER</t>
  </si>
  <si>
    <t>SINAPI  73768/14</t>
  </si>
  <si>
    <t>SBC 68213</t>
  </si>
  <si>
    <t xml:space="preserve">SBC  059460 </t>
  </si>
  <si>
    <t>AÇOFER INDÚSTRIA E COMÉRCIO LTDA</t>
  </si>
  <si>
    <t>03.989.217/0002-45</t>
  </si>
  <si>
    <t>HELTON</t>
  </si>
  <si>
    <t>1KG</t>
  </si>
  <si>
    <t>FERMAT</t>
  </si>
  <si>
    <t>03.658.692/0004-09</t>
  </si>
  <si>
    <t>MARIELE</t>
  </si>
  <si>
    <t>PERFILADOS MULTIAÇO</t>
  </si>
  <si>
    <t>02.019.067/0001-01</t>
  </si>
  <si>
    <t>DALVA</t>
  </si>
  <si>
    <t>LAJE TRELIÇADA</t>
  </si>
  <si>
    <t>3637-1329</t>
  </si>
  <si>
    <t>LAJES PONTUAL</t>
  </si>
  <si>
    <t>3M COMERCIO DE MATERIAIS ELÉTRICOS</t>
  </si>
  <si>
    <t>37.470.911/0001-92</t>
  </si>
  <si>
    <t>PATRICIA</t>
  </si>
  <si>
    <t>SÓ LED PAINÉIS E ILUMINAÇÃO</t>
  </si>
  <si>
    <t>18.453.093/0001-75</t>
  </si>
  <si>
    <t>CAMILA</t>
  </si>
  <si>
    <t>ELETRODUTO ZINCADO 3/4"</t>
  </si>
  <si>
    <t>Selco Comercio de Materiais Elétricos Ltda</t>
  </si>
  <si>
    <t>07.624.206/0001-31</t>
  </si>
  <si>
    <t>3027-9000</t>
  </si>
  <si>
    <t>Ricardo</t>
  </si>
  <si>
    <t>MOURA HIDRAULICA E ELÉTRICA</t>
  </si>
  <si>
    <t>08.954.892/0001-71</t>
  </si>
  <si>
    <t>Pizzatto</t>
  </si>
  <si>
    <t>Cláudio</t>
  </si>
  <si>
    <t>CURVA P/ELETRODUTO ZINCADO 3/4"</t>
  </si>
  <si>
    <t>RICARDO</t>
  </si>
  <si>
    <t>PLUGMAIS</t>
  </si>
  <si>
    <t>07.388.781/0001-82</t>
  </si>
  <si>
    <t>3648-5700</t>
  </si>
  <si>
    <t>FONECOM</t>
  </si>
  <si>
    <t>20.106.443/0001-79</t>
  </si>
  <si>
    <t>3026-3918</t>
  </si>
  <si>
    <t>EDGAR</t>
  </si>
  <si>
    <t>MTTI ENGENHARIA</t>
  </si>
  <si>
    <t>99972-0536</t>
  </si>
  <si>
    <t>JONATAS</t>
  </si>
  <si>
    <t>PLACA DE PORTA EM PVC, BRAILE 30X10CM</t>
  </si>
  <si>
    <t>Emplaca Comunicação Visual</t>
  </si>
  <si>
    <t>17.786.657/0001-29</t>
  </si>
  <si>
    <t>Maria José</t>
  </si>
  <si>
    <t>TOTAL ACESSIBILIDADE</t>
  </si>
  <si>
    <t>12.127.024/0001-95</t>
  </si>
  <si>
    <t>67 4042-1953</t>
  </si>
  <si>
    <t>ALINE</t>
  </si>
  <si>
    <t>Imaginário Mídia Visual e Eventos</t>
  </si>
  <si>
    <t>17.856.736/0001-69</t>
  </si>
  <si>
    <t>GEOBLOCOS</t>
  </si>
  <si>
    <t>13.537.179/0001-62</t>
  </si>
  <si>
    <t>3667-4802</t>
  </si>
  <si>
    <t>MARIA</t>
  </si>
  <si>
    <t>CASTELLI</t>
  </si>
  <si>
    <t>LAURIANO</t>
  </si>
  <si>
    <t>1130429886</t>
  </si>
  <si>
    <t>ELETRO FIOS</t>
  </si>
  <si>
    <t>3618-2500</t>
  </si>
  <si>
    <t>JAQUESON</t>
  </si>
  <si>
    <t>MULTICASA</t>
  </si>
  <si>
    <t>15.036.858/0001-83</t>
  </si>
  <si>
    <t>3618-1551</t>
  </si>
  <si>
    <t>CAROLINE</t>
  </si>
  <si>
    <t>Todimo</t>
  </si>
  <si>
    <t>15.375.991/0003-26</t>
  </si>
  <si>
    <t>3617-5000</t>
  </si>
  <si>
    <t>Erika</t>
  </si>
  <si>
    <t>Plugmais</t>
  </si>
  <si>
    <t>SELCO COMERCIO DE MATERIAIS ELÉTRICOS LTDA</t>
  </si>
  <si>
    <t>04.181.115/0001-80</t>
  </si>
  <si>
    <t>HIDRO E ELÉTRICA MOURA LTDA EPP</t>
  </si>
  <si>
    <t>CONDULETE DE PVC, VERMELHO, PARA INCENDIO 3/4"</t>
  </si>
  <si>
    <t>Hidro Elétrica Moura</t>
  </si>
  <si>
    <t>3321-0009</t>
  </si>
  <si>
    <t>Carla</t>
  </si>
  <si>
    <t>Prhimel</t>
  </si>
  <si>
    <t>04.770.552/0001-30</t>
  </si>
  <si>
    <t>3388-3800</t>
  </si>
  <si>
    <t>Jullian</t>
  </si>
  <si>
    <t>Petel</t>
  </si>
  <si>
    <t>22.760.075/0001-30</t>
  </si>
  <si>
    <t>3634-1717</t>
  </si>
  <si>
    <t>Thiago</t>
  </si>
  <si>
    <t>PETEL MATERIAIS ELÉTRICOS</t>
  </si>
  <si>
    <t>22.760.075/0001-03</t>
  </si>
  <si>
    <t>THIAGO</t>
  </si>
  <si>
    <t>CARLA</t>
  </si>
  <si>
    <t>PHIMEL ELÉTRICA E HIDRÁULICA EIRELI - ME</t>
  </si>
  <si>
    <t>JULLIAN</t>
  </si>
  <si>
    <t>DUTO CORRUGADO FLEXIVEL 1"</t>
  </si>
  <si>
    <t>DUTO CORRUGADO FLEXIVEL EM PEAD D=4"</t>
  </si>
  <si>
    <t>HIDRO MOURA</t>
  </si>
  <si>
    <t>MERCADÃO DOS TUBOS</t>
  </si>
  <si>
    <t>3627-5030</t>
  </si>
  <si>
    <t>PAULO</t>
  </si>
  <si>
    <t>TODIMO</t>
  </si>
  <si>
    <t>SILVIA</t>
  </si>
  <si>
    <t>SOLOTECNICA ENGENHARIA E SONDAGENS</t>
  </si>
  <si>
    <t>3634-4955</t>
  </si>
  <si>
    <t>ELIEZER</t>
  </si>
  <si>
    <t>NACON SONDAGENS</t>
  </si>
  <si>
    <t>20.269.958/0001-90</t>
  </si>
  <si>
    <t>3621-4600</t>
  </si>
  <si>
    <t>FREDERICO</t>
  </si>
  <si>
    <t>FUNSOLOS CONSTRUTORA E ENGENHARIA LTDA</t>
  </si>
  <si>
    <t>3637-5900</t>
  </si>
  <si>
    <t>CASA DAS BOMBAS</t>
  </si>
  <si>
    <t>(65) 3322-4101</t>
  </si>
  <si>
    <t>José Carlos</t>
  </si>
  <si>
    <t>MATO EQUIPAM. DE SEGURANÇA LTDA.</t>
  </si>
  <si>
    <t>27.244.187/00014-25</t>
  </si>
  <si>
    <t>(65) 3622-3000</t>
  </si>
  <si>
    <t>Lorena</t>
  </si>
  <si>
    <t>HIDRÁULICA E ELÉTRICA</t>
  </si>
  <si>
    <t>(65) 3321-0009</t>
  </si>
  <si>
    <t>REDE DISTRIBUIDORA</t>
  </si>
  <si>
    <t>11.138.453/0001-03</t>
  </si>
  <si>
    <t>3634-6949</t>
  </si>
  <si>
    <t>NELIZE</t>
  </si>
  <si>
    <t>PIZZATO</t>
  </si>
  <si>
    <t>3652-4200</t>
  </si>
  <si>
    <t>THOMAS</t>
  </si>
  <si>
    <t>SELCO</t>
  </si>
  <si>
    <t>VICTOR</t>
  </si>
  <si>
    <t>PC</t>
  </si>
  <si>
    <t>HIDRO ELETRICA MOURA</t>
  </si>
  <si>
    <t>15.987.913/0001-10</t>
  </si>
  <si>
    <t>MT DISTRIBUIDORA</t>
  </si>
  <si>
    <t>12.606.929/0001-48</t>
  </si>
  <si>
    <t>3046-4282</t>
  </si>
  <si>
    <t>ELIAS</t>
  </si>
  <si>
    <t>PPA CUIABÁ</t>
  </si>
  <si>
    <t>29.393.900/0001-28</t>
  </si>
  <si>
    <t>3052-9999</t>
  </si>
  <si>
    <t>LETICIA</t>
  </si>
  <si>
    <t xml:space="preserve">NG SAT </t>
  </si>
  <si>
    <t>26.609.693/0001-08</t>
  </si>
  <si>
    <t>3055-5500</t>
  </si>
  <si>
    <t>JOÃO VICTOR</t>
  </si>
  <si>
    <t xml:space="preserve">HARD DISK 8TB 7200 RPM </t>
  </si>
  <si>
    <t>MTG-SERVICE</t>
  </si>
  <si>
    <t>17.545.927/0001-00</t>
  </si>
  <si>
    <t>3025-2009</t>
  </si>
  <si>
    <t>MICHEL</t>
  </si>
  <si>
    <t xml:space="preserve">SONARE SOLUÇÕES EM ENERGIA </t>
  </si>
  <si>
    <t>15.356.635/0001-01</t>
  </si>
  <si>
    <t>3321-3284</t>
  </si>
  <si>
    <t>LUCAS</t>
  </si>
  <si>
    <t>NTI SERVICE</t>
  </si>
  <si>
    <t>14.189.825/0001-00</t>
  </si>
  <si>
    <t>3027-3926</t>
  </si>
  <si>
    <t xml:space="preserve">ELETRICA PARANA </t>
  </si>
  <si>
    <t>08.139.615/0001-06</t>
  </si>
  <si>
    <t>(65) 3388-0801</t>
  </si>
  <si>
    <t>FELIPE BUENO</t>
  </si>
  <si>
    <t>UND.</t>
  </si>
  <si>
    <t>(65) 3648-5700</t>
  </si>
  <si>
    <t>29.382.143/0001-97</t>
  </si>
  <si>
    <t>(65) 3634-6949</t>
  </si>
  <si>
    <t>PETEL</t>
  </si>
  <si>
    <t>(65) 3634-1717</t>
  </si>
  <si>
    <t>Eder</t>
  </si>
  <si>
    <t>Hidro e Elétrica Moura</t>
  </si>
  <si>
    <t>Contra Fogo</t>
  </si>
  <si>
    <t>27.244.187/0001-25</t>
  </si>
  <si>
    <t>Douglas</t>
  </si>
  <si>
    <t>ses011</t>
  </si>
  <si>
    <t>ELETROCALHA PERF. 100X100X3000MM</t>
  </si>
  <si>
    <t>3052-4200</t>
  </si>
  <si>
    <t>BR</t>
  </si>
  <si>
    <t>DIRCEU</t>
  </si>
  <si>
    <t>ELÉTRICA PARANÁ</t>
  </si>
  <si>
    <t>08.139.615/0001-05</t>
  </si>
  <si>
    <t>3388-0800</t>
  </si>
  <si>
    <t>FAGNER</t>
  </si>
  <si>
    <t>ses010</t>
  </si>
  <si>
    <t>CURVA ELET. HORIZ. LISA 90° 100X100MM</t>
  </si>
  <si>
    <t>ses012</t>
  </si>
  <si>
    <t>TÊ ELET. HORIZ. 90° 100X100MM</t>
  </si>
  <si>
    <t>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</si>
</sst>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"/>
    <numFmt numFmtId="166" formatCode="&quot;R$&quot;#,##0.00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 Light"/>
      <family val="2"/>
    </font>
    <font>
      <sz val="11"/>
      <color theme="1"/>
      <name val="Calibri Light"/>
      <family val="2"/>
    </font>
    <font>
      <b/>
      <sz val="9"/>
      <color rgb="FFFFFFFF"/>
      <name val="Calibri Light"/>
      <family val="2"/>
    </font>
    <font>
      <b/>
      <sz val="9"/>
      <color rgb="FF000000"/>
      <name val="Calibri Light"/>
      <family val="2"/>
    </font>
    <font>
      <sz val="9"/>
      <color rgb="FF00000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i/>
      <sz val="9"/>
      <color theme="1"/>
      <name val="Calibri Light"/>
      <family val="2"/>
    </font>
    <font>
      <sz val="10"/>
      <name val="Arial"/>
      <family val="2"/>
    </font>
    <font>
      <b/>
      <sz val="11"/>
      <color theme="0"/>
      <name val="Calibri Light"/>
      <family val="2"/>
    </font>
    <font>
      <sz val="10"/>
      <name val="Calibri Light"/>
      <family val="2"/>
    </font>
    <font>
      <b/>
      <sz val="11"/>
      <color theme="1"/>
      <name val="Calibri Light"/>
      <family val="2"/>
    </font>
    <font>
      <b/>
      <sz val="10"/>
      <color rgb="FFFF0000"/>
      <name val="Calibri Light"/>
      <family val="2"/>
    </font>
    <font>
      <b/>
      <sz val="12"/>
      <color theme="0"/>
      <name val="Calibri Light"/>
      <family val="2"/>
    </font>
    <font>
      <b/>
      <i/>
      <sz val="8"/>
      <color theme="1"/>
      <name val="Calibri Light"/>
      <family val="2"/>
    </font>
    <font>
      <i/>
      <sz val="8"/>
      <color theme="1"/>
      <name val="Calibri Light"/>
      <family val="2"/>
    </font>
    <font>
      <b/>
      <i/>
      <sz val="8"/>
      <color indexed="8"/>
      <name val="Calibri Light"/>
      <family val="2"/>
    </font>
    <font>
      <i/>
      <sz val="8"/>
      <color indexed="8"/>
      <name val="Calibri Light"/>
      <family val="2"/>
    </font>
    <font>
      <b/>
      <i/>
      <sz val="10"/>
      <color rgb="FFFF0000"/>
      <name val="Calibri Light"/>
      <family val="2"/>
    </font>
    <font>
      <b/>
      <i/>
      <sz val="10"/>
      <name val="Calibri Light"/>
      <family val="2"/>
    </font>
    <font>
      <i/>
      <sz val="11"/>
      <color rgb="FFFF0000"/>
      <name val="Calibri Light"/>
      <family val="2"/>
    </font>
    <font>
      <i/>
      <sz val="11"/>
      <color indexed="10"/>
      <name val="Calibri Light"/>
      <family val="2"/>
    </font>
    <font>
      <sz val="11"/>
      <color rgb="FFFF0000"/>
      <name val="Calibri Light"/>
      <family val="2"/>
    </font>
    <font>
      <sz val="11"/>
      <name val="Arial"/>
      <family val="1"/>
    </font>
    <font>
      <b/>
      <sz val="11"/>
      <name val="Arial"/>
      <family val="1"/>
    </font>
    <font>
      <b/>
      <sz val="12"/>
      <name val="Arial"/>
      <family val="1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8"/>
      <name val="Arial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3"/>
      <name val="Calibri"/>
      <family val="2"/>
    </font>
    <font>
      <b/>
      <sz val="11"/>
      <name val="Calibri"/>
      <family val="2"/>
    </font>
    <font>
      <b/>
      <sz val="15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9"/>
      <color rgb="FF333333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8"/>
      <name val="Arial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Cambria"/>
      <family val="2"/>
      <scheme val="major"/>
    </font>
    <font>
      <b/>
      <sz val="10"/>
      <name val="Arial"/>
      <family val="2"/>
    </font>
    <font>
      <sz val="9"/>
      <color theme="1"/>
      <name val="Calibri Light"/>
      <family val="2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</patternFill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DFF0D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200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81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DDDDDD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7" fillId="0" borderId="0"/>
    <xf numFmtId="0" fontId="12" fillId="0" borderId="0"/>
    <xf numFmtId="0" fontId="63" fillId="0" borderId="0"/>
  </cellStyleXfs>
  <cellXfs count="655">
    <xf numFmtId="0" fontId="0" fillId="0" borderId="0" xfId="0"/>
    <xf numFmtId="0" fontId="0" fillId="4" borderId="0" xfId="0" applyFill="1"/>
    <xf numFmtId="0" fontId="5" fillId="0" borderId="0" xfId="0" applyFont="1" applyBorder="1"/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10" fontId="8" fillId="0" borderId="0" xfId="0" applyNumberFormat="1" applyFont="1" applyBorder="1" applyAlignment="1">
      <alignment horizontal="center" vertical="center"/>
    </xf>
    <xf numFmtId="10" fontId="8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10" fontId="7" fillId="0" borderId="16" xfId="0" applyNumberFormat="1" applyFont="1" applyBorder="1" applyAlignment="1">
      <alignment horizontal="center" vertical="center"/>
    </xf>
    <xf numFmtId="10" fontId="7" fillId="0" borderId="17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9" fontId="5" fillId="0" borderId="0" xfId="3" applyFont="1" applyBorder="1"/>
    <xf numFmtId="10" fontId="5" fillId="0" borderId="0" xfId="0" applyNumberFormat="1" applyFont="1" applyBorder="1"/>
    <xf numFmtId="10" fontId="6" fillId="5" borderId="11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10" fontId="10" fillId="0" borderId="0" xfId="3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1" applyNumberFormat="1" applyFont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left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43" fontId="10" fillId="6" borderId="0" xfId="0" applyNumberFormat="1" applyFont="1" applyFill="1" applyBorder="1" applyAlignment="1">
      <alignment vertical="center" wrapText="1"/>
    </xf>
    <xf numFmtId="10" fontId="10" fillId="6" borderId="0" xfId="3" applyNumberFormat="1" applyFont="1" applyFill="1" applyBorder="1" applyAlignment="1">
      <alignment vertical="center" wrapText="1"/>
    </xf>
    <xf numFmtId="10" fontId="10" fillId="4" borderId="0" xfId="0" applyNumberFormat="1" applyFont="1" applyFill="1" applyBorder="1" applyAlignment="1">
      <alignment vertical="center" wrapText="1"/>
    </xf>
    <xf numFmtId="10" fontId="10" fillId="4" borderId="0" xfId="3" applyNumberFormat="1" applyFont="1" applyFill="1" applyBorder="1" applyAlignment="1">
      <alignment vertical="center" wrapText="1"/>
    </xf>
    <xf numFmtId="43" fontId="10" fillId="4" borderId="0" xfId="0" applyNumberFormat="1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right" vertical="center" wrapText="1"/>
    </xf>
    <xf numFmtId="43" fontId="9" fillId="0" borderId="26" xfId="0" applyNumberFormat="1" applyFont="1" applyBorder="1" applyAlignment="1">
      <alignment horizontal="center" vertical="center" wrapText="1"/>
    </xf>
    <xf numFmtId="10" fontId="9" fillId="0" borderId="26" xfId="1" applyNumberFormat="1" applyFont="1" applyBorder="1" applyAlignment="1">
      <alignment horizontal="center" vertical="center" wrapText="1"/>
    </xf>
    <xf numFmtId="10" fontId="9" fillId="0" borderId="26" xfId="3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43" fontId="10" fillId="0" borderId="26" xfId="1" applyFont="1" applyBorder="1" applyAlignment="1">
      <alignment horizontal="right" vertical="center" wrapText="1"/>
    </xf>
    <xf numFmtId="9" fontId="10" fillId="0" borderId="0" xfId="3" applyFont="1" applyBorder="1" applyAlignment="1">
      <alignment vertical="center" wrapText="1"/>
    </xf>
    <xf numFmtId="43" fontId="10" fillId="0" borderId="0" xfId="0" applyNumberFormat="1" applyFont="1" applyBorder="1" applyAlignment="1">
      <alignment horizontal="center" vertical="center" wrapText="1"/>
    </xf>
    <xf numFmtId="43" fontId="10" fillId="0" borderId="0" xfId="1" applyFont="1" applyBorder="1" applyAlignment="1">
      <alignment horizontal="right" vertical="center" wrapText="1"/>
    </xf>
    <xf numFmtId="0" fontId="9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 wrapText="1"/>
    </xf>
    <xf numFmtId="164" fontId="10" fillId="4" borderId="0" xfId="4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7" fontId="10" fillId="0" borderId="19" xfId="0" applyNumberFormat="1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1" applyNumberFormat="1" applyFont="1" applyBorder="1" applyAlignment="1">
      <alignment horizontal="center" vertical="center" wrapText="1"/>
    </xf>
    <xf numFmtId="10" fontId="10" fillId="0" borderId="0" xfId="3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right" vertical="center" wrapText="1"/>
    </xf>
    <xf numFmtId="10" fontId="9" fillId="0" borderId="20" xfId="1" applyNumberFormat="1" applyFont="1" applyBorder="1" applyAlignment="1">
      <alignment horizontal="center" vertical="center" wrapText="1"/>
    </xf>
    <xf numFmtId="43" fontId="9" fillId="0" borderId="2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10" fontId="11" fillId="0" borderId="0" xfId="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43" fontId="10" fillId="0" borderId="0" xfId="0" applyNumberFormat="1" applyFont="1" applyBorder="1" applyAlignment="1">
      <alignment horizontal="right" vertical="center"/>
    </xf>
    <xf numFmtId="0" fontId="14" fillId="0" borderId="0" xfId="5" applyFont="1" applyBorder="1"/>
    <xf numFmtId="0" fontId="13" fillId="8" borderId="17" xfId="5" applyFont="1" applyFill="1" applyBorder="1" applyAlignment="1">
      <alignment horizontal="center"/>
    </xf>
    <xf numFmtId="0" fontId="14" fillId="0" borderId="13" xfId="5" applyFont="1" applyBorder="1"/>
    <xf numFmtId="0" fontId="14" fillId="0" borderId="0" xfId="5" applyFont="1" applyBorder="1" applyAlignment="1">
      <alignment horizontal="center"/>
    </xf>
    <xf numFmtId="10" fontId="10" fillId="0" borderId="14" xfId="6" applyNumberFormat="1" applyFont="1" applyBorder="1" applyAlignment="1">
      <alignment horizontal="center"/>
    </xf>
    <xf numFmtId="0" fontId="14" fillId="0" borderId="0" xfId="5" applyFont="1" applyBorder="1" applyAlignment="1">
      <alignment horizontal="center" vertical="center"/>
    </xf>
    <xf numFmtId="0" fontId="14" fillId="0" borderId="27" xfId="5" applyFont="1" applyBorder="1"/>
    <xf numFmtId="0" fontId="15" fillId="0" borderId="28" xfId="5" applyFont="1" applyBorder="1" applyAlignment="1">
      <alignment horizontal="right"/>
    </xf>
    <xf numFmtId="10" fontId="15" fillId="0" borderId="29" xfId="5" applyNumberFormat="1" applyFont="1" applyBorder="1" applyAlignment="1">
      <alignment horizontal="center"/>
    </xf>
    <xf numFmtId="0" fontId="15" fillId="0" borderId="0" xfId="5" applyFont="1" applyBorder="1" applyAlignment="1">
      <alignment horizontal="right"/>
    </xf>
    <xf numFmtId="10" fontId="15" fillId="0" borderId="14" xfId="5" applyNumberFormat="1" applyFont="1" applyBorder="1" applyAlignment="1">
      <alignment horizontal="center"/>
    </xf>
    <xf numFmtId="0" fontId="13" fillId="8" borderId="31" xfId="5" applyFont="1" applyFill="1" applyBorder="1" applyAlignment="1">
      <alignment horizontal="center"/>
    </xf>
    <xf numFmtId="0" fontId="14" fillId="0" borderId="30" xfId="5" applyFont="1" applyBorder="1"/>
    <xf numFmtId="0" fontId="14" fillId="0" borderId="26" xfId="5" applyFont="1" applyBorder="1"/>
    <xf numFmtId="10" fontId="10" fillId="0" borderId="31" xfId="6" applyNumberFormat="1" applyFont="1" applyBorder="1" applyAlignment="1">
      <alignment horizontal="center"/>
    </xf>
    <xf numFmtId="0" fontId="14" fillId="0" borderId="14" xfId="5" applyFont="1" applyBorder="1" applyAlignment="1">
      <alignment horizontal="center"/>
    </xf>
    <xf numFmtId="10" fontId="13" fillId="8" borderId="31" xfId="6" applyNumberFormat="1" applyFont="1" applyFill="1" applyBorder="1" applyAlignment="1">
      <alignment horizontal="center"/>
    </xf>
    <xf numFmtId="0" fontId="14" fillId="0" borderId="13" xfId="5" applyFont="1" applyBorder="1" applyAlignment="1">
      <alignment horizontal="left"/>
    </xf>
    <xf numFmtId="0" fontId="16" fillId="0" borderId="13" xfId="5" applyFont="1" applyBorder="1" applyAlignment="1">
      <alignment horizontal="left"/>
    </xf>
    <xf numFmtId="0" fontId="16" fillId="0" borderId="0" xfId="5" applyFont="1" applyBorder="1"/>
    <xf numFmtId="10" fontId="16" fillId="0" borderId="14" xfId="6" applyNumberFormat="1" applyFont="1" applyBorder="1" applyAlignment="1">
      <alignment horizontal="center"/>
    </xf>
    <xf numFmtId="0" fontId="14" fillId="0" borderId="32" xfId="5" applyFont="1" applyBorder="1"/>
    <xf numFmtId="0" fontId="15" fillId="0" borderId="19" xfId="5" applyFont="1" applyBorder="1" applyAlignment="1">
      <alignment horizontal="right"/>
    </xf>
    <xf numFmtId="10" fontId="15" fillId="0" borderId="33" xfId="5" applyNumberFormat="1" applyFont="1" applyBorder="1" applyAlignment="1">
      <alignment horizontal="center"/>
    </xf>
    <xf numFmtId="0" fontId="4" fillId="8" borderId="30" xfId="5" applyFont="1" applyFill="1" applyBorder="1" applyAlignment="1">
      <alignment vertical="center"/>
    </xf>
    <xf numFmtId="0" fontId="4" fillId="8" borderId="26" xfId="5" applyFont="1" applyFill="1" applyBorder="1" applyAlignment="1">
      <alignment vertical="center"/>
    </xf>
    <xf numFmtId="10" fontId="17" fillId="8" borderId="31" xfId="3" applyNumberFormat="1" applyFont="1" applyFill="1" applyBorder="1" applyAlignment="1" applyProtection="1">
      <alignment horizontal="left" vertical="center"/>
    </xf>
    <xf numFmtId="0" fontId="14" fillId="0" borderId="19" xfId="5" applyFont="1" applyBorder="1"/>
    <xf numFmtId="10" fontId="10" fillId="0" borderId="33" xfId="6" applyNumberFormat="1" applyFont="1" applyBorder="1" applyAlignment="1">
      <alignment horizontal="center"/>
    </xf>
    <xf numFmtId="0" fontId="19" fillId="0" borderId="13" xfId="5" applyFont="1" applyBorder="1" applyAlignment="1">
      <alignment vertical="center"/>
    </xf>
    <xf numFmtId="0" fontId="19" fillId="0" borderId="0" xfId="5" applyFont="1" applyBorder="1" applyAlignment="1">
      <alignment vertical="center"/>
    </xf>
    <xf numFmtId="0" fontId="14" fillId="0" borderId="14" xfId="5" applyFont="1" applyBorder="1" applyAlignment="1">
      <alignment vertical="center"/>
    </xf>
    <xf numFmtId="0" fontId="14" fillId="0" borderId="15" xfId="5" applyFont="1" applyBorder="1" applyAlignment="1">
      <alignment vertical="center"/>
    </xf>
    <xf numFmtId="0" fontId="19" fillId="0" borderId="13" xfId="5" applyFont="1" applyBorder="1"/>
    <xf numFmtId="0" fontId="14" fillId="0" borderId="14" xfId="5" applyFont="1" applyBorder="1"/>
    <xf numFmtId="0" fontId="22" fillId="0" borderId="13" xfId="5" applyFont="1" applyBorder="1" applyAlignment="1">
      <alignment horizontal="center" vertical="center"/>
    </xf>
    <xf numFmtId="0" fontId="22" fillId="0" borderId="0" xfId="5" applyFont="1" applyBorder="1" applyAlignment="1">
      <alignment horizontal="center" vertical="center"/>
    </xf>
    <xf numFmtId="0" fontId="23" fillId="0" borderId="14" xfId="5" applyFont="1" applyBorder="1" applyAlignment="1">
      <alignment vertical="center"/>
    </xf>
    <xf numFmtId="0" fontId="24" fillId="0" borderId="10" xfId="5" applyFont="1" applyBorder="1"/>
    <xf numFmtId="0" fontId="26" fillId="0" borderId="11" xfId="5" applyFont="1" applyBorder="1" applyAlignment="1">
      <alignment horizontal="center"/>
    </xf>
    <xf numFmtId="0" fontId="26" fillId="0" borderId="12" xfId="5" applyFont="1" applyBorder="1"/>
    <xf numFmtId="0" fontId="24" fillId="0" borderId="0" xfId="5" applyFont="1" applyBorder="1"/>
    <xf numFmtId="0" fontId="26" fillId="0" borderId="0" xfId="5" applyFont="1" applyBorder="1" applyAlignment="1">
      <alignment horizontal="center"/>
    </xf>
    <xf numFmtId="0" fontId="26" fillId="0" borderId="0" xfId="5" applyFont="1" applyBorder="1"/>
    <xf numFmtId="0" fontId="27" fillId="0" borderId="0" xfId="7"/>
    <xf numFmtId="0" fontId="28" fillId="9" borderId="36" xfId="0" applyFont="1" applyFill="1" applyBorder="1" applyAlignment="1">
      <alignment horizontal="right" vertical="top" wrapText="1"/>
    </xf>
    <xf numFmtId="0" fontId="28" fillId="9" borderId="36" xfId="0" applyFont="1" applyFill="1" applyBorder="1" applyAlignment="1">
      <alignment horizontal="center" vertical="top" wrapText="1"/>
    </xf>
    <xf numFmtId="0" fontId="31" fillId="7" borderId="0" xfId="0" applyFont="1" applyFill="1" applyBorder="1" applyAlignment="1">
      <alignment horizontal="center"/>
    </xf>
    <xf numFmtId="0" fontId="3" fillId="7" borderId="0" xfId="0" applyFont="1" applyFill="1" applyBorder="1"/>
    <xf numFmtId="0" fontId="28" fillId="9" borderId="36" xfId="0" applyFont="1" applyFill="1" applyBorder="1" applyAlignment="1">
      <alignment horizontal="left" vertical="top" wrapText="1"/>
    </xf>
    <xf numFmtId="0" fontId="27" fillId="0" borderId="0" xfId="7"/>
    <xf numFmtId="0" fontId="10" fillId="4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" fontId="33" fillId="13" borderId="37" xfId="8" applyNumberFormat="1" applyFont="1" applyFill="1" applyBorder="1" applyAlignment="1">
      <alignment horizontal="center" vertical="center" wrapText="1"/>
    </xf>
    <xf numFmtId="0" fontId="33" fillId="13" borderId="37" xfId="8" applyNumberFormat="1" applyFont="1" applyFill="1" applyBorder="1" applyAlignment="1">
      <alignment horizontal="center" vertical="center" wrapText="1"/>
    </xf>
    <xf numFmtId="14" fontId="33" fillId="13" borderId="37" xfId="8" applyNumberFormat="1" applyFont="1" applyFill="1" applyBorder="1" applyAlignment="1">
      <alignment horizontal="center" vertical="center" wrapText="1"/>
    </xf>
    <xf numFmtId="164" fontId="33" fillId="13" borderId="37" xfId="4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right" vertical="center"/>
    </xf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0" borderId="0" xfId="0" applyFont="1" applyBorder="1"/>
    <xf numFmtId="0" fontId="0" fillId="12" borderId="0" xfId="0" applyFont="1" applyFill="1" applyBorder="1" applyAlignment="1">
      <alignment horizontal="center"/>
    </xf>
    <xf numFmtId="0" fontId="0" fillId="15" borderId="0" xfId="0" applyFont="1" applyFill="1" applyBorder="1"/>
    <xf numFmtId="0" fontId="3" fillId="7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 vertical="center"/>
    </xf>
    <xf numFmtId="2" fontId="0" fillId="4" borderId="0" xfId="0" applyNumberFormat="1" applyFont="1" applyFill="1" applyBorder="1"/>
    <xf numFmtId="0" fontId="0" fillId="14" borderId="0" xfId="0" applyFont="1" applyFill="1" applyBorder="1"/>
    <xf numFmtId="2" fontId="0" fillId="4" borderId="0" xfId="0" applyNumberFormat="1" applyFont="1" applyFill="1" applyBorder="1" applyAlignment="1">
      <alignment horizontal="right"/>
    </xf>
    <xf numFmtId="0" fontId="0" fillId="4" borderId="0" xfId="0" applyFont="1" applyFill="1" applyBorder="1" applyAlignment="1">
      <alignment wrapText="1"/>
    </xf>
    <xf numFmtId="2" fontId="32" fillId="4" borderId="0" xfId="0" applyNumberFormat="1" applyFont="1" applyFill="1" applyBorder="1"/>
    <xf numFmtId="0" fontId="10" fillId="0" borderId="0" xfId="0" applyFont="1" applyBorder="1" applyAlignment="1">
      <alignment horizontal="left" vertical="center" wrapText="1"/>
    </xf>
    <xf numFmtId="0" fontId="0" fillId="12" borderId="0" xfId="0" applyFill="1" applyBorder="1" applyAlignment="1">
      <alignment horizontal="center"/>
    </xf>
    <xf numFmtId="0" fontId="3" fillId="4" borderId="0" xfId="0" applyFont="1" applyFill="1" applyBorder="1"/>
    <xf numFmtId="0" fontId="35" fillId="10" borderId="0" xfId="0" applyFont="1" applyFill="1" applyBorder="1"/>
    <xf numFmtId="0" fontId="36" fillId="4" borderId="0" xfId="0" applyFont="1" applyFill="1" applyBorder="1" applyAlignment="1">
      <alignment horizontal="center"/>
    </xf>
    <xf numFmtId="4" fontId="0" fillId="4" borderId="0" xfId="0" applyNumberFormat="1" applyFont="1" applyFill="1" applyBorder="1" applyAlignment="1">
      <alignment horizontal="center"/>
    </xf>
    <xf numFmtId="2" fontId="38" fillId="4" borderId="41" xfId="0" applyNumberFormat="1" applyFont="1" applyFill="1" applyBorder="1" applyAlignment="1">
      <alignment horizontal="center"/>
    </xf>
    <xf numFmtId="0" fontId="0" fillId="4" borderId="0" xfId="0" applyFill="1" applyBorder="1"/>
    <xf numFmtId="0" fontId="39" fillId="4" borderId="0" xfId="0" applyFont="1" applyFill="1" applyBorder="1"/>
    <xf numFmtId="0" fontId="0" fillId="0" borderId="0" xfId="0" applyBorder="1"/>
    <xf numFmtId="0" fontId="30" fillId="7" borderId="0" xfId="0" applyFont="1" applyFill="1" applyBorder="1" applyAlignment="1">
      <alignment horizontal="center"/>
    </xf>
    <xf numFmtId="0" fontId="30" fillId="7" borderId="41" xfId="0" applyFont="1" applyFill="1" applyBorder="1" applyAlignment="1">
      <alignment horizontal="center"/>
    </xf>
    <xf numFmtId="0" fontId="0" fillId="0" borderId="0" xfId="0" applyFill="1" applyBorder="1"/>
    <xf numFmtId="0" fontId="35" fillId="4" borderId="0" xfId="0" applyFont="1" applyFill="1" applyBorder="1"/>
    <xf numFmtId="2" fontId="0" fillId="4" borderId="0" xfId="0" applyNumberFormat="1" applyFill="1" applyBorder="1"/>
    <xf numFmtId="2" fontId="30" fillId="4" borderId="41" xfId="0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2" fontId="0" fillId="4" borderId="0" xfId="0" applyNumberFormat="1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40" fillId="4" borderId="0" xfId="0" applyFont="1" applyFill="1" applyBorder="1" applyAlignment="1">
      <alignment horizontal="center"/>
    </xf>
    <xf numFmtId="2" fontId="41" fillId="4" borderId="41" xfId="0" applyNumberFormat="1" applyFont="1" applyFill="1" applyBorder="1" applyAlignment="1">
      <alignment horizontal="center"/>
    </xf>
    <xf numFmtId="4" fontId="0" fillId="4" borderId="0" xfId="0" applyNumberFormat="1" applyFill="1" applyBorder="1" applyAlignment="1">
      <alignment horizontal="center"/>
    </xf>
    <xf numFmtId="0" fontId="40" fillId="0" borderId="41" xfId="0" applyFont="1" applyBorder="1" applyAlignment="1">
      <alignment horizontal="center"/>
    </xf>
    <xf numFmtId="0" fontId="32" fillId="0" borderId="0" xfId="0" applyFont="1" applyBorder="1"/>
    <xf numFmtId="0" fontId="32" fillId="4" borderId="0" xfId="0" applyFont="1" applyFill="1" applyBorder="1"/>
    <xf numFmtId="2" fontId="0" fillId="4" borderId="0" xfId="0" applyNumberForma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0" fontId="0" fillId="15" borderId="0" xfId="0" applyFill="1" applyBorder="1"/>
    <xf numFmtId="0" fontId="0" fillId="0" borderId="0" xfId="0" applyFont="1" applyFill="1" applyBorder="1"/>
    <xf numFmtId="0" fontId="30" fillId="7" borderId="0" xfId="0" applyFont="1" applyFill="1" applyBorder="1" applyAlignment="1">
      <alignment horizontal="left" vertical="center"/>
    </xf>
    <xf numFmtId="2" fontId="32" fillId="4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/>
    </xf>
    <xf numFmtId="0" fontId="36" fillId="4" borderId="0" xfId="0" applyFont="1" applyFill="1" applyBorder="1"/>
    <xf numFmtId="2" fontId="0" fillId="4" borderId="0" xfId="0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wrapText="1"/>
    </xf>
    <xf numFmtId="0" fontId="0" fillId="4" borderId="13" xfId="0" applyFont="1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40" fillId="4" borderId="59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1" applyNumberFormat="1" applyFont="1" applyBorder="1" applyAlignment="1">
      <alignment horizontal="left" vertical="center" wrapText="1"/>
    </xf>
    <xf numFmtId="0" fontId="9" fillId="0" borderId="19" xfId="0" applyFont="1" applyBorder="1" applyAlignment="1">
      <alignment horizontal="right" vertical="center"/>
    </xf>
    <xf numFmtId="0" fontId="49" fillId="20" borderId="6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51" fillId="2" borderId="0" xfId="0" applyFont="1" applyFill="1" applyAlignment="1">
      <alignment vertical="top" wrapText="1"/>
    </xf>
    <xf numFmtId="43" fontId="51" fillId="2" borderId="0" xfId="1" applyFont="1" applyFill="1" applyAlignment="1">
      <alignment vertical="top" wrapText="1"/>
    </xf>
    <xf numFmtId="0" fontId="50" fillId="4" borderId="0" xfId="0" applyFont="1" applyFill="1"/>
    <xf numFmtId="0" fontId="50" fillId="0" borderId="0" xfId="0" applyFont="1"/>
    <xf numFmtId="0" fontId="50" fillId="2" borderId="0" xfId="0" applyFont="1" applyFill="1" applyAlignment="1">
      <alignment vertical="top" wrapText="1"/>
    </xf>
    <xf numFmtId="10" fontId="50" fillId="2" borderId="0" xfId="3" applyNumberFormat="1" applyFont="1" applyFill="1" applyAlignment="1">
      <alignment vertical="top" wrapText="1"/>
    </xf>
    <xf numFmtId="43" fontId="50" fillId="2" borderId="0" xfId="1" applyFont="1" applyFill="1" applyAlignment="1">
      <alignment vertical="top" wrapText="1"/>
    </xf>
    <xf numFmtId="0" fontId="53" fillId="4" borderId="0" xfId="0" applyFont="1" applyFill="1" applyBorder="1" applyAlignment="1">
      <alignment vertical="center"/>
    </xf>
    <xf numFmtId="0" fontId="51" fillId="2" borderId="1" xfId="0" applyFont="1" applyFill="1" applyBorder="1" applyAlignment="1">
      <alignment vertical="top" wrapText="1"/>
    </xf>
    <xf numFmtId="43" fontId="51" fillId="2" borderId="1" xfId="1" applyFont="1" applyFill="1" applyBorder="1" applyAlignment="1">
      <alignment horizontal="right" vertical="top" wrapText="1"/>
    </xf>
    <xf numFmtId="0" fontId="51" fillId="0" borderId="0" xfId="0" applyFont="1"/>
    <xf numFmtId="0" fontId="55" fillId="3" borderId="2" xfId="0" applyFont="1" applyFill="1" applyBorder="1" applyAlignment="1">
      <alignment vertical="top" wrapText="1"/>
    </xf>
    <xf numFmtId="0" fontId="55" fillId="3" borderId="2" xfId="0" applyFont="1" applyFill="1" applyBorder="1" applyAlignment="1">
      <alignment horizontal="center" vertical="top" wrapText="1"/>
    </xf>
    <xf numFmtId="43" fontId="55" fillId="3" borderId="2" xfId="1" applyFont="1" applyFill="1" applyBorder="1" applyAlignment="1">
      <alignment horizontal="right" vertical="top" wrapText="1"/>
    </xf>
    <xf numFmtId="0" fontId="54" fillId="3" borderId="2" xfId="0" applyFont="1" applyFill="1" applyBorder="1" applyAlignment="1">
      <alignment vertical="top" wrapText="1"/>
    </xf>
    <xf numFmtId="0" fontId="50" fillId="0" borderId="0" xfId="0" applyFont="1" applyAlignment="1">
      <alignment horizontal="left"/>
    </xf>
    <xf numFmtId="43" fontId="50" fillId="0" borderId="0" xfId="1" applyFont="1"/>
    <xf numFmtId="43" fontId="50" fillId="0" borderId="0" xfId="1" applyFont="1" applyAlignment="1">
      <alignment horizontal="right"/>
    </xf>
    <xf numFmtId="44" fontId="10" fillId="0" borderId="19" xfId="2" applyFont="1" applyBorder="1" applyAlignment="1">
      <alignment horizontal="left" vertical="center"/>
    </xf>
    <xf numFmtId="44" fontId="27" fillId="4" borderId="0" xfId="2" applyFont="1" applyFill="1" applyAlignment="1">
      <alignment horizontal="center" vertical="center"/>
    </xf>
    <xf numFmtId="0" fontId="36" fillId="4" borderId="0" xfId="0" applyFont="1" applyFill="1" applyBorder="1" applyAlignment="1">
      <alignment horizontal="left"/>
    </xf>
    <xf numFmtId="0" fontId="30" fillId="7" borderId="0" xfId="0" applyFont="1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2" fillId="4" borderId="0" xfId="0" applyFont="1" applyFill="1" applyBorder="1" applyAlignment="1">
      <alignment horizontal="left" wrapText="1"/>
    </xf>
    <xf numFmtId="0" fontId="40" fillId="0" borderId="0" xfId="0" applyFont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0" fillId="4" borderId="0" xfId="0" applyFont="1" applyFill="1" applyBorder="1" applyAlignment="1">
      <alignment horizontal="left"/>
    </xf>
    <xf numFmtId="0" fontId="32" fillId="4" borderId="0" xfId="0" applyFont="1" applyFill="1" applyBorder="1" applyAlignment="1">
      <alignment horizontal="center"/>
    </xf>
    <xf numFmtId="0" fontId="32" fillId="4" borderId="0" xfId="0" applyFont="1" applyFill="1" applyBorder="1" applyAlignment="1">
      <alignment horizontal="left"/>
    </xf>
    <xf numFmtId="0" fontId="0" fillId="0" borderId="45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3" fillId="15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left" wrapText="1"/>
    </xf>
    <xf numFmtId="0" fontId="3" fillId="7" borderId="0" xfId="0" applyFont="1" applyFill="1" applyBorder="1" applyAlignment="1">
      <alignment horizontal="left"/>
    </xf>
    <xf numFmtId="0" fontId="0" fillId="15" borderId="0" xfId="0" applyFont="1" applyFill="1" applyBorder="1" applyAlignment="1">
      <alignment horizontal="center"/>
    </xf>
    <xf numFmtId="0" fontId="0" fillId="4" borderId="52" xfId="0" applyFill="1" applyBorder="1" applyAlignment="1">
      <alignment horizontal="center" vertical="center" wrapText="1"/>
    </xf>
    <xf numFmtId="0" fontId="0" fillId="4" borderId="58" xfId="0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left" wrapText="1"/>
    </xf>
    <xf numFmtId="0" fontId="0" fillId="4" borderId="0" xfId="0" applyFont="1" applyFill="1" applyBorder="1" applyAlignment="1">
      <alignment horizontal="left"/>
    </xf>
    <xf numFmtId="0" fontId="3" fillId="15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left"/>
    </xf>
    <xf numFmtId="0" fontId="0" fillId="15" borderId="0" xfId="0" applyFont="1" applyFill="1" applyBorder="1" applyAlignment="1">
      <alignment horizontal="center"/>
    </xf>
    <xf numFmtId="0" fontId="54" fillId="19" borderId="2" xfId="0" applyFont="1" applyFill="1" applyBorder="1" applyAlignment="1">
      <alignment vertical="top" wrapText="1"/>
    </xf>
    <xf numFmtId="43" fontId="54" fillId="19" borderId="2" xfId="1" applyFont="1" applyFill="1" applyBorder="1" applyAlignment="1">
      <alignment horizontal="right" vertical="top" wrapText="1"/>
    </xf>
    <xf numFmtId="0" fontId="51" fillId="21" borderId="0" xfId="0" applyFont="1" applyFill="1"/>
    <xf numFmtId="0" fontId="54" fillId="19" borderId="2" xfId="0" applyFont="1" applyFill="1" applyBorder="1" applyAlignment="1">
      <alignment horizontal="center" vertical="top" wrapText="1"/>
    </xf>
    <xf numFmtId="0" fontId="54" fillId="19" borderId="2" xfId="0" applyFont="1" applyFill="1" applyBorder="1" applyAlignment="1">
      <alignment horizontal="left" vertical="top" wrapText="1"/>
    </xf>
    <xf numFmtId="44" fontId="51" fillId="0" borderId="0" xfId="2" applyFont="1" applyAlignment="1">
      <alignment horizontal="right"/>
    </xf>
    <xf numFmtId="0" fontId="0" fillId="4" borderId="62" xfId="0" applyFill="1" applyBorder="1"/>
    <xf numFmtId="0" fontId="31" fillId="7" borderId="0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6" fillId="4" borderId="13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42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2" fontId="36" fillId="4" borderId="0" xfId="0" applyNumberFormat="1" applyFont="1" applyFill="1" applyBorder="1" applyAlignment="1">
      <alignment horizontal="center" vertical="center"/>
    </xf>
    <xf numFmtId="0" fontId="32" fillId="4" borderId="62" xfId="0" applyFont="1" applyFill="1" applyBorder="1"/>
    <xf numFmtId="0" fontId="36" fillId="4" borderId="13" xfId="0" applyFont="1" applyFill="1" applyBorder="1" applyAlignment="1">
      <alignment horizontal="center"/>
    </xf>
    <xf numFmtId="2" fontId="38" fillId="23" borderId="0" xfId="0" applyNumberFormat="1" applyFont="1" applyFill="1" applyBorder="1" applyAlignment="1">
      <alignment vertical="center"/>
    </xf>
    <xf numFmtId="0" fontId="40" fillId="4" borderId="0" xfId="0" applyFont="1" applyFill="1" applyBorder="1" applyAlignment="1">
      <alignment horizontal="left" vertical="center"/>
    </xf>
    <xf numFmtId="0" fontId="42" fillId="4" borderId="0" xfId="0" applyFont="1" applyFill="1" applyBorder="1" applyAlignment="1">
      <alignment horizontal="center"/>
    </xf>
    <xf numFmtId="0" fontId="40" fillId="4" borderId="13" xfId="0" applyFont="1" applyFill="1" applyBorder="1" applyAlignment="1">
      <alignment vertical="center"/>
    </xf>
    <xf numFmtId="0" fontId="40" fillId="4" borderId="0" xfId="0" applyFont="1" applyFill="1" applyBorder="1" applyAlignment="1">
      <alignment vertical="center"/>
    </xf>
    <xf numFmtId="0" fontId="42" fillId="4" borderId="0" xfId="0" applyFont="1" applyFill="1" applyBorder="1" applyAlignment="1">
      <alignment vertical="center"/>
    </xf>
    <xf numFmtId="2" fontId="40" fillId="4" borderId="0" xfId="0" applyNumberFormat="1" applyFont="1" applyFill="1" applyBorder="1" applyAlignment="1">
      <alignment horizontal="center" vertical="center"/>
    </xf>
    <xf numFmtId="2" fontId="40" fillId="4" borderId="0" xfId="0" applyNumberFormat="1" applyFont="1" applyFill="1" applyBorder="1" applyAlignment="1">
      <alignment vertical="center"/>
    </xf>
    <xf numFmtId="0" fontId="41" fillId="7" borderId="13" xfId="0" applyFont="1" applyFill="1" applyBorder="1" applyAlignment="1">
      <alignment horizontal="center" vertical="center"/>
    </xf>
    <xf numFmtId="0" fontId="38" fillId="7" borderId="0" xfId="0" applyFont="1" applyFill="1" applyBorder="1" applyAlignment="1">
      <alignment horizontal="center" vertical="center"/>
    </xf>
    <xf numFmtId="0" fontId="41" fillId="7" borderId="0" xfId="0" applyFont="1" applyFill="1" applyBorder="1" applyAlignment="1">
      <alignment horizontal="center" vertical="center"/>
    </xf>
    <xf numFmtId="2" fontId="38" fillId="24" borderId="0" xfId="0" applyNumberFormat="1" applyFont="1" applyFill="1" applyBorder="1" applyAlignment="1">
      <alignment vertical="center"/>
    </xf>
    <xf numFmtId="0" fontId="30" fillId="7" borderId="13" xfId="0" applyFont="1" applyFill="1" applyBorder="1" applyAlignment="1">
      <alignment horizontal="center"/>
    </xf>
    <xf numFmtId="0" fontId="38" fillId="7" borderId="0" xfId="0" applyFont="1" applyFill="1" applyBorder="1" applyAlignment="1">
      <alignment horizontal="center"/>
    </xf>
    <xf numFmtId="2" fontId="38" fillId="23" borderId="0" xfId="0" applyNumberFormat="1" applyFont="1" applyFill="1" applyBorder="1"/>
    <xf numFmtId="0" fontId="3" fillId="4" borderId="13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2" fontId="30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/>
    </xf>
    <xf numFmtId="2" fontId="38" fillId="4" borderId="0" xfId="0" applyNumberFormat="1" applyFont="1" applyFill="1" applyBorder="1" applyAlignment="1">
      <alignment vertical="center"/>
    </xf>
    <xf numFmtId="2" fontId="0" fillId="23" borderId="0" xfId="0" applyNumberFormat="1" applyFill="1" applyBorder="1" applyAlignment="1">
      <alignment vertical="center"/>
    </xf>
    <xf numFmtId="0" fontId="0" fillId="23" borderId="0" xfId="0" applyFill="1" applyBorder="1" applyAlignment="1">
      <alignment vertical="center"/>
    </xf>
    <xf numFmtId="0" fontId="0" fillId="4" borderId="0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left" vertical="center"/>
    </xf>
    <xf numFmtId="0" fontId="3" fillId="0" borderId="0" xfId="0" applyFont="1"/>
    <xf numFmtId="0" fontId="34" fillId="4" borderId="0" xfId="0" applyFont="1" applyFill="1" applyBorder="1"/>
    <xf numFmtId="43" fontId="36" fillId="4" borderId="0" xfId="0" applyNumberFormat="1" applyFont="1" applyFill="1" applyBorder="1" applyAlignment="1">
      <alignment horizontal="center" vertical="center"/>
    </xf>
    <xf numFmtId="43" fontId="30" fillId="4" borderId="0" xfId="0" applyNumberFormat="1" applyFont="1" applyFill="1" applyBorder="1" applyAlignment="1">
      <alignment horizontal="center" vertical="center"/>
    </xf>
    <xf numFmtId="43" fontId="36" fillId="4" borderId="14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32" fillId="4" borderId="0" xfId="0" applyFont="1" applyFill="1"/>
    <xf numFmtId="44" fontId="3" fillId="0" borderId="0" xfId="2" applyFont="1"/>
    <xf numFmtId="44" fontId="0" fillId="0" borderId="0" xfId="0" applyNumberFormat="1"/>
    <xf numFmtId="43" fontId="38" fillId="23" borderId="14" xfId="0" applyNumberFormat="1" applyFont="1" applyFill="1" applyBorder="1" applyAlignment="1">
      <alignment vertical="center"/>
    </xf>
    <xf numFmtId="0" fontId="3" fillId="27" borderId="53" xfId="0" applyFont="1" applyFill="1" applyBorder="1" applyAlignment="1">
      <alignment horizontal="center" vertical="center" wrapText="1"/>
    </xf>
    <xf numFmtId="0" fontId="3" fillId="27" borderId="54" xfId="0" applyFont="1" applyFill="1" applyBorder="1" applyAlignment="1">
      <alignment horizontal="center" vertical="center" wrapText="1"/>
    </xf>
    <xf numFmtId="0" fontId="3" fillId="27" borderId="55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4" fontId="0" fillId="0" borderId="57" xfId="0" applyNumberFormat="1" applyBorder="1" applyAlignment="1">
      <alignment horizontal="right" vertical="center" wrapText="1"/>
    </xf>
    <xf numFmtId="0" fontId="0" fillId="0" borderId="37" xfId="0" applyBorder="1" applyAlignment="1">
      <alignment horizontal="center" vertical="center" wrapText="1"/>
    </xf>
    <xf numFmtId="4" fontId="0" fillId="0" borderId="52" xfId="0" applyNumberFormat="1" applyBorder="1" applyAlignment="1">
      <alignment horizontal="right" vertical="center" wrapText="1"/>
    </xf>
    <xf numFmtId="4" fontId="3" fillId="0" borderId="58" xfId="0" applyNumberFormat="1" applyFont="1" applyBorder="1" applyAlignment="1">
      <alignment horizontal="right" vertical="center" wrapText="1"/>
    </xf>
    <xf numFmtId="0" fontId="47" fillId="0" borderId="38" xfId="0" applyFont="1" applyBorder="1" applyAlignment="1">
      <alignment horizontal="left" vertical="center" wrapText="1"/>
    </xf>
    <xf numFmtId="0" fontId="0" fillId="0" borderId="38" xfId="0" applyBorder="1" applyAlignment="1">
      <alignment horizontal="center" vertical="center" wrapText="1"/>
    </xf>
    <xf numFmtId="4" fontId="0" fillId="0" borderId="40" xfId="0" applyNumberFormat="1" applyBorder="1" applyAlignment="1">
      <alignment horizontal="right" vertical="center" wrapText="1"/>
    </xf>
    <xf numFmtId="0" fontId="3" fillId="27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3" fillId="27" borderId="56" xfId="0" applyFont="1" applyFill="1" applyBorder="1" applyAlignment="1">
      <alignment vertical="center" wrapText="1"/>
    </xf>
    <xf numFmtId="0" fontId="3" fillId="27" borderId="48" xfId="0" applyFont="1" applyFill="1" applyBorder="1" applyAlignment="1">
      <alignment vertical="center" wrapText="1"/>
    </xf>
    <xf numFmtId="0" fontId="3" fillId="0" borderId="13" xfId="0" applyFont="1" applyBorder="1" applyAlignment="1"/>
    <xf numFmtId="0" fontId="3" fillId="27" borderId="53" xfId="0" applyFont="1" applyFill="1" applyBorder="1" applyAlignment="1">
      <alignment vertical="center" wrapText="1"/>
    </xf>
    <xf numFmtId="4" fontId="3" fillId="0" borderId="13" xfId="0" applyNumberFormat="1" applyFont="1" applyBorder="1" applyAlignment="1"/>
    <xf numFmtId="0" fontId="0" fillId="0" borderId="51" xfId="0" applyFill="1" applyBorder="1" applyAlignment="1">
      <alignment horizontal="left" vertical="center" wrapText="1"/>
    </xf>
    <xf numFmtId="4" fontId="0" fillId="0" borderId="51" xfId="0" applyNumberFormat="1" applyFill="1" applyBorder="1" applyAlignment="1">
      <alignment horizontal="center" vertical="center" wrapText="1"/>
    </xf>
    <xf numFmtId="4" fontId="0" fillId="0" borderId="57" xfId="0" applyNumberFormat="1" applyFill="1" applyBorder="1" applyAlignment="1">
      <alignment horizontal="center" vertical="center" wrapText="1"/>
    </xf>
    <xf numFmtId="4" fontId="3" fillId="0" borderId="0" xfId="0" applyNumberFormat="1" applyFont="1" applyBorder="1" applyAlignment="1"/>
    <xf numFmtId="0" fontId="0" fillId="0" borderId="37" xfId="0" applyFill="1" applyBorder="1" applyAlignment="1">
      <alignment horizontal="left" vertical="center" wrapText="1"/>
    </xf>
    <xf numFmtId="4" fontId="0" fillId="0" borderId="37" xfId="0" applyNumberFormat="1" applyFill="1" applyBorder="1" applyAlignment="1">
      <alignment horizontal="center" vertical="center" wrapText="1"/>
    </xf>
    <xf numFmtId="4" fontId="0" fillId="0" borderId="52" xfId="0" applyNumberForma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left" vertical="center" wrapText="1"/>
    </xf>
    <xf numFmtId="4" fontId="0" fillId="0" borderId="47" xfId="0" applyNumberFormat="1" applyFill="1" applyBorder="1" applyAlignment="1">
      <alignment horizontal="center" vertical="center" wrapText="1"/>
    </xf>
    <xf numFmtId="4" fontId="0" fillId="0" borderId="58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49" xfId="0" applyNumberFormat="1" applyFont="1" applyBorder="1" applyAlignment="1">
      <alignment horizontal="right" vertical="center" wrapText="1"/>
    </xf>
    <xf numFmtId="0" fontId="58" fillId="29" borderId="68" xfId="0" applyFont="1" applyFill="1" applyBorder="1" applyAlignment="1">
      <alignment horizontal="center" vertical="center"/>
    </xf>
    <xf numFmtId="2" fontId="48" fillId="2" borderId="61" xfId="0" applyNumberFormat="1" applyFont="1" applyFill="1" applyBorder="1" applyAlignment="1">
      <alignment horizontal="center" vertical="center"/>
    </xf>
    <xf numFmtId="0" fontId="46" fillId="0" borderId="72" xfId="0" applyFont="1" applyFill="1" applyBorder="1" applyAlignment="1">
      <alignment horizontal="center" vertical="center"/>
    </xf>
    <xf numFmtId="2" fontId="48" fillId="2" borderId="22" xfId="0" applyNumberFormat="1" applyFont="1" applyFill="1" applyBorder="1" applyAlignment="1">
      <alignment horizontal="center" vertical="center"/>
    </xf>
    <xf numFmtId="0" fontId="46" fillId="0" borderId="73" xfId="0" applyFont="1" applyFill="1" applyBorder="1" applyAlignment="1">
      <alignment horizontal="center" vertical="center"/>
    </xf>
    <xf numFmtId="2" fontId="48" fillId="2" borderId="74" xfId="0" applyNumberFormat="1" applyFont="1" applyFill="1" applyBorder="1" applyAlignment="1">
      <alignment horizontal="center" vertical="center"/>
    </xf>
    <xf numFmtId="0" fontId="46" fillId="0" borderId="75" xfId="0" applyFont="1" applyFill="1" applyBorder="1" applyAlignment="1">
      <alignment horizontal="center" vertical="center"/>
    </xf>
    <xf numFmtId="2" fontId="48" fillId="2" borderId="64" xfId="0" applyNumberFormat="1" applyFont="1" applyFill="1" applyBorder="1" applyAlignment="1">
      <alignment horizontal="center" vertical="center"/>
    </xf>
    <xf numFmtId="0" fontId="46" fillId="0" borderId="77" xfId="0" applyFont="1" applyFill="1" applyBorder="1" applyAlignment="1">
      <alignment horizontal="center" vertical="center"/>
    </xf>
    <xf numFmtId="0" fontId="44" fillId="18" borderId="50" xfId="0" applyFont="1" applyFill="1" applyBorder="1" applyAlignment="1">
      <alignment horizontal="center" vertical="center" wrapText="1"/>
    </xf>
    <xf numFmtId="0" fontId="44" fillId="18" borderId="51" xfId="0" applyFont="1" applyFill="1" applyBorder="1" applyAlignment="1">
      <alignment vertical="center" wrapText="1"/>
    </xf>
    <xf numFmtId="0" fontId="44" fillId="18" borderId="57" xfId="0" applyFont="1" applyFill="1" applyBorder="1" applyAlignment="1">
      <alignment horizontal="center" vertical="center" wrapText="1"/>
    </xf>
    <xf numFmtId="2" fontId="0" fillId="4" borderId="37" xfId="0" applyNumberForma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2" fontId="0" fillId="4" borderId="47" xfId="0" applyNumberForma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1" fontId="0" fillId="4" borderId="37" xfId="0" applyNumberForma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2" fontId="0" fillId="4" borderId="0" xfId="0" applyNumberFormat="1" applyFill="1" applyBorder="1" applyAlignment="1">
      <alignment horizontal="center" vertical="center" wrapText="1"/>
    </xf>
    <xf numFmtId="2" fontId="32" fillId="7" borderId="0" xfId="0" applyNumberFormat="1" applyFont="1" applyFill="1" applyBorder="1"/>
    <xf numFmtId="0" fontId="32" fillId="4" borderId="0" xfId="0" applyFont="1" applyFill="1" applyAlignment="1">
      <alignment vertical="center"/>
    </xf>
    <xf numFmtId="0" fontId="40" fillId="4" borderId="0" xfId="0" applyFont="1" applyFill="1" applyAlignment="1">
      <alignment wrapText="1"/>
    </xf>
    <xf numFmtId="2" fontId="36" fillId="4" borderId="0" xfId="0" applyNumberFormat="1" applyFont="1" applyFill="1" applyBorder="1" applyAlignment="1">
      <alignment horizontal="center"/>
    </xf>
    <xf numFmtId="0" fontId="61" fillId="4" borderId="0" xfId="0" applyFont="1" applyFill="1"/>
    <xf numFmtId="0" fontId="0" fillId="4" borderId="0" xfId="0" applyFont="1" applyFill="1" applyBorder="1" applyAlignment="1">
      <alignment horizontal="left" wrapText="1"/>
    </xf>
    <xf numFmtId="0" fontId="62" fillId="4" borderId="0" xfId="0" applyFont="1" applyFill="1"/>
    <xf numFmtId="0" fontId="62" fillId="4" borderId="59" xfId="0" applyFont="1" applyFill="1" applyBorder="1" applyAlignment="1">
      <alignment horizontal="left" vertical="top" wrapText="1"/>
    </xf>
    <xf numFmtId="0" fontId="2" fillId="10" borderId="39" xfId="0" applyFont="1" applyFill="1" applyBorder="1" applyAlignment="1"/>
    <xf numFmtId="0" fontId="2" fillId="10" borderId="38" xfId="0" applyFont="1" applyFill="1" applyBorder="1" applyAlignment="1"/>
    <xf numFmtId="0" fontId="43" fillId="7" borderId="0" xfId="0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Alignment="1">
      <alignment horizontal="left" wrapText="1"/>
    </xf>
    <xf numFmtId="0" fontId="0" fillId="0" borderId="0" xfId="0" applyFont="1" applyFill="1"/>
    <xf numFmtId="2" fontId="0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32" fillId="4" borderId="0" xfId="0" applyFont="1" applyFill="1" applyAlignment="1">
      <alignment horizontal="left" wrapText="1"/>
    </xf>
    <xf numFmtId="2" fontId="0" fillId="17" borderId="0" xfId="0" applyNumberFormat="1" applyFill="1" applyBorder="1" applyAlignment="1">
      <alignment horizontal="center"/>
    </xf>
    <xf numFmtId="2" fontId="32" fillId="17" borderId="0" xfId="0" applyNumberFormat="1" applyFont="1" applyFill="1" applyBorder="1"/>
    <xf numFmtId="0" fontId="0" fillId="17" borderId="0" xfId="0" applyFill="1" applyBorder="1"/>
    <xf numFmtId="0" fontId="61" fillId="0" borderId="0" xfId="0" applyFont="1"/>
    <xf numFmtId="0" fontId="32" fillId="4" borderId="0" xfId="0" applyNumberFormat="1" applyFont="1" applyFill="1" applyBorder="1" applyAlignment="1">
      <alignment horizontal="center"/>
    </xf>
    <xf numFmtId="1" fontId="0" fillId="0" borderId="0" xfId="0" applyNumberFormat="1" applyFont="1" applyBorder="1"/>
    <xf numFmtId="165" fontId="0" fillId="0" borderId="0" xfId="0" applyNumberFormat="1" applyFont="1" applyBorder="1"/>
    <xf numFmtId="1" fontId="0" fillId="4" borderId="0" xfId="0" applyNumberFormat="1" applyFont="1" applyFill="1" applyBorder="1" applyAlignment="1">
      <alignment horizontal="center"/>
    </xf>
    <xf numFmtId="165" fontId="0" fillId="4" borderId="0" xfId="0" applyNumberFormat="1" applyFont="1" applyFill="1" applyBorder="1" applyAlignment="1">
      <alignment horizontal="center"/>
    </xf>
    <xf numFmtId="0" fontId="0" fillId="4" borderId="0" xfId="0" applyNumberFormat="1" applyFont="1" applyFill="1" applyBorder="1" applyAlignment="1">
      <alignment horizontal="center"/>
    </xf>
    <xf numFmtId="1" fontId="32" fillId="4" borderId="0" xfId="0" applyNumberFormat="1" applyFont="1" applyFill="1" applyBorder="1" applyAlignment="1">
      <alignment horizontal="center"/>
    </xf>
    <xf numFmtId="1" fontId="32" fillId="4" borderId="0" xfId="0" applyNumberFormat="1" applyFont="1" applyFill="1" applyBorder="1" applyAlignment="1">
      <alignment horizontal="center" vertical="center"/>
    </xf>
    <xf numFmtId="0" fontId="0" fillId="4" borderId="8" xfId="0" applyFont="1" applyFill="1" applyBorder="1"/>
    <xf numFmtId="0" fontId="32" fillId="4" borderId="0" xfId="0" applyFont="1" applyFill="1" applyBorder="1" applyAlignment="1">
      <alignment vertical="center" wrapText="1"/>
    </xf>
    <xf numFmtId="0" fontId="63" fillId="0" borderId="0" xfId="9"/>
    <xf numFmtId="0" fontId="63" fillId="0" borderId="0" xfId="9" applyAlignment="1">
      <alignment horizontal="center"/>
    </xf>
    <xf numFmtId="0" fontId="64" fillId="30" borderId="0" xfId="9" applyFont="1" applyFill="1"/>
    <xf numFmtId="0" fontId="63" fillId="0" borderId="0" xfId="9" applyFont="1"/>
    <xf numFmtId="0" fontId="63" fillId="31" borderId="0" xfId="9" applyFill="1"/>
    <xf numFmtId="0" fontId="63" fillId="30" borderId="0" xfId="9" applyFill="1"/>
    <xf numFmtId="0" fontId="63" fillId="6" borderId="0" xfId="9" applyFill="1"/>
    <xf numFmtId="43" fontId="50" fillId="0" borderId="0" xfId="0" applyNumberFormat="1" applyFont="1"/>
    <xf numFmtId="0" fontId="51" fillId="4" borderId="0" xfId="0" applyFont="1" applyFill="1"/>
    <xf numFmtId="43" fontId="10" fillId="0" borderId="0" xfId="1" applyNumberFormat="1" applyFont="1" applyBorder="1" applyAlignment="1">
      <alignment horizontal="left" vertical="center" wrapText="1"/>
    </xf>
    <xf numFmtId="43" fontId="10" fillId="0" borderId="0" xfId="0" applyNumberFormat="1" applyFont="1" applyBorder="1" applyAlignment="1">
      <alignment horizontal="left" vertical="top" wrapText="1"/>
    </xf>
    <xf numFmtId="0" fontId="49" fillId="20" borderId="36" xfId="0" applyFont="1" applyFill="1" applyBorder="1" applyAlignment="1">
      <alignment horizontal="left" vertical="top" wrapText="1"/>
    </xf>
    <xf numFmtId="0" fontId="49" fillId="20" borderId="36" xfId="0" applyFont="1" applyFill="1" applyBorder="1" applyAlignment="1">
      <alignment horizontal="right" vertical="top" wrapText="1"/>
    </xf>
    <xf numFmtId="0" fontId="49" fillId="20" borderId="36" xfId="0" applyFont="1" applyFill="1" applyBorder="1" applyAlignment="1">
      <alignment horizontal="center" vertical="top" wrapText="1"/>
    </xf>
    <xf numFmtId="0" fontId="49" fillId="32" borderId="36" xfId="0" applyFont="1" applyFill="1" applyBorder="1" applyAlignment="1">
      <alignment horizontal="left" vertical="top" wrapText="1"/>
    </xf>
    <xf numFmtId="0" fontId="49" fillId="32" borderId="36" xfId="0" applyFont="1" applyFill="1" applyBorder="1" applyAlignment="1">
      <alignment horizontal="right" vertical="top" wrapText="1"/>
    </xf>
    <xf numFmtId="0" fontId="49" fillId="32" borderId="36" xfId="0" applyFont="1" applyFill="1" applyBorder="1" applyAlignment="1">
      <alignment horizontal="center" vertical="top" wrapText="1"/>
    </xf>
    <xf numFmtId="4" fontId="49" fillId="32" borderId="36" xfId="0" applyNumberFormat="1" applyFont="1" applyFill="1" applyBorder="1" applyAlignment="1">
      <alignment horizontal="right" vertical="top" wrapText="1"/>
    </xf>
    <xf numFmtId="0" fontId="49" fillId="33" borderId="36" xfId="0" applyFont="1" applyFill="1" applyBorder="1" applyAlignment="1">
      <alignment horizontal="left" vertical="top" wrapText="1"/>
    </xf>
    <xf numFmtId="0" fontId="49" fillId="33" borderId="36" xfId="0" applyFont="1" applyFill="1" applyBorder="1" applyAlignment="1">
      <alignment horizontal="right" vertical="top" wrapText="1"/>
    </xf>
    <xf numFmtId="0" fontId="49" fillId="33" borderId="36" xfId="0" applyFont="1" applyFill="1" applyBorder="1" applyAlignment="1">
      <alignment horizontal="center" vertical="top" wrapText="1"/>
    </xf>
    <xf numFmtId="4" fontId="49" fillId="33" borderId="36" xfId="0" applyNumberFormat="1" applyFont="1" applyFill="1" applyBorder="1" applyAlignment="1">
      <alignment horizontal="right" vertical="top" wrapText="1"/>
    </xf>
    <xf numFmtId="9" fontId="10" fillId="0" borderId="0" xfId="0" applyNumberFormat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0" fontId="0" fillId="6" borderId="0" xfId="0" applyFill="1"/>
    <xf numFmtId="0" fontId="65" fillId="4" borderId="50" xfId="0" applyFont="1" applyFill="1" applyBorder="1" applyAlignment="1">
      <alignment horizontal="left" vertical="top" wrapText="1"/>
    </xf>
    <xf numFmtId="0" fontId="49" fillId="4" borderId="51" xfId="0" applyFont="1" applyFill="1" applyBorder="1" applyAlignment="1">
      <alignment horizontal="left" vertical="top" wrapText="1"/>
    </xf>
    <xf numFmtId="0" fontId="65" fillId="4" borderId="57" xfId="0" applyFont="1" applyFill="1" applyBorder="1" applyAlignment="1">
      <alignment horizontal="center" vertical="top" wrapText="1"/>
    </xf>
    <xf numFmtId="0" fontId="65" fillId="4" borderId="45" xfId="0" applyFont="1" applyFill="1" applyBorder="1" applyAlignment="1">
      <alignment horizontal="left" vertical="top" wrapText="1"/>
    </xf>
    <xf numFmtId="0" fontId="49" fillId="4" borderId="37" xfId="0" applyFont="1" applyFill="1" applyBorder="1" applyAlignment="1">
      <alignment horizontal="left" vertical="top" wrapText="1"/>
    </xf>
    <xf numFmtId="0" fontId="65" fillId="4" borderId="46" xfId="0" applyFont="1" applyFill="1" applyBorder="1" applyAlignment="1">
      <alignment horizontal="left" vertical="top" wrapText="1"/>
    </xf>
    <xf numFmtId="0" fontId="49" fillId="4" borderId="47" xfId="0" applyFont="1" applyFill="1" applyBorder="1" applyAlignment="1">
      <alignment horizontal="left" vertical="top" wrapText="1"/>
    </xf>
    <xf numFmtId="0" fontId="12" fillId="4" borderId="37" xfId="8" applyNumberFormat="1" applyFont="1" applyFill="1" applyBorder="1" applyAlignment="1">
      <alignment horizontal="center" vertical="center" wrapText="1"/>
    </xf>
    <xf numFmtId="17" fontId="70" fillId="4" borderId="37" xfId="0" quotePrefix="1" applyNumberFormat="1" applyFont="1" applyFill="1" applyBorder="1" applyAlignment="1">
      <alignment horizontal="center" vertical="center"/>
    </xf>
    <xf numFmtId="0" fontId="68" fillId="4" borderId="37" xfId="0" quotePrefix="1" applyFont="1" applyFill="1" applyBorder="1" applyAlignment="1">
      <alignment vertical="center"/>
    </xf>
    <xf numFmtId="0" fontId="68" fillId="4" borderId="37" xfId="0" applyFont="1" applyFill="1" applyBorder="1" applyAlignment="1">
      <alignment vertical="center" wrapText="1"/>
    </xf>
    <xf numFmtId="0" fontId="68" fillId="4" borderId="37" xfId="0" quotePrefix="1" applyFont="1" applyFill="1" applyBorder="1" applyAlignment="1">
      <alignment horizontal="center" vertical="center"/>
    </xf>
    <xf numFmtId="0" fontId="0" fillId="4" borderId="37" xfId="0" applyFill="1" applyBorder="1" applyAlignment="1">
      <alignment vertical="center"/>
    </xf>
    <xf numFmtId="17" fontId="0" fillId="4" borderId="37" xfId="0" applyNumberFormat="1" applyFill="1" applyBorder="1" applyAlignment="1">
      <alignment vertical="center"/>
    </xf>
    <xf numFmtId="0" fontId="0" fillId="0" borderId="0" xfId="0" applyBorder="1" applyAlignment="1">
      <alignment horizontal="left"/>
    </xf>
    <xf numFmtId="0" fontId="0" fillId="14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14" borderId="0" xfId="0" applyFill="1" applyAlignment="1">
      <alignment horizontal="left"/>
    </xf>
    <xf numFmtId="0" fontId="0" fillId="14" borderId="0" xfId="0" applyFill="1"/>
    <xf numFmtId="0" fontId="0" fillId="4" borderId="37" xfId="0" applyFill="1" applyBorder="1" applyAlignment="1">
      <alignment horizontal="center"/>
    </xf>
    <xf numFmtId="0" fontId="0" fillId="4" borderId="37" xfId="0" applyFill="1" applyBorder="1"/>
    <xf numFmtId="17" fontId="0" fillId="4" borderId="37" xfId="0" applyNumberFormat="1" applyFill="1" applyBorder="1"/>
    <xf numFmtId="166" fontId="0" fillId="4" borderId="37" xfId="0" applyNumberFormat="1" applyFill="1" applyBorder="1"/>
    <xf numFmtId="0" fontId="66" fillId="4" borderId="37" xfId="0" quotePrefix="1" applyFont="1" applyFill="1" applyBorder="1" applyAlignment="1">
      <alignment vertical="center"/>
    </xf>
    <xf numFmtId="0" fontId="66" fillId="4" borderId="37" xfId="0" applyFont="1" applyFill="1" applyBorder="1" applyAlignment="1">
      <alignment horizontal="center" vertical="center" wrapText="1"/>
    </xf>
    <xf numFmtId="0" fontId="66" fillId="4" borderId="37" xfId="0" quotePrefix="1" applyFont="1" applyFill="1" applyBorder="1" applyAlignment="1">
      <alignment horizontal="center" vertical="center"/>
    </xf>
    <xf numFmtId="17" fontId="67" fillId="4" borderId="37" xfId="0" quotePrefix="1" applyNumberFormat="1" applyFont="1" applyFill="1" applyBorder="1" applyAlignment="1">
      <alignment horizontal="center" vertical="center"/>
    </xf>
    <xf numFmtId="43" fontId="68" fillId="4" borderId="37" xfId="1" applyNumberFormat="1" applyFont="1" applyFill="1" applyBorder="1" applyAlignment="1">
      <alignment horizontal="right" vertical="center"/>
    </xf>
    <xf numFmtId="17" fontId="68" fillId="4" borderId="37" xfId="0" quotePrefix="1" applyNumberFormat="1" applyFont="1" applyFill="1" applyBorder="1" applyAlignment="1">
      <alignment horizontal="center" vertical="center"/>
    </xf>
    <xf numFmtId="0" fontId="68" fillId="4" borderId="37" xfId="0" applyFont="1" applyFill="1" applyBorder="1" applyAlignment="1">
      <alignment horizontal="center" vertical="center"/>
    </xf>
    <xf numFmtId="43" fontId="70" fillId="4" borderId="37" xfId="1" applyNumberFormat="1" applyFont="1" applyFill="1" applyBorder="1" applyAlignment="1">
      <alignment horizontal="right" vertical="center"/>
    </xf>
    <xf numFmtId="0" fontId="70" fillId="4" borderId="37" xfId="0" quotePrefix="1" applyFont="1" applyFill="1" applyBorder="1" applyAlignment="1">
      <alignment vertical="center"/>
    </xf>
    <xf numFmtId="0" fontId="70" fillId="4" borderId="37" xfId="0" applyFont="1" applyFill="1" applyBorder="1" applyAlignment="1">
      <alignment vertical="center" wrapText="1"/>
    </xf>
    <xf numFmtId="0" fontId="70" fillId="4" borderId="37" xfId="0" quotePrefix="1" applyFont="1" applyFill="1" applyBorder="1" applyAlignment="1">
      <alignment horizontal="center" vertical="center"/>
    </xf>
    <xf numFmtId="0" fontId="70" fillId="4" borderId="37" xfId="0" applyFont="1" applyFill="1" applyBorder="1" applyAlignment="1">
      <alignment horizontal="center" vertical="center"/>
    </xf>
    <xf numFmtId="43" fontId="8" fillId="4" borderId="37" xfId="1" applyNumberFormat="1" applyFont="1" applyFill="1" applyBorder="1" applyAlignment="1">
      <alignment horizontal="right" vertical="center"/>
    </xf>
    <xf numFmtId="0" fontId="68" fillId="4" borderId="37" xfId="0" quotePrefix="1" applyNumberFormat="1" applyFont="1" applyFill="1" applyBorder="1" applyAlignment="1">
      <alignment horizontal="center" vertical="center"/>
    </xf>
    <xf numFmtId="0" fontId="68" fillId="4" borderId="37" xfId="0" applyFont="1" applyFill="1" applyBorder="1" applyAlignment="1">
      <alignment horizontal="left" vertical="center" wrapText="1"/>
    </xf>
    <xf numFmtId="0" fontId="68" fillId="4" borderId="37" xfId="0" applyFont="1" applyFill="1" applyBorder="1" applyAlignment="1">
      <alignment horizontal="center" vertical="center" wrapText="1"/>
    </xf>
    <xf numFmtId="43" fontId="68" fillId="4" borderId="14" xfId="1" applyNumberFormat="1" applyFont="1" applyFill="1" applyBorder="1" applyAlignment="1">
      <alignment horizontal="right" vertical="center"/>
    </xf>
    <xf numFmtId="0" fontId="8" fillId="4" borderId="37" xfId="0" applyFont="1" applyFill="1" applyBorder="1" applyAlignment="1">
      <alignment vertical="center" wrapText="1"/>
    </xf>
    <xf numFmtId="0" fontId="8" fillId="4" borderId="37" xfId="0" quotePrefix="1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68" fillId="4" borderId="51" xfId="0" quotePrefix="1" applyFont="1" applyFill="1" applyBorder="1" applyAlignment="1">
      <alignment vertical="center"/>
    </xf>
    <xf numFmtId="0" fontId="70" fillId="4" borderId="51" xfId="0" applyFont="1" applyFill="1" applyBorder="1" applyAlignment="1">
      <alignment vertical="center" wrapText="1"/>
    </xf>
    <xf numFmtId="0" fontId="70" fillId="4" borderId="51" xfId="0" quotePrefix="1" applyFont="1" applyFill="1" applyBorder="1" applyAlignment="1">
      <alignment horizontal="center" vertical="center"/>
    </xf>
    <xf numFmtId="17" fontId="70" fillId="4" borderId="51" xfId="0" quotePrefix="1" applyNumberFormat="1" applyFont="1" applyFill="1" applyBorder="1" applyAlignment="1">
      <alignment horizontal="center" vertical="center"/>
    </xf>
    <xf numFmtId="0" fontId="70" fillId="4" borderId="51" xfId="0" applyFont="1" applyFill="1" applyBorder="1" applyAlignment="1">
      <alignment horizontal="center" vertical="center"/>
    </xf>
    <xf numFmtId="43" fontId="68" fillId="4" borderId="51" xfId="1" applyNumberFormat="1" applyFont="1" applyFill="1" applyBorder="1" applyAlignment="1">
      <alignment horizontal="right" vertical="center"/>
    </xf>
    <xf numFmtId="0" fontId="68" fillId="4" borderId="47" xfId="0" quotePrefix="1" applyFont="1" applyFill="1" applyBorder="1" applyAlignment="1">
      <alignment vertical="center"/>
    </xf>
    <xf numFmtId="0" fontId="70" fillId="4" borderId="47" xfId="0" applyFont="1" applyFill="1" applyBorder="1" applyAlignment="1">
      <alignment vertical="center" wrapText="1"/>
    </xf>
    <xf numFmtId="0" fontId="70" fillId="4" borderId="47" xfId="0" quotePrefix="1" applyFont="1" applyFill="1" applyBorder="1" applyAlignment="1">
      <alignment horizontal="center" vertical="center"/>
    </xf>
    <xf numFmtId="17" fontId="70" fillId="4" borderId="47" xfId="0" quotePrefix="1" applyNumberFormat="1" applyFont="1" applyFill="1" applyBorder="1" applyAlignment="1">
      <alignment horizontal="center" vertical="center"/>
    </xf>
    <xf numFmtId="0" fontId="68" fillId="4" borderId="47" xfId="0" applyFont="1" applyFill="1" applyBorder="1" applyAlignment="1">
      <alignment horizontal="center" vertical="center"/>
    </xf>
    <xf numFmtId="43" fontId="68" fillId="4" borderId="47" xfId="1" applyNumberFormat="1" applyFont="1" applyFill="1" applyBorder="1" applyAlignment="1">
      <alignment horizontal="right" vertical="center"/>
    </xf>
    <xf numFmtId="0" fontId="70" fillId="4" borderId="37" xfId="0" applyFont="1" applyFill="1" applyBorder="1" applyAlignment="1">
      <alignment horizontal="center" vertical="center" wrapText="1"/>
    </xf>
    <xf numFmtId="4" fontId="70" fillId="4" borderId="37" xfId="0" applyNumberFormat="1" applyFont="1" applyFill="1" applyBorder="1" applyAlignment="1">
      <alignment horizontal="center" vertical="center"/>
    </xf>
    <xf numFmtId="4" fontId="70" fillId="4" borderId="37" xfId="1" applyNumberFormat="1" applyFont="1" applyFill="1" applyBorder="1" applyAlignment="1">
      <alignment horizontal="right" vertical="center"/>
    </xf>
    <xf numFmtId="0" fontId="12" fillId="4" borderId="0" xfId="8" applyFont="1" applyFill="1" applyAlignment="1">
      <alignment vertical="center" wrapText="1"/>
    </xf>
    <xf numFmtId="0" fontId="12" fillId="4" borderId="0" xfId="8" applyFont="1" applyFill="1" applyAlignment="1">
      <alignment horizontal="center" vertical="center" wrapText="1"/>
    </xf>
    <xf numFmtId="0" fontId="12" fillId="4" borderId="0" xfId="8" applyNumberFormat="1" applyFont="1" applyFill="1" applyAlignment="1">
      <alignment horizontal="center" vertical="center" wrapText="1"/>
    </xf>
    <xf numFmtId="14" fontId="12" fillId="4" borderId="0" xfId="8" applyNumberFormat="1" applyFont="1" applyFill="1" applyAlignment="1">
      <alignment horizontal="center" vertical="center" wrapText="1"/>
    </xf>
    <xf numFmtId="164" fontId="12" fillId="4" borderId="0" xfId="4" applyFont="1" applyFill="1" applyAlignment="1">
      <alignment horizontal="center" vertical="center" wrapText="1"/>
    </xf>
    <xf numFmtId="0" fontId="0" fillId="4" borderId="37" xfId="0" applyFill="1" applyBorder="1" applyAlignment="1"/>
    <xf numFmtId="0" fontId="71" fillId="4" borderId="0" xfId="0" applyFont="1" applyFill="1"/>
    <xf numFmtId="0" fontId="0" fillId="4" borderId="37" xfId="0" applyFill="1" applyBorder="1" applyAlignment="1">
      <alignment horizontal="center"/>
    </xf>
    <xf numFmtId="166" fontId="0" fillId="4" borderId="54" xfId="0" applyNumberFormat="1" applyFill="1" applyBorder="1"/>
    <xf numFmtId="0" fontId="0" fillId="4" borderId="54" xfId="0" applyFill="1" applyBorder="1" applyAlignment="1"/>
    <xf numFmtId="0" fontId="0" fillId="4" borderId="54" xfId="0" applyFill="1" applyBorder="1"/>
    <xf numFmtId="0" fontId="71" fillId="4" borderId="37" xfId="0" applyFont="1" applyFill="1" applyBorder="1"/>
    <xf numFmtId="0" fontId="30" fillId="23" borderId="13" xfId="0" applyFont="1" applyFill="1" applyBorder="1" applyAlignment="1">
      <alignment horizontal="center" vertical="center"/>
    </xf>
    <xf numFmtId="0" fontId="30" fillId="23" borderId="0" xfId="0" applyFont="1" applyFill="1" applyBorder="1" applyAlignment="1">
      <alignment horizontal="center" vertical="center"/>
    </xf>
    <xf numFmtId="0" fontId="0" fillId="23" borderId="0" xfId="0" applyFill="1" applyBorder="1" applyAlignment="1">
      <alignment horizontal="center" vertical="center"/>
    </xf>
    <xf numFmtId="0" fontId="30" fillId="7" borderId="0" xfId="0" applyFont="1" applyFill="1" applyBorder="1" applyAlignment="1">
      <alignment horizontal="left"/>
    </xf>
    <xf numFmtId="0" fontId="0" fillId="23" borderId="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54" fillId="16" borderId="2" xfId="0" applyFont="1" applyFill="1" applyBorder="1" applyAlignment="1">
      <alignment horizontal="left" vertical="top" wrapText="1"/>
    </xf>
    <xf numFmtId="0" fontId="30" fillId="25" borderId="13" xfId="0" applyFont="1" applyFill="1" applyBorder="1" applyAlignment="1">
      <alignment horizontal="center" vertical="center"/>
    </xf>
    <xf numFmtId="0" fontId="30" fillId="25" borderId="0" xfId="0" applyFont="1" applyFill="1" applyBorder="1" applyAlignment="1">
      <alignment horizontal="center" vertical="center"/>
    </xf>
    <xf numFmtId="0" fontId="54" fillId="16" borderId="63" xfId="0" applyFont="1" applyFill="1" applyBorder="1" applyAlignment="1">
      <alignment horizontal="left" vertical="top" wrapText="1"/>
    </xf>
    <xf numFmtId="0" fontId="40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wrapText="1"/>
    </xf>
    <xf numFmtId="0" fontId="37" fillId="10" borderId="0" xfId="0" applyFont="1" applyFill="1" applyBorder="1" applyAlignment="1">
      <alignment horizontal="left"/>
    </xf>
    <xf numFmtId="0" fontId="35" fillId="10" borderId="0" xfId="0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32" fillId="4" borderId="0" xfId="0" applyFont="1" applyFill="1" applyBorder="1" applyAlignment="1">
      <alignment horizontal="left" wrapText="1"/>
    </xf>
    <xf numFmtId="0" fontId="30" fillId="23" borderId="13" xfId="0" applyFont="1" applyFill="1" applyBorder="1" applyAlignment="1">
      <alignment horizontal="center"/>
    </xf>
    <xf numFmtId="0" fontId="30" fillId="23" borderId="0" xfId="0" applyFont="1" applyFill="1" applyBorder="1" applyAlignment="1">
      <alignment horizontal="center"/>
    </xf>
    <xf numFmtId="0" fontId="36" fillId="23" borderId="0" xfId="0" applyFont="1" applyFill="1" applyBorder="1" applyAlignment="1">
      <alignment horizontal="center"/>
    </xf>
    <xf numFmtId="0" fontId="41" fillId="7" borderId="0" xfId="0" applyFont="1" applyFill="1" applyBorder="1" applyAlignment="1">
      <alignment horizontal="left" vertical="center"/>
    </xf>
    <xf numFmtId="0" fontId="41" fillId="24" borderId="13" xfId="0" applyFont="1" applyFill="1" applyBorder="1" applyAlignment="1">
      <alignment horizontal="center" vertical="center"/>
    </xf>
    <xf numFmtId="0" fontId="41" fillId="24" borderId="0" xfId="0" applyFont="1" applyFill="1" applyBorder="1" applyAlignment="1">
      <alignment horizontal="center" vertical="center"/>
    </xf>
    <xf numFmtId="0" fontId="40" fillId="24" borderId="0" xfId="0" applyFont="1" applyFill="1" applyBorder="1" applyAlignment="1">
      <alignment horizontal="center" vertical="center"/>
    </xf>
    <xf numFmtId="0" fontId="37" fillId="10" borderId="7" xfId="0" applyFont="1" applyFill="1" applyBorder="1" applyAlignment="1">
      <alignment horizontal="center" vertical="center"/>
    </xf>
    <xf numFmtId="0" fontId="37" fillId="10" borderId="8" xfId="0" applyFont="1" applyFill="1" applyBorder="1" applyAlignment="1">
      <alignment horizontal="center" vertical="center"/>
    </xf>
    <xf numFmtId="0" fontId="37" fillId="10" borderId="9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/>
    </xf>
    <xf numFmtId="0" fontId="59" fillId="12" borderId="4" xfId="0" applyFont="1" applyFill="1" applyBorder="1" applyAlignment="1">
      <alignment horizontal="center" vertical="center" wrapText="1"/>
    </xf>
    <xf numFmtId="0" fontId="59" fillId="12" borderId="5" xfId="0" applyFont="1" applyFill="1" applyBorder="1" applyAlignment="1">
      <alignment horizontal="center" vertical="center" wrapText="1"/>
    </xf>
    <xf numFmtId="0" fontId="59" fillId="12" borderId="6" xfId="0" applyFont="1" applyFill="1" applyBorder="1" applyAlignment="1">
      <alignment horizontal="center" vertical="center" wrapText="1"/>
    </xf>
    <xf numFmtId="0" fontId="60" fillId="22" borderId="4" xfId="0" applyFont="1" applyFill="1" applyBorder="1" applyAlignment="1">
      <alignment horizontal="center" vertical="center" wrapText="1"/>
    </xf>
    <xf numFmtId="0" fontId="60" fillId="22" borderId="5" xfId="0" applyFont="1" applyFill="1" applyBorder="1" applyAlignment="1">
      <alignment horizontal="center" vertical="center" wrapText="1"/>
    </xf>
    <xf numFmtId="0" fontId="60" fillId="22" borderId="6" xfId="0" applyFont="1" applyFill="1" applyBorder="1" applyAlignment="1">
      <alignment horizontal="center" vertical="center" wrapText="1"/>
    </xf>
    <xf numFmtId="0" fontId="47" fillId="0" borderId="30" xfId="0" applyFont="1" applyFill="1" applyBorder="1" applyAlignment="1">
      <alignment horizontal="left" vertical="center"/>
    </xf>
    <xf numFmtId="0" fontId="47" fillId="0" borderId="26" xfId="0" applyFont="1" applyFill="1" applyBorder="1" applyAlignment="1">
      <alignment horizontal="left" vertical="center"/>
    </xf>
    <xf numFmtId="0" fontId="47" fillId="0" borderId="23" xfId="0" applyFont="1" applyFill="1" applyBorder="1" applyAlignment="1">
      <alignment horizontal="left" vertical="center"/>
    </xf>
    <xf numFmtId="0" fontId="47" fillId="0" borderId="76" xfId="0" applyFont="1" applyFill="1" applyBorder="1" applyAlignment="1">
      <alignment horizontal="left" vertical="center"/>
    </xf>
    <xf numFmtId="0" fontId="47" fillId="0" borderId="65" xfId="0" applyFont="1" applyFill="1" applyBorder="1" applyAlignment="1">
      <alignment horizontal="left" vertical="center"/>
    </xf>
    <xf numFmtId="0" fontId="47" fillId="0" borderId="66" xfId="0" applyFont="1" applyFill="1" applyBorder="1" applyAlignment="1">
      <alignment horizontal="left" vertical="center"/>
    </xf>
    <xf numFmtId="0" fontId="3" fillId="26" borderId="42" xfId="0" applyFont="1" applyFill="1" applyBorder="1" applyAlignment="1">
      <alignment horizontal="center" vertical="center" wrapText="1"/>
    </xf>
    <xf numFmtId="0" fontId="3" fillId="26" borderId="43" xfId="0" applyFont="1" applyFill="1" applyBorder="1" applyAlignment="1">
      <alignment horizontal="center" vertical="center" wrapText="1"/>
    </xf>
    <xf numFmtId="0" fontId="3" fillId="26" borderId="44" xfId="0" applyFont="1" applyFill="1" applyBorder="1" applyAlignment="1">
      <alignment horizontal="center" vertical="center" wrapText="1"/>
    </xf>
    <xf numFmtId="0" fontId="3" fillId="27" borderId="50" xfId="0" applyFont="1" applyFill="1" applyBorder="1" applyAlignment="1">
      <alignment horizontal="left" vertical="center" wrapText="1"/>
    </xf>
    <xf numFmtId="0" fontId="3" fillId="27" borderId="45" xfId="0" applyFont="1" applyFill="1" applyBorder="1" applyAlignment="1">
      <alignment horizontal="left" vertical="center" wrapText="1"/>
    </xf>
    <xf numFmtId="0" fontId="3" fillId="27" borderId="46" xfId="0" applyFont="1" applyFill="1" applyBorder="1" applyAlignment="1">
      <alignment horizontal="left" vertical="center" wrapText="1"/>
    </xf>
    <xf numFmtId="0" fontId="3" fillId="0" borderId="6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45" fillId="28" borderId="4" xfId="0" applyFont="1" applyFill="1" applyBorder="1" applyAlignment="1">
      <alignment horizontal="center" vertical="center"/>
    </xf>
    <xf numFmtId="0" fontId="45" fillId="28" borderId="5" xfId="0" applyFont="1" applyFill="1" applyBorder="1" applyAlignment="1">
      <alignment horizontal="center" vertical="center"/>
    </xf>
    <xf numFmtId="0" fontId="45" fillId="28" borderId="6" xfId="0" applyFont="1" applyFill="1" applyBorder="1" applyAlignment="1">
      <alignment horizontal="center" vertical="center"/>
    </xf>
    <xf numFmtId="0" fontId="57" fillId="29" borderId="4" xfId="0" applyFont="1" applyFill="1" applyBorder="1" applyAlignment="1">
      <alignment horizontal="center" vertical="center"/>
    </xf>
    <xf numFmtId="0" fontId="57" fillId="29" borderId="5" xfId="0" applyFont="1" applyFill="1" applyBorder="1" applyAlignment="1">
      <alignment horizontal="center" vertical="center"/>
    </xf>
    <xf numFmtId="0" fontId="57" fillId="29" borderId="6" xfId="0" applyFont="1" applyFill="1" applyBorder="1" applyAlignment="1">
      <alignment horizontal="center" vertical="center"/>
    </xf>
    <xf numFmtId="0" fontId="47" fillId="0" borderId="69" xfId="0" applyFont="1" applyFill="1" applyBorder="1" applyAlignment="1">
      <alignment horizontal="left" vertical="center"/>
    </xf>
    <xf numFmtId="0" fontId="47" fillId="0" borderId="70" xfId="0" applyFont="1" applyFill="1" applyBorder="1" applyAlignment="1">
      <alignment horizontal="left" vertical="center"/>
    </xf>
    <xf numFmtId="0" fontId="47" fillId="0" borderId="71" xfId="0" applyFont="1" applyFill="1" applyBorder="1" applyAlignment="1">
      <alignment horizontal="left" vertical="center"/>
    </xf>
    <xf numFmtId="0" fontId="3" fillId="27" borderId="39" xfId="0" applyFont="1" applyFill="1" applyBorder="1" applyAlignment="1">
      <alignment horizontal="left" vertical="center" wrapText="1"/>
    </xf>
    <xf numFmtId="0" fontId="3" fillId="0" borderId="64" xfId="0" applyFont="1" applyBorder="1" applyAlignment="1">
      <alignment horizontal="right" vertical="center" wrapText="1"/>
    </xf>
    <xf numFmtId="0" fontId="3" fillId="0" borderId="65" xfId="0" applyFont="1" applyBorder="1" applyAlignment="1">
      <alignment horizontal="right" vertical="center" wrapText="1"/>
    </xf>
    <xf numFmtId="0" fontId="3" fillId="0" borderId="66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26" borderId="4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center" wrapText="1"/>
    </xf>
    <xf numFmtId="0" fontId="3" fillId="26" borderId="6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43" fillId="7" borderId="0" xfId="0" applyFont="1" applyFill="1" applyBorder="1" applyAlignment="1">
      <alignment horizontal="left"/>
    </xf>
    <xf numFmtId="0" fontId="32" fillId="4" borderId="0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 wrapText="1"/>
    </xf>
    <xf numFmtId="0" fontId="0" fillId="4" borderId="0" xfId="0" applyFont="1" applyFill="1" applyBorder="1" applyAlignment="1">
      <alignment horizontal="left"/>
    </xf>
    <xf numFmtId="0" fontId="3" fillId="15" borderId="0" xfId="0" applyFont="1" applyFill="1" applyBorder="1" applyAlignment="1">
      <alignment horizontal="center"/>
    </xf>
    <xf numFmtId="0" fontId="0" fillId="15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vertical="center" wrapText="1"/>
    </xf>
    <xf numFmtId="0" fontId="51" fillId="0" borderId="3" xfId="0" applyFont="1" applyBorder="1" applyAlignment="1">
      <alignment horizontal="center"/>
    </xf>
    <xf numFmtId="43" fontId="56" fillId="0" borderId="0" xfId="1" applyFont="1" applyAlignment="1">
      <alignment horizontal="center"/>
    </xf>
    <xf numFmtId="0" fontId="52" fillId="4" borderId="0" xfId="0" applyFont="1" applyFill="1" applyBorder="1" applyAlignment="1">
      <alignment horizontal="left" vertical="center"/>
    </xf>
    <xf numFmtId="0" fontId="50" fillId="3" borderId="0" xfId="0" applyFont="1" applyFill="1" applyAlignment="1">
      <alignment horizontal="left" vertical="center" wrapText="1"/>
    </xf>
    <xf numFmtId="0" fontId="51" fillId="2" borderId="0" xfId="0" applyFont="1" applyFill="1" applyAlignment="1">
      <alignment horizontal="left" vertical="top" wrapText="1"/>
    </xf>
    <xf numFmtId="0" fontId="51" fillId="2" borderId="0" xfId="0" applyFont="1" applyFill="1" applyAlignment="1">
      <alignment vertical="top" wrapText="1"/>
    </xf>
    <xf numFmtId="43" fontId="51" fillId="2" borderId="0" xfId="1" applyFont="1" applyFill="1" applyAlignment="1">
      <alignment vertical="top" wrapText="1"/>
    </xf>
    <xf numFmtId="0" fontId="50" fillId="3" borderId="0" xfId="0" applyFont="1" applyFill="1" applyAlignment="1">
      <alignment horizontal="left" vertical="top" wrapText="1"/>
    </xf>
    <xf numFmtId="0" fontId="50" fillId="3" borderId="0" xfId="0" applyFont="1" applyFill="1" applyAlignment="1">
      <alignment vertical="top" wrapText="1"/>
    </xf>
    <xf numFmtId="43" fontId="50" fillId="2" borderId="0" xfId="1" applyFont="1" applyFill="1" applyAlignment="1">
      <alignment vertical="top" wrapText="1"/>
    </xf>
    <xf numFmtId="0" fontId="51" fillId="2" borderId="0" xfId="0" applyFont="1" applyFill="1" applyAlignment="1">
      <alignment horizontal="center" vertical="top" wrapText="1"/>
    </xf>
    <xf numFmtId="0" fontId="10" fillId="4" borderId="18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43" fontId="11" fillId="4" borderId="18" xfId="0" applyNumberFormat="1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" fontId="10" fillId="0" borderId="0" xfId="0" applyNumberFormat="1" applyFont="1" applyBorder="1" applyAlignment="1">
      <alignment horizontal="left" vertical="top" wrapText="1"/>
    </xf>
    <xf numFmtId="17" fontId="10" fillId="0" borderId="19" xfId="0" applyNumberFormat="1" applyFont="1" applyBorder="1" applyAlignment="1">
      <alignment horizontal="left" vertical="top" wrapText="1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1" xfId="1" applyNumberFormat="1" applyFont="1" applyBorder="1" applyAlignment="1">
      <alignment horizontal="center" vertical="center" wrapText="1"/>
    </xf>
    <xf numFmtId="0" fontId="9" fillId="0" borderId="24" xfId="1" applyNumberFormat="1" applyFont="1" applyBorder="1" applyAlignment="1">
      <alignment horizontal="center" vertical="center" wrapText="1"/>
    </xf>
    <xf numFmtId="0" fontId="0" fillId="4" borderId="37" xfId="0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1" fontId="12" fillId="4" borderId="37" xfId="8" applyNumberFormat="1" applyFont="1" applyFill="1" applyBorder="1" applyAlignment="1">
      <alignment horizontal="center" vertical="center" wrapText="1"/>
    </xf>
    <xf numFmtId="4" fontId="12" fillId="4" borderId="37" xfId="8" applyNumberFormat="1" applyFont="1" applyFill="1" applyBorder="1" applyAlignment="1">
      <alignment horizontal="left" vertical="center" wrapText="1"/>
    </xf>
    <xf numFmtId="0" fontId="33" fillId="4" borderId="37" xfId="8" applyNumberFormat="1" applyFont="1" applyFill="1" applyBorder="1" applyAlignment="1">
      <alignment horizontal="center" vertical="center" wrapText="1"/>
    </xf>
    <xf numFmtId="0" fontId="33" fillId="0" borderId="37" xfId="8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19" fillId="0" borderId="0" xfId="5" applyFont="1" applyBorder="1" applyAlignment="1">
      <alignment horizontal="left" vertical="center" wrapText="1"/>
    </xf>
    <xf numFmtId="0" fontId="19" fillId="0" borderId="14" xfId="5" applyFont="1" applyBorder="1" applyAlignment="1">
      <alignment horizontal="left" vertical="center" wrapText="1"/>
    </xf>
    <xf numFmtId="0" fontId="19" fillId="0" borderId="16" xfId="5" applyFont="1" applyBorder="1" applyAlignment="1">
      <alignment horizontal="left" vertical="center" wrapText="1"/>
    </xf>
    <xf numFmtId="0" fontId="19" fillId="0" borderId="17" xfId="5" applyFont="1" applyBorder="1" applyAlignment="1">
      <alignment horizontal="left" vertical="center" wrapText="1"/>
    </xf>
    <xf numFmtId="0" fontId="13" fillId="5" borderId="4" xfId="5" applyFont="1" applyFill="1" applyBorder="1" applyAlignment="1">
      <alignment horizontal="center"/>
    </xf>
    <xf numFmtId="0" fontId="13" fillId="5" borderId="5" xfId="5" applyFont="1" applyFill="1" applyBorder="1" applyAlignment="1">
      <alignment horizontal="center"/>
    </xf>
    <xf numFmtId="0" fontId="13" fillId="5" borderId="6" xfId="5" applyFont="1" applyFill="1" applyBorder="1" applyAlignment="1">
      <alignment horizontal="center"/>
    </xf>
    <xf numFmtId="0" fontId="13" fillId="8" borderId="15" xfId="5" applyFont="1" applyFill="1" applyBorder="1" applyAlignment="1">
      <alignment horizontal="center"/>
    </xf>
    <xf numFmtId="0" fontId="13" fillId="8" borderId="16" xfId="5" applyFont="1" applyFill="1" applyBorder="1" applyAlignment="1">
      <alignment horizontal="center"/>
    </xf>
    <xf numFmtId="0" fontId="13" fillId="8" borderId="30" xfId="5" applyFont="1" applyFill="1" applyBorder="1" applyAlignment="1">
      <alignment horizontal="center"/>
    </xf>
    <xf numFmtId="0" fontId="13" fillId="8" borderId="26" xfId="5" applyFont="1" applyFill="1" applyBorder="1" applyAlignment="1">
      <alignment horizontal="center"/>
    </xf>
    <xf numFmtId="0" fontId="18" fillId="0" borderId="34" xfId="5" applyFont="1" applyBorder="1" applyAlignment="1">
      <alignment horizontal="center" vertical="center"/>
    </xf>
    <xf numFmtId="0" fontId="18" fillId="0" borderId="18" xfId="5" applyFont="1" applyBorder="1" applyAlignment="1">
      <alignment horizontal="center" vertical="center"/>
    </xf>
    <xf numFmtId="0" fontId="18" fillId="0" borderId="35" xfId="5" applyFont="1" applyBorder="1" applyAlignment="1">
      <alignment horizontal="center" vertical="center"/>
    </xf>
    <xf numFmtId="0" fontId="28" fillId="9" borderId="0" xfId="7" applyFont="1" applyFill="1" applyAlignment="1">
      <alignment horizontal="center" wrapText="1"/>
    </xf>
    <xf numFmtId="0" fontId="27" fillId="0" borderId="0" xfId="7"/>
    <xf numFmtId="0" fontId="0" fillId="4" borderId="52" xfId="0" applyFill="1" applyBorder="1" applyAlignment="1">
      <alignment horizontal="center" vertical="center" wrapText="1"/>
    </xf>
    <xf numFmtId="0" fontId="0" fillId="4" borderId="58" xfId="0" applyFill="1" applyBorder="1" applyAlignment="1">
      <alignment horizontal="center" vertical="center" wrapText="1"/>
    </xf>
    <xf numFmtId="0" fontId="29" fillId="4" borderId="67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0" fillId="4" borderId="78" xfId="0" applyFill="1" applyBorder="1" applyAlignment="1">
      <alignment horizontal="center" vertical="center" wrapText="1"/>
    </xf>
    <xf numFmtId="0" fontId="0" fillId="4" borderId="55" xfId="0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12" fillId="4" borderId="37" xfId="8" applyNumberFormat="1" applyFont="1" applyFill="1" applyBorder="1" applyAlignment="1">
      <alignment horizontal="left" vertical="center" wrapText="1"/>
    </xf>
    <xf numFmtId="0" fontId="12" fillId="4" borderId="37" xfId="8" applyNumberFormat="1" applyFont="1" applyFill="1" applyBorder="1" applyAlignment="1">
      <alignment vertical="center" wrapText="1"/>
    </xf>
    <xf numFmtId="4" fontId="12" fillId="4" borderId="37" xfId="8" applyNumberFormat="1" applyFont="1" applyFill="1" applyBorder="1" applyAlignment="1">
      <alignment vertical="center" wrapText="1"/>
    </xf>
    <xf numFmtId="1" fontId="12" fillId="4" borderId="50" xfId="8" applyNumberFormat="1" applyFont="1" applyFill="1" applyBorder="1" applyAlignment="1">
      <alignment horizontal="center" vertical="center" wrapText="1"/>
    </xf>
    <xf numFmtId="4" fontId="12" fillId="4" borderId="51" xfId="8" applyNumberFormat="1" applyFont="1" applyFill="1" applyBorder="1" applyAlignment="1">
      <alignment vertical="center" wrapText="1"/>
    </xf>
    <xf numFmtId="1" fontId="12" fillId="4" borderId="45" xfId="8" applyNumberFormat="1" applyFont="1" applyFill="1" applyBorder="1" applyAlignment="1">
      <alignment horizontal="center" vertical="center" wrapText="1"/>
    </xf>
    <xf numFmtId="1" fontId="12" fillId="4" borderId="46" xfId="8" applyNumberFormat="1" applyFont="1" applyFill="1" applyBorder="1" applyAlignment="1">
      <alignment horizontal="center" vertical="center" wrapText="1"/>
    </xf>
    <xf numFmtId="4" fontId="12" fillId="4" borderId="47" xfId="8" applyNumberFormat="1" applyFont="1" applyFill="1" applyBorder="1" applyAlignment="1">
      <alignment vertical="center" wrapText="1"/>
    </xf>
    <xf numFmtId="1" fontId="12" fillId="4" borderId="0" xfId="8" applyNumberFormat="1" applyFont="1" applyFill="1" applyAlignment="1">
      <alignment horizontal="center" vertical="center" wrapText="1"/>
    </xf>
    <xf numFmtId="0" fontId="0" fillId="4" borderId="79" xfId="0" applyFill="1" applyBorder="1" applyAlignment="1">
      <alignment horizontal="center" wrapText="1"/>
    </xf>
    <xf numFmtId="0" fontId="0" fillId="4" borderId="54" xfId="0" applyFill="1" applyBorder="1" applyAlignment="1">
      <alignment horizontal="center" wrapText="1"/>
    </xf>
    <xf numFmtId="0" fontId="0" fillId="4" borderId="38" xfId="0" applyFill="1" applyBorder="1" applyAlignment="1">
      <alignment horizontal="center" wrapText="1"/>
    </xf>
    <xf numFmtId="0" fontId="0" fillId="4" borderId="37" xfId="0" applyFill="1" applyBorder="1" applyAlignment="1">
      <alignment horizontal="center" wrapText="1"/>
    </xf>
    <xf numFmtId="0" fontId="0" fillId="4" borderId="80" xfId="0" applyFill="1" applyBorder="1" applyAlignment="1">
      <alignment horizontal="center"/>
    </xf>
    <xf numFmtId="0" fontId="0" fillId="4" borderId="79" xfId="0" applyFill="1" applyBorder="1" applyAlignment="1">
      <alignment horizontal="left" vertical="center" wrapText="1"/>
    </xf>
    <xf numFmtId="0" fontId="0" fillId="4" borderId="39" xfId="0" applyFill="1" applyBorder="1" applyAlignment="1">
      <alignment horizontal="center"/>
    </xf>
    <xf numFmtId="0" fontId="0" fillId="4" borderId="38" xfId="0" applyFill="1" applyBorder="1" applyAlignment="1">
      <alignment horizontal="left" vertical="center" wrapText="1"/>
    </xf>
    <xf numFmtId="0" fontId="0" fillId="4" borderId="37" xfId="0" applyFill="1" applyBorder="1" applyAlignment="1">
      <alignment horizontal="left" vertical="center" wrapText="1"/>
    </xf>
    <xf numFmtId="44" fontId="69" fillId="4" borderId="37" xfId="2" applyFont="1" applyFill="1" applyBorder="1" applyAlignment="1">
      <alignment horizontal="center" vertical="center" wrapText="1"/>
    </xf>
    <xf numFmtId="44" fontId="69" fillId="4" borderId="79" xfId="2" applyFont="1" applyFill="1" applyBorder="1" applyAlignment="1">
      <alignment horizontal="center" vertical="center" wrapText="1"/>
    </xf>
    <xf numFmtId="44" fontId="69" fillId="4" borderId="38" xfId="2" applyFont="1" applyFill="1" applyBorder="1" applyAlignment="1">
      <alignment horizontal="center" vertical="center" wrapText="1"/>
    </xf>
    <xf numFmtId="44" fontId="69" fillId="4" borderId="23" xfId="2" applyFont="1" applyFill="1" applyBorder="1" applyAlignment="1">
      <alignment horizontal="center" vertical="center" wrapText="1"/>
    </xf>
    <xf numFmtId="44" fontId="69" fillId="4" borderId="54" xfId="2" applyFont="1" applyFill="1" applyBorder="1" applyAlignment="1">
      <alignment horizontal="center" vertical="center" wrapText="1"/>
    </xf>
    <xf numFmtId="44" fontId="69" fillId="4" borderId="21" xfId="2" applyFont="1" applyFill="1" applyBorder="1" applyAlignment="1">
      <alignment horizontal="center" vertical="center" wrapText="1"/>
    </xf>
    <xf numFmtId="44" fontId="69" fillId="4" borderId="24" xfId="2" applyFont="1" applyFill="1" applyBorder="1" applyAlignment="1">
      <alignment horizontal="center" vertical="center" wrapText="1"/>
    </xf>
    <xf numFmtId="44" fontId="69" fillId="4" borderId="57" xfId="2" applyFont="1" applyFill="1" applyBorder="1" applyAlignment="1">
      <alignment horizontal="center" vertical="center" wrapText="1"/>
    </xf>
    <xf numFmtId="44" fontId="69" fillId="4" borderId="52" xfId="2" applyFont="1" applyFill="1" applyBorder="1" applyAlignment="1">
      <alignment horizontal="center" vertical="center" wrapText="1"/>
    </xf>
    <xf numFmtId="44" fontId="69" fillId="4" borderId="58" xfId="2" applyFont="1" applyFill="1" applyBorder="1" applyAlignment="1">
      <alignment horizontal="center" vertical="center" wrapText="1"/>
    </xf>
    <xf numFmtId="44" fontId="12" fillId="4" borderId="0" xfId="2" applyFont="1" applyFill="1" applyAlignment="1">
      <alignment horizontal="center" vertical="center" wrapText="1"/>
    </xf>
    <xf numFmtId="44" fontId="0" fillId="4" borderId="37" xfId="2" applyFont="1" applyFill="1" applyBorder="1" applyAlignment="1">
      <alignment horizontal="center"/>
    </xf>
    <xf numFmtId="44" fontId="0" fillId="4" borderId="37" xfId="2" applyFont="1" applyFill="1" applyBorder="1" applyAlignment="1">
      <alignment horizontal="center" vertical="center"/>
    </xf>
    <xf numFmtId="44" fontId="0" fillId="4" borderId="78" xfId="2" applyFont="1" applyFill="1" applyBorder="1" applyAlignment="1">
      <alignment horizontal="right" vertical="center"/>
    </xf>
    <xf numFmtId="44" fontId="0" fillId="4" borderId="40" xfId="2" applyFont="1" applyFill="1" applyBorder="1" applyAlignment="1">
      <alignment horizontal="right" vertical="center"/>
    </xf>
    <xf numFmtId="44" fontId="0" fillId="4" borderId="52" xfId="2" applyFont="1" applyFill="1" applyBorder="1" applyAlignment="1">
      <alignment horizontal="right" vertical="center"/>
    </xf>
    <xf numFmtId="44" fontId="0" fillId="4" borderId="79" xfId="2" applyFont="1" applyFill="1" applyBorder="1" applyAlignment="1">
      <alignment horizontal="center"/>
    </xf>
    <xf numFmtId="44" fontId="0" fillId="4" borderId="54" xfId="2" applyFont="1" applyFill="1" applyBorder="1" applyAlignment="1">
      <alignment horizontal="center"/>
    </xf>
    <xf numFmtId="44" fontId="0" fillId="4" borderId="38" xfId="2" applyFont="1" applyFill="1" applyBorder="1" applyAlignment="1">
      <alignment horizontal="center"/>
    </xf>
    <xf numFmtId="44" fontId="0" fillId="4" borderId="38" xfId="2" applyFont="1" applyFill="1" applyBorder="1" applyAlignment="1">
      <alignment horizontal="center"/>
    </xf>
  </cellXfs>
  <cellStyles count="10">
    <cellStyle name="Moeda" xfId="2" builtinId="4"/>
    <cellStyle name="Moeda 2" xfId="4"/>
    <cellStyle name="Normal" xfId="0" builtinId="0"/>
    <cellStyle name="Normal 2" xfId="7"/>
    <cellStyle name="Normal 2 2 2" xfId="5"/>
    <cellStyle name="Normal 3" xfId="9"/>
    <cellStyle name="Normal 3 3" xfId="8"/>
    <cellStyle name="Porcentagem" xfId="3" builtinId="5"/>
    <cellStyle name="Porcentagem 2" xfId="6"/>
    <cellStyle name="Vírgula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HP\Users\pmc\Documents\Downloads\REVIS&#195;O%2002%20-%20L&#211;GICA\LOGICA%20EM%2022-07-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-SINTETICO"/>
      <sheetName val="SINAPI-01-2014"/>
      <sheetName val="MAPA COTAÇÃO (MC01)"/>
      <sheetName val="estimativa de custo IRMA DULCE"/>
      <sheetName val="ELÉTRICA"/>
      <sheetName val="INFRA"/>
      <sheetName val="LÓGICA 2"/>
      <sheetName val="LÓGICA 22"/>
    </sheetNames>
    <sheetDataSet>
      <sheetData sheetId="0"/>
      <sheetData sheetId="1"/>
      <sheetData sheetId="2"/>
      <sheetData sheetId="3">
        <row r="6">
          <cell r="B6" t="str">
            <v>CASA IRMÃ DULCE</v>
          </cell>
        </row>
        <row r="7">
          <cell r="I7">
            <v>0.27279999999999999</v>
          </cell>
        </row>
      </sheetData>
      <sheetData sheetId="4">
        <row r="25">
          <cell r="F25">
            <v>25.390000000000004</v>
          </cell>
        </row>
      </sheetData>
      <sheetData sheetId="5">
        <row r="27">
          <cell r="F27">
            <v>2.8000000000000003</v>
          </cell>
        </row>
        <row r="44">
          <cell r="F44">
            <v>10.09</v>
          </cell>
        </row>
        <row r="62">
          <cell r="F62">
            <v>12.790000000000001</v>
          </cell>
        </row>
        <row r="80">
          <cell r="F80">
            <v>46.55</v>
          </cell>
        </row>
        <row r="98">
          <cell r="F98">
            <v>27</v>
          </cell>
        </row>
        <row r="116">
          <cell r="F116">
            <v>29.27</v>
          </cell>
        </row>
        <row r="134">
          <cell r="F134">
            <v>22.459999999999997</v>
          </cell>
        </row>
        <row r="152">
          <cell r="F152">
            <v>21.23</v>
          </cell>
        </row>
        <row r="170">
          <cell r="F170">
            <v>6.5099999999999989</v>
          </cell>
        </row>
        <row r="188">
          <cell r="F188">
            <v>4.9800000000000004</v>
          </cell>
        </row>
        <row r="206">
          <cell r="F206">
            <v>22.68</v>
          </cell>
        </row>
        <row r="224">
          <cell r="F224">
            <v>13.27</v>
          </cell>
        </row>
        <row r="242">
          <cell r="F242">
            <v>2.9060000000000006</v>
          </cell>
        </row>
        <row r="261">
          <cell r="F261">
            <v>2.6460000000000004</v>
          </cell>
        </row>
        <row r="279">
          <cell r="F279">
            <v>0.39760000000000001</v>
          </cell>
        </row>
        <row r="297">
          <cell r="F297">
            <v>3.98</v>
          </cell>
        </row>
        <row r="315">
          <cell r="F315">
            <v>4.2699999999999996</v>
          </cell>
        </row>
        <row r="334">
          <cell r="F334">
            <v>125.10000000000001</v>
          </cell>
        </row>
        <row r="352">
          <cell r="F352">
            <v>9.11</v>
          </cell>
        </row>
        <row r="370">
          <cell r="F370">
            <v>43.54</v>
          </cell>
        </row>
        <row r="388">
          <cell r="F388">
            <v>11.78</v>
          </cell>
        </row>
        <row r="406">
          <cell r="F406">
            <v>104.63000000000001</v>
          </cell>
        </row>
        <row r="424">
          <cell r="F424">
            <v>92.77</v>
          </cell>
        </row>
        <row r="442">
          <cell r="F442">
            <v>130.80000000000001</v>
          </cell>
        </row>
        <row r="460">
          <cell r="F460">
            <v>68.009999999999991</v>
          </cell>
        </row>
        <row r="478">
          <cell r="F478">
            <v>6.5399999999999991</v>
          </cell>
        </row>
        <row r="496">
          <cell r="F496">
            <v>77.89</v>
          </cell>
        </row>
        <row r="514">
          <cell r="F514">
            <v>33.94</v>
          </cell>
        </row>
        <row r="532">
          <cell r="F532">
            <v>3.9999999999999996</v>
          </cell>
        </row>
      </sheetData>
      <sheetData sheetId="6">
        <row r="24">
          <cell r="F24">
            <v>8.7899999999999991</v>
          </cell>
        </row>
        <row r="42">
          <cell r="F42">
            <v>20.28</v>
          </cell>
        </row>
        <row r="78">
          <cell r="F78">
            <v>54.65</v>
          </cell>
        </row>
        <row r="96">
          <cell r="F96">
            <v>1.37</v>
          </cell>
        </row>
        <row r="116">
          <cell r="F116">
            <v>93.740000000000009</v>
          </cell>
        </row>
        <row r="134">
          <cell r="F134">
            <v>22.82</v>
          </cell>
        </row>
        <row r="155">
          <cell r="F155">
            <v>372.28999999999996</v>
          </cell>
        </row>
        <row r="177">
          <cell r="F177">
            <v>1567.1299999999997</v>
          </cell>
        </row>
        <row r="195">
          <cell r="F195">
            <v>1038.8</v>
          </cell>
        </row>
        <row r="213">
          <cell r="F213">
            <v>300.60000000000002</v>
          </cell>
        </row>
        <row r="231">
          <cell r="F231">
            <v>41.78</v>
          </cell>
        </row>
        <row r="249">
          <cell r="F249">
            <v>48.029999999999994</v>
          </cell>
        </row>
        <row r="267">
          <cell r="F267">
            <v>55.91</v>
          </cell>
        </row>
        <row r="285">
          <cell r="F285">
            <v>11.819999999999999</v>
          </cell>
        </row>
        <row r="303">
          <cell r="F303">
            <v>1.5000000000000002</v>
          </cell>
        </row>
        <row r="321">
          <cell r="F321">
            <v>2.59</v>
          </cell>
        </row>
        <row r="339">
          <cell r="F339">
            <v>3821.9100000000003</v>
          </cell>
        </row>
        <row r="357">
          <cell r="F357">
            <v>24.71</v>
          </cell>
        </row>
        <row r="374">
          <cell r="F374">
            <v>16.48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680"/>
  <sheetViews>
    <sheetView view="pageBreakPreview" zoomScale="60" zoomScaleNormal="80" workbookViewId="0">
      <selection activeCell="O15" sqref="O15"/>
    </sheetView>
  </sheetViews>
  <sheetFormatPr defaultRowHeight="15" x14ac:dyDescent="0.25"/>
  <cols>
    <col min="2" max="2" width="47.5" customWidth="1"/>
    <col min="3" max="3" width="9" customWidth="1"/>
    <col min="4" max="4" width="5" customWidth="1"/>
    <col min="5" max="5" width="9" customWidth="1"/>
    <col min="6" max="6" width="9.375" bestFit="1" customWidth="1"/>
    <col min="7" max="7" width="10.875" customWidth="1"/>
    <col min="9" max="9" width="7.625" customWidth="1"/>
    <col min="10" max="10" width="7.375" customWidth="1"/>
    <col min="11" max="11" width="8.625" bestFit="1" customWidth="1"/>
    <col min="12" max="12" width="9" style="242"/>
    <col min="13" max="18" width="9" style="1"/>
    <col min="21" max="21" width="11.125" bestFit="1" customWidth="1"/>
    <col min="22" max="22" width="11.25" bestFit="1" customWidth="1"/>
  </cols>
  <sheetData>
    <row r="1" spans="1:57" s="154" customFormat="1" ht="20.100000000000001" customHeight="1" x14ac:dyDescent="0.25">
      <c r="A1" s="495" t="s">
        <v>1380</v>
      </c>
      <c r="B1" s="496"/>
      <c r="C1" s="496"/>
      <c r="D1" s="496"/>
      <c r="E1" s="496"/>
      <c r="F1" s="496"/>
      <c r="G1" s="496"/>
      <c r="H1" s="496"/>
      <c r="I1" s="496"/>
      <c r="J1" s="496"/>
      <c r="K1" s="497"/>
      <c r="L1" s="242"/>
      <c r="M1" s="149"/>
      <c r="N1" s="149"/>
      <c r="O1" s="149"/>
      <c r="P1" s="149"/>
      <c r="Q1" s="149"/>
      <c r="R1" s="149"/>
    </row>
    <row r="2" spans="1:57" s="145" customFormat="1" ht="20.100000000000001" customHeight="1" x14ac:dyDescent="0.25">
      <c r="A2" s="484" t="s">
        <v>703</v>
      </c>
      <c r="B2" s="484"/>
      <c r="C2" s="484"/>
      <c r="D2" s="484"/>
      <c r="E2" s="485"/>
      <c r="F2" s="485"/>
      <c r="G2" s="485"/>
      <c r="H2" s="485"/>
      <c r="I2" s="485"/>
      <c r="J2" s="485"/>
      <c r="K2" s="485"/>
      <c r="L2" s="155"/>
      <c r="M2" s="155"/>
      <c r="N2" s="155"/>
      <c r="O2" s="155"/>
      <c r="P2" s="155"/>
      <c r="Q2" s="155"/>
      <c r="R2" s="155"/>
    </row>
    <row r="3" spans="1:57" s="149" customFormat="1" ht="20.100000000000001" customHeight="1" x14ac:dyDescent="0.25">
      <c r="A3" s="498" t="s">
        <v>704</v>
      </c>
      <c r="B3" s="498"/>
      <c r="C3" s="498"/>
      <c r="D3" s="498"/>
      <c r="E3" s="213" t="s">
        <v>26</v>
      </c>
      <c r="F3" s="146"/>
      <c r="G3" s="146"/>
      <c r="H3" s="146"/>
      <c r="I3" s="147"/>
      <c r="K3" s="148">
        <v>1</v>
      </c>
    </row>
    <row r="4" spans="1:57" s="154" customFormat="1" ht="20.100000000000001" customHeight="1" x14ac:dyDescent="0.25">
      <c r="A4" s="478" t="s">
        <v>27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242"/>
      <c r="M4" s="149"/>
      <c r="N4" s="149"/>
      <c r="O4" s="149"/>
      <c r="P4" s="149"/>
      <c r="Q4" s="149"/>
      <c r="R4" s="149"/>
    </row>
    <row r="5" spans="1:57" s="154" customFormat="1" ht="20.100000000000001" customHeight="1" x14ac:dyDescent="0.25">
      <c r="A5" s="177" t="s">
        <v>3</v>
      </c>
      <c r="B5" s="171" t="s">
        <v>1381</v>
      </c>
      <c r="C5" s="171"/>
      <c r="D5" s="171"/>
      <c r="E5" s="171"/>
      <c r="F5" s="243" t="s">
        <v>24</v>
      </c>
      <c r="G5" s="244"/>
      <c r="H5" s="244"/>
      <c r="I5" s="244" t="s">
        <v>705</v>
      </c>
      <c r="J5" s="244"/>
      <c r="K5" s="244" t="s">
        <v>50</v>
      </c>
      <c r="L5" s="242"/>
      <c r="M5" s="149"/>
      <c r="N5" s="149"/>
      <c r="O5" s="149"/>
      <c r="P5" s="149"/>
      <c r="Q5" s="149"/>
      <c r="R5" s="149"/>
    </row>
    <row r="6" spans="1:57" s="154" customFormat="1" ht="20.100000000000001" customHeight="1" x14ac:dyDescent="0.25">
      <c r="A6" s="475" t="s">
        <v>1382</v>
      </c>
      <c r="B6" s="476"/>
      <c r="C6" s="476"/>
      <c r="D6" s="476"/>
      <c r="E6" s="476"/>
      <c r="F6" s="476"/>
      <c r="G6" s="476"/>
      <c r="H6" s="476"/>
      <c r="I6" s="476"/>
      <c r="J6" s="476"/>
      <c r="K6" s="477"/>
      <c r="L6" s="242"/>
      <c r="M6" s="149"/>
      <c r="N6" s="149"/>
      <c r="O6" s="149"/>
      <c r="P6" s="149"/>
      <c r="Q6" s="149"/>
      <c r="R6" s="149"/>
    </row>
    <row r="7" spans="1:57" s="166" customFormat="1" ht="20.100000000000001" customHeight="1" x14ac:dyDescent="0.25">
      <c r="A7" s="245"/>
      <c r="B7" s="246" t="s">
        <v>1383</v>
      </c>
      <c r="C7" s="246"/>
      <c r="D7" s="246"/>
      <c r="E7" s="246"/>
      <c r="F7" s="247"/>
      <c r="G7" s="248"/>
      <c r="H7" s="249"/>
      <c r="I7" s="249">
        <v>52.53</v>
      </c>
      <c r="J7" s="248"/>
      <c r="K7" s="249">
        <f>I7</f>
        <v>52.53</v>
      </c>
      <c r="L7" s="250"/>
    </row>
    <row r="8" spans="1:57" s="166" customFormat="1" ht="20.100000000000001" customHeight="1" x14ac:dyDescent="0.25">
      <c r="A8" s="245"/>
      <c r="B8" s="246" t="s">
        <v>1383</v>
      </c>
      <c r="C8" s="246"/>
      <c r="D8" s="246"/>
      <c r="E8" s="246"/>
      <c r="F8" s="247"/>
      <c r="G8" s="248"/>
      <c r="H8" s="249"/>
      <c r="I8" s="249">
        <v>61.9</v>
      </c>
      <c r="J8" s="248"/>
      <c r="K8" s="249">
        <f>I8</f>
        <v>61.9</v>
      </c>
      <c r="L8" s="250"/>
    </row>
    <row r="9" spans="1:57" s="154" customFormat="1" ht="20.100000000000001" customHeight="1" x14ac:dyDescent="0.25">
      <c r="A9" s="475" t="s">
        <v>1384</v>
      </c>
      <c r="B9" s="476"/>
      <c r="C9" s="476"/>
      <c r="D9" s="476"/>
      <c r="E9" s="476"/>
      <c r="F9" s="476"/>
      <c r="G9" s="476"/>
      <c r="H9" s="476"/>
      <c r="I9" s="476"/>
      <c r="J9" s="476"/>
      <c r="K9" s="477"/>
      <c r="L9" s="250"/>
      <c r="M9" s="149"/>
      <c r="N9" s="149"/>
      <c r="O9" s="149"/>
      <c r="P9" s="149"/>
      <c r="Q9" s="149"/>
      <c r="R9" s="149"/>
    </row>
    <row r="10" spans="1:57" s="166" customFormat="1" ht="20.100000000000001" customHeight="1" x14ac:dyDescent="0.25">
      <c r="A10" s="245"/>
      <c r="B10" s="246" t="s">
        <v>1385</v>
      </c>
      <c r="C10" s="246"/>
      <c r="D10" s="246"/>
      <c r="E10" s="246"/>
      <c r="F10" s="247"/>
      <c r="G10" s="248"/>
      <c r="H10" s="249"/>
      <c r="I10" s="249">
        <v>17.7</v>
      </c>
      <c r="J10" s="248"/>
      <c r="K10" s="249">
        <f>I10</f>
        <v>17.7</v>
      </c>
      <c r="L10" s="250"/>
    </row>
    <row r="11" spans="1:57" s="166" customFormat="1" ht="20.100000000000001" customHeight="1" x14ac:dyDescent="0.25">
      <c r="A11" s="245"/>
      <c r="B11" s="246" t="s">
        <v>1386</v>
      </c>
      <c r="C11" s="246"/>
      <c r="D11" s="246"/>
      <c r="E11" s="246"/>
      <c r="F11" s="247"/>
      <c r="G11" s="248"/>
      <c r="H11" s="249"/>
      <c r="I11" s="249">
        <v>21.81</v>
      </c>
      <c r="J11" s="248"/>
      <c r="K11" s="249">
        <f>I11</f>
        <v>21.81</v>
      </c>
      <c r="L11" s="250"/>
    </row>
    <row r="12" spans="1:57" s="166" customFormat="1" ht="20.100000000000001" customHeight="1" x14ac:dyDescent="0.25">
      <c r="A12" s="245"/>
      <c r="B12" s="246" t="s">
        <v>1387</v>
      </c>
      <c r="C12" s="246"/>
      <c r="D12" s="246"/>
      <c r="E12" s="246"/>
      <c r="F12" s="247"/>
      <c r="G12" s="248"/>
      <c r="H12" s="249"/>
      <c r="I12" s="249">
        <v>39.93</v>
      </c>
      <c r="J12" s="248"/>
      <c r="K12" s="249">
        <f>I12</f>
        <v>39.93</v>
      </c>
      <c r="L12" s="250"/>
    </row>
    <row r="13" spans="1:57" s="154" customFormat="1" ht="20.100000000000001" customHeight="1" x14ac:dyDescent="0.25">
      <c r="A13" s="475" t="s">
        <v>1388</v>
      </c>
      <c r="B13" s="476"/>
      <c r="C13" s="476"/>
      <c r="D13" s="476"/>
      <c r="E13" s="476"/>
      <c r="F13" s="476"/>
      <c r="G13" s="476"/>
      <c r="H13" s="476"/>
      <c r="I13" s="476"/>
      <c r="J13" s="476"/>
      <c r="K13" s="477"/>
      <c r="L13" s="242"/>
      <c r="M13" s="149"/>
      <c r="N13" s="149"/>
      <c r="O13" s="149"/>
      <c r="P13" s="149"/>
      <c r="Q13" s="149"/>
      <c r="R13" s="149"/>
    </row>
    <row r="14" spans="1:57" x14ac:dyDescent="0.25">
      <c r="A14" s="251"/>
      <c r="B14" s="210" t="s">
        <v>1389</v>
      </c>
      <c r="C14" s="210"/>
      <c r="D14" s="210"/>
      <c r="E14" s="210"/>
      <c r="F14" s="210"/>
      <c r="G14" s="210"/>
      <c r="H14" s="249"/>
      <c r="I14" s="248">
        <v>69.7</v>
      </c>
      <c r="J14" s="248"/>
      <c r="K14" s="249">
        <f t="shared" ref="K14:K27" si="0">I14</f>
        <v>69.7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x14ac:dyDescent="0.25">
      <c r="A15" s="251"/>
      <c r="B15" s="210" t="s">
        <v>1390</v>
      </c>
      <c r="C15" s="210"/>
      <c r="D15" s="210"/>
      <c r="E15" s="210"/>
      <c r="F15" s="210"/>
      <c r="G15" s="210"/>
      <c r="H15" s="249"/>
      <c r="I15" s="248">
        <v>38.770000000000003</v>
      </c>
      <c r="J15" s="248"/>
      <c r="K15" s="249">
        <f t="shared" si="0"/>
        <v>38.770000000000003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x14ac:dyDescent="0.25">
      <c r="A16" s="251"/>
      <c r="B16" s="210" t="s">
        <v>810</v>
      </c>
      <c r="C16" s="210"/>
      <c r="D16" s="210"/>
      <c r="E16" s="210"/>
      <c r="F16" s="210"/>
      <c r="G16" s="210"/>
      <c r="H16" s="249"/>
      <c r="I16" s="248">
        <v>17.25</v>
      </c>
      <c r="J16" s="248"/>
      <c r="K16" s="249">
        <f t="shared" si="0"/>
        <v>17.25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x14ac:dyDescent="0.25">
      <c r="A17" s="251"/>
      <c r="B17" s="210" t="s">
        <v>1391</v>
      </c>
      <c r="C17" s="210"/>
      <c r="D17" s="210"/>
      <c r="E17" s="210"/>
      <c r="F17" s="210"/>
      <c r="G17" s="210"/>
      <c r="H17" s="249"/>
      <c r="I17" s="248">
        <v>27.6</v>
      </c>
      <c r="J17" s="248"/>
      <c r="K17" s="249">
        <f t="shared" si="0"/>
        <v>27.6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x14ac:dyDescent="0.25">
      <c r="A18" s="251"/>
      <c r="B18" s="210" t="s">
        <v>1392</v>
      </c>
      <c r="C18" s="210"/>
      <c r="D18" s="210"/>
      <c r="E18" s="210"/>
      <c r="F18" s="210"/>
      <c r="G18" s="210"/>
      <c r="H18" s="249"/>
      <c r="I18" s="248">
        <v>2.72</v>
      </c>
      <c r="J18" s="248"/>
      <c r="K18" s="249">
        <f t="shared" si="0"/>
        <v>2.72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x14ac:dyDescent="0.25">
      <c r="A19" s="251"/>
      <c r="B19" s="210" t="s">
        <v>1393</v>
      </c>
      <c r="C19" s="210"/>
      <c r="D19" s="210"/>
      <c r="E19" s="210"/>
      <c r="F19" s="210"/>
      <c r="G19" s="210"/>
      <c r="H19" s="249"/>
      <c r="I19" s="248">
        <v>2.85</v>
      </c>
      <c r="J19" s="248"/>
      <c r="K19" s="249">
        <f t="shared" si="0"/>
        <v>2.85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x14ac:dyDescent="0.25">
      <c r="A20" s="251"/>
      <c r="B20" s="210" t="s">
        <v>1394</v>
      </c>
      <c r="C20" s="210"/>
      <c r="D20" s="210"/>
      <c r="E20" s="210"/>
      <c r="F20" s="210"/>
      <c r="G20" s="210"/>
      <c r="H20" s="249"/>
      <c r="I20" s="248">
        <v>2.5</v>
      </c>
      <c r="J20" s="248"/>
      <c r="K20" s="249">
        <f t="shared" si="0"/>
        <v>2.5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x14ac:dyDescent="0.25">
      <c r="A21" s="251"/>
      <c r="B21" s="210" t="s">
        <v>1395</v>
      </c>
      <c r="C21" s="210"/>
      <c r="D21" s="210"/>
      <c r="E21" s="210"/>
      <c r="F21" s="210"/>
      <c r="G21" s="210"/>
      <c r="H21" s="249"/>
      <c r="I21" s="248">
        <v>2.69</v>
      </c>
      <c r="J21" s="248"/>
      <c r="K21" s="249">
        <f t="shared" si="0"/>
        <v>2.69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x14ac:dyDescent="0.25">
      <c r="A22" s="251"/>
      <c r="B22" s="210" t="s">
        <v>1396</v>
      </c>
      <c r="C22" s="210"/>
      <c r="D22" s="210"/>
      <c r="E22" s="210"/>
      <c r="F22" s="210"/>
      <c r="G22" s="210"/>
      <c r="H22" s="249"/>
      <c r="I22" s="248">
        <v>16.52</v>
      </c>
      <c r="J22" s="248"/>
      <c r="K22" s="249">
        <f t="shared" si="0"/>
        <v>16.52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x14ac:dyDescent="0.25">
      <c r="A23" s="251"/>
      <c r="B23" s="210" t="s">
        <v>1397</v>
      </c>
      <c r="C23" s="210"/>
      <c r="D23" s="210"/>
      <c r="E23" s="210"/>
      <c r="F23" s="210"/>
      <c r="G23" s="210"/>
      <c r="H23" s="249"/>
      <c r="I23" s="248">
        <v>20.329999999999998</v>
      </c>
      <c r="J23" s="248"/>
      <c r="K23" s="249">
        <f t="shared" si="0"/>
        <v>20.329999999999998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x14ac:dyDescent="0.25">
      <c r="A24" s="251"/>
      <c r="B24" s="210" t="s">
        <v>1398</v>
      </c>
      <c r="C24" s="210"/>
      <c r="D24" s="210"/>
      <c r="E24" s="210"/>
      <c r="F24" s="210"/>
      <c r="G24" s="210"/>
      <c r="H24" s="249"/>
      <c r="I24" s="248">
        <v>20.47</v>
      </c>
      <c r="J24" s="248"/>
      <c r="K24" s="249">
        <f t="shared" si="0"/>
        <v>20.47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x14ac:dyDescent="0.25">
      <c r="A25" s="251"/>
      <c r="B25" s="210" t="s">
        <v>1399</v>
      </c>
      <c r="C25" s="210"/>
      <c r="D25" s="210"/>
      <c r="E25" s="210"/>
      <c r="F25" s="210"/>
      <c r="G25" s="210"/>
      <c r="H25" s="249"/>
      <c r="I25" s="248">
        <v>20.73</v>
      </c>
      <c r="J25" s="248"/>
      <c r="K25" s="249">
        <f t="shared" si="0"/>
        <v>20.73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x14ac:dyDescent="0.25">
      <c r="A26" s="251"/>
      <c r="B26" s="210" t="s">
        <v>1400</v>
      </c>
      <c r="C26" s="210"/>
      <c r="D26" s="210"/>
      <c r="E26" s="210"/>
      <c r="F26" s="210"/>
      <c r="G26" s="210"/>
      <c r="H26" s="249"/>
      <c r="I26" s="248">
        <v>17.55</v>
      </c>
      <c r="J26" s="248"/>
      <c r="K26" s="249">
        <f t="shared" si="0"/>
        <v>17.55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x14ac:dyDescent="0.25">
      <c r="A27" s="251"/>
      <c r="B27" s="210" t="s">
        <v>1401</v>
      </c>
      <c r="C27" s="210"/>
      <c r="D27" s="210"/>
      <c r="E27" s="210"/>
      <c r="F27" s="210"/>
      <c r="G27" s="210"/>
      <c r="H27" s="249"/>
      <c r="I27" s="248">
        <v>22.94</v>
      </c>
      <c r="J27" s="248"/>
      <c r="K27" s="249">
        <f t="shared" si="0"/>
        <v>22.94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s="154" customFormat="1" ht="20.100000000000001" customHeight="1" x14ac:dyDescent="0.25">
      <c r="A28" s="475" t="s">
        <v>1402</v>
      </c>
      <c r="B28" s="476"/>
      <c r="C28" s="476"/>
      <c r="D28" s="476"/>
      <c r="E28" s="476"/>
      <c r="F28" s="476"/>
      <c r="G28" s="476"/>
      <c r="H28" s="476"/>
      <c r="I28" s="476"/>
      <c r="J28" s="476"/>
      <c r="K28" s="477"/>
      <c r="L28" s="242"/>
      <c r="M28" s="149"/>
      <c r="N28" s="149"/>
      <c r="O28" s="149"/>
      <c r="P28" s="149"/>
      <c r="Q28" s="149"/>
      <c r="R28" s="149"/>
    </row>
    <row r="29" spans="1:57" s="1" customFormat="1" x14ac:dyDescent="0.25">
      <c r="B29" s="1" t="s">
        <v>1403</v>
      </c>
      <c r="I29" s="1">
        <v>100.31</v>
      </c>
      <c r="K29" s="1">
        <f>I29</f>
        <v>100.31</v>
      </c>
      <c r="L29" s="242"/>
    </row>
    <row r="30" spans="1:57" s="154" customFormat="1" ht="18.75" customHeight="1" x14ac:dyDescent="0.25">
      <c r="A30" s="470" t="s">
        <v>163</v>
      </c>
      <c r="B30" s="471"/>
      <c r="C30" s="471"/>
      <c r="D30" s="471"/>
      <c r="E30" s="471"/>
      <c r="F30" s="472"/>
      <c r="G30" s="472"/>
      <c r="H30" s="472"/>
      <c r="I30" s="472"/>
      <c r="J30" s="472"/>
      <c r="K30" s="252">
        <f>SUM(K7:K29)</f>
        <v>576.79999999999995</v>
      </c>
      <c r="L30" s="250"/>
      <c r="M30" s="149"/>
      <c r="N30" s="149"/>
      <c r="O30" s="149"/>
      <c r="P30" s="149"/>
      <c r="Q30" s="149"/>
      <c r="R30" s="149"/>
    </row>
    <row r="31" spans="1:57" s="154" customFormat="1" ht="20.100000000000001" customHeight="1" x14ac:dyDescent="0.25">
      <c r="A31" s="177" t="s">
        <v>3</v>
      </c>
      <c r="B31" s="171" t="s">
        <v>1404</v>
      </c>
      <c r="C31" s="171"/>
      <c r="D31" s="171"/>
      <c r="E31" s="171"/>
      <c r="F31" s="243" t="s">
        <v>24</v>
      </c>
      <c r="G31" s="244"/>
      <c r="H31" s="244"/>
      <c r="I31" s="244" t="s">
        <v>705</v>
      </c>
      <c r="J31" s="244"/>
      <c r="K31" s="244" t="s">
        <v>50</v>
      </c>
      <c r="L31" s="250"/>
      <c r="M31" s="149"/>
      <c r="N31" s="149"/>
      <c r="O31" s="149"/>
      <c r="P31" s="149"/>
      <c r="Q31" s="149"/>
      <c r="R31" s="149"/>
    </row>
    <row r="32" spans="1:57" s="154" customFormat="1" ht="20.100000000000001" customHeight="1" x14ac:dyDescent="0.25">
      <c r="A32" s="475" t="s">
        <v>1382</v>
      </c>
      <c r="B32" s="476"/>
      <c r="C32" s="476"/>
      <c r="D32" s="476"/>
      <c r="E32" s="476"/>
      <c r="F32" s="476"/>
      <c r="G32" s="476"/>
      <c r="H32" s="476"/>
      <c r="I32" s="476"/>
      <c r="J32" s="476"/>
      <c r="K32" s="477"/>
      <c r="L32" s="250"/>
      <c r="M32" s="149"/>
      <c r="N32" s="149"/>
      <c r="O32" s="149"/>
      <c r="P32" s="149"/>
      <c r="Q32" s="149"/>
      <c r="R32" s="149"/>
    </row>
    <row r="33" spans="1:18" s="166" customFormat="1" ht="20.100000000000001" customHeight="1" x14ac:dyDescent="0.25">
      <c r="A33" s="245"/>
      <c r="B33" s="246" t="s">
        <v>1405</v>
      </c>
      <c r="C33" s="246"/>
      <c r="D33" s="246"/>
      <c r="E33" s="246"/>
      <c r="F33" s="247"/>
      <c r="G33" s="248"/>
      <c r="H33" s="249"/>
      <c r="I33" s="249">
        <v>4.53</v>
      </c>
      <c r="J33" s="248"/>
      <c r="K33" s="249">
        <f>I33</f>
        <v>4.53</v>
      </c>
      <c r="L33" s="250"/>
    </row>
    <row r="34" spans="1:18" s="166" customFormat="1" ht="20.100000000000001" customHeight="1" x14ac:dyDescent="0.25">
      <c r="A34" s="245"/>
      <c r="B34" s="246" t="s">
        <v>1406</v>
      </c>
      <c r="C34" s="246"/>
      <c r="D34" s="246"/>
      <c r="E34" s="246"/>
      <c r="F34" s="247"/>
      <c r="G34" s="248"/>
      <c r="H34" s="249"/>
      <c r="I34" s="249">
        <v>8.2899999999999991</v>
      </c>
      <c r="J34" s="248"/>
      <c r="K34" s="249">
        <f>I34</f>
        <v>8.2899999999999991</v>
      </c>
      <c r="L34" s="250"/>
    </row>
    <row r="35" spans="1:18" s="166" customFormat="1" ht="20.100000000000001" customHeight="1" x14ac:dyDescent="0.25">
      <c r="A35" s="245"/>
      <c r="B35" s="246" t="s">
        <v>1407</v>
      </c>
      <c r="C35" s="246"/>
      <c r="D35" s="246"/>
      <c r="E35" s="246"/>
      <c r="F35" s="247"/>
      <c r="G35" s="248"/>
      <c r="H35" s="249"/>
      <c r="I35" s="249">
        <v>8.2899999999999991</v>
      </c>
      <c r="J35" s="248"/>
      <c r="K35" s="249">
        <f>I35</f>
        <v>8.2899999999999991</v>
      </c>
      <c r="L35" s="250"/>
    </row>
    <row r="36" spans="1:18" s="154" customFormat="1" ht="20.100000000000001" customHeight="1" x14ac:dyDescent="0.25">
      <c r="A36" s="475" t="s">
        <v>1384</v>
      </c>
      <c r="B36" s="476"/>
      <c r="C36" s="476"/>
      <c r="D36" s="476"/>
      <c r="E36" s="476"/>
      <c r="F36" s="476"/>
      <c r="G36" s="476"/>
      <c r="H36" s="476"/>
      <c r="I36" s="476"/>
      <c r="J36" s="476"/>
      <c r="K36" s="477"/>
      <c r="L36" s="250"/>
      <c r="M36" s="149"/>
      <c r="N36" s="149"/>
      <c r="O36" s="149"/>
      <c r="P36" s="149"/>
      <c r="Q36" s="149"/>
      <c r="R36" s="149"/>
    </row>
    <row r="37" spans="1:18" s="166" customFormat="1" ht="20.100000000000001" customHeight="1" x14ac:dyDescent="0.25">
      <c r="A37" s="245"/>
      <c r="B37" s="246" t="s">
        <v>1408</v>
      </c>
      <c r="C37" s="246"/>
      <c r="D37" s="246"/>
      <c r="E37" s="246"/>
      <c r="F37" s="247"/>
      <c r="G37" s="248"/>
      <c r="H37" s="249"/>
      <c r="I37" s="249">
        <v>283.5</v>
      </c>
      <c r="J37" s="248"/>
      <c r="K37" s="249">
        <f>I37</f>
        <v>283.5</v>
      </c>
      <c r="L37" s="250"/>
    </row>
    <row r="38" spans="1:18" s="154" customFormat="1" ht="22.5" customHeight="1" x14ac:dyDescent="0.25">
      <c r="A38" s="475" t="s">
        <v>1409</v>
      </c>
      <c r="B38" s="476"/>
      <c r="C38" s="476"/>
      <c r="D38" s="476"/>
      <c r="E38" s="476"/>
      <c r="F38" s="476"/>
      <c r="G38" s="476"/>
      <c r="H38" s="476"/>
      <c r="I38" s="476"/>
      <c r="J38" s="476"/>
      <c r="K38" s="477"/>
      <c r="L38" s="250"/>
      <c r="M38" s="149"/>
      <c r="N38" s="149"/>
      <c r="O38" s="149"/>
      <c r="P38" s="149"/>
      <c r="Q38" s="149"/>
      <c r="R38" s="149"/>
    </row>
    <row r="39" spans="1:18" s="166" customFormat="1" ht="20.100000000000001" customHeight="1" x14ac:dyDescent="0.25">
      <c r="A39" s="245"/>
      <c r="B39" s="246" t="s">
        <v>1410</v>
      </c>
      <c r="C39" s="246"/>
      <c r="D39" s="246"/>
      <c r="E39" s="246"/>
      <c r="F39" s="247"/>
      <c r="G39" s="248"/>
      <c r="H39" s="249"/>
      <c r="I39" s="249">
        <f>280.87+13.44</f>
        <v>294.31</v>
      </c>
      <c r="J39" s="248"/>
      <c r="K39" s="249">
        <f>I39</f>
        <v>294.31</v>
      </c>
      <c r="L39" s="250"/>
    </row>
    <row r="40" spans="1:18" s="154" customFormat="1" ht="22.5" customHeight="1" x14ac:dyDescent="0.25">
      <c r="A40" s="475" t="s">
        <v>1411</v>
      </c>
      <c r="B40" s="476"/>
      <c r="C40" s="476"/>
      <c r="D40" s="476"/>
      <c r="E40" s="476"/>
      <c r="F40" s="476"/>
      <c r="G40" s="476"/>
      <c r="H40" s="476"/>
      <c r="I40" s="476"/>
      <c r="J40" s="476"/>
      <c r="K40" s="477"/>
      <c r="L40" s="250"/>
      <c r="M40" s="149"/>
      <c r="N40" s="149"/>
      <c r="O40" s="149"/>
      <c r="P40" s="149"/>
      <c r="Q40" s="149"/>
      <c r="R40" s="149"/>
    </row>
    <row r="41" spans="1:18" s="166" customFormat="1" ht="20.100000000000001" customHeight="1" x14ac:dyDescent="0.25">
      <c r="A41" s="245"/>
      <c r="B41" s="246" t="s">
        <v>1412</v>
      </c>
      <c r="C41" s="246"/>
      <c r="D41" s="246"/>
      <c r="E41" s="246"/>
      <c r="F41" s="247"/>
      <c r="G41" s="248"/>
      <c r="H41" s="249"/>
      <c r="I41" s="249">
        <v>225.5</v>
      </c>
      <c r="J41" s="248"/>
      <c r="K41" s="249">
        <f>I41</f>
        <v>225.5</v>
      </c>
      <c r="L41" s="250"/>
    </row>
    <row r="42" spans="1:18" s="154" customFormat="1" ht="22.5" customHeight="1" x14ac:dyDescent="0.25">
      <c r="A42" s="475" t="s">
        <v>1413</v>
      </c>
      <c r="B42" s="476"/>
      <c r="C42" s="476"/>
      <c r="D42" s="476"/>
      <c r="E42" s="476"/>
      <c r="F42" s="476"/>
      <c r="G42" s="476"/>
      <c r="H42" s="476"/>
      <c r="I42" s="476"/>
      <c r="J42" s="476"/>
      <c r="K42" s="477"/>
      <c r="L42" s="250"/>
      <c r="M42" s="149"/>
      <c r="N42" s="149"/>
      <c r="O42" s="149"/>
      <c r="P42" s="149"/>
      <c r="Q42" s="149"/>
      <c r="R42" s="149"/>
    </row>
    <row r="43" spans="1:18" s="166" customFormat="1" ht="20.100000000000001" customHeight="1" x14ac:dyDescent="0.25">
      <c r="A43" s="245"/>
      <c r="B43" s="246" t="s">
        <v>1414</v>
      </c>
      <c r="C43" s="246"/>
      <c r="D43" s="246"/>
      <c r="E43" s="246"/>
      <c r="F43" s="247"/>
      <c r="G43" s="248"/>
      <c r="H43" s="249"/>
      <c r="I43" s="249">
        <v>92.75</v>
      </c>
      <c r="J43" s="248"/>
      <c r="K43" s="249">
        <f>I43</f>
        <v>92.75</v>
      </c>
      <c r="L43" s="250"/>
    </row>
    <row r="44" spans="1:18" s="154" customFormat="1" ht="18.75" customHeight="1" x14ac:dyDescent="0.25">
      <c r="A44" s="470" t="s">
        <v>163</v>
      </c>
      <c r="B44" s="471"/>
      <c r="C44" s="471"/>
      <c r="D44" s="471"/>
      <c r="E44" s="471"/>
      <c r="F44" s="472"/>
      <c r="G44" s="472"/>
      <c r="H44" s="472"/>
      <c r="I44" s="472"/>
      <c r="J44" s="472"/>
      <c r="K44" s="252">
        <f>SUM(K33:K43)</f>
        <v>917.17000000000007</v>
      </c>
      <c r="L44" s="250"/>
      <c r="M44" s="149"/>
      <c r="N44" s="149"/>
      <c r="O44" s="149"/>
      <c r="P44" s="149"/>
      <c r="Q44" s="149"/>
      <c r="R44" s="149"/>
    </row>
    <row r="45" spans="1:18" s="154" customFormat="1" ht="20.100000000000001" customHeight="1" x14ac:dyDescent="0.25">
      <c r="A45" s="177" t="s">
        <v>3</v>
      </c>
      <c r="B45" s="171" t="s">
        <v>1415</v>
      </c>
      <c r="C45" s="171"/>
      <c r="D45" s="171"/>
      <c r="E45" s="171"/>
      <c r="F45" s="243" t="s">
        <v>24</v>
      </c>
      <c r="G45" s="244" t="s">
        <v>1416</v>
      </c>
      <c r="H45" s="244" t="s">
        <v>1417</v>
      </c>
      <c r="I45" s="244" t="s">
        <v>1418</v>
      </c>
      <c r="J45" s="244"/>
      <c r="K45" s="244" t="s">
        <v>50</v>
      </c>
      <c r="L45" s="250"/>
      <c r="M45" s="149"/>
      <c r="N45" s="149"/>
      <c r="O45" s="149"/>
      <c r="P45" s="149"/>
      <c r="Q45" s="149"/>
      <c r="R45" s="149"/>
    </row>
    <row r="46" spans="1:18" s="154" customFormat="1" ht="20.100000000000001" customHeight="1" x14ac:dyDescent="0.25">
      <c r="A46" s="475" t="s">
        <v>1382</v>
      </c>
      <c r="B46" s="476"/>
      <c r="C46" s="476"/>
      <c r="D46" s="476"/>
      <c r="E46" s="476"/>
      <c r="F46" s="476"/>
      <c r="G46" s="476"/>
      <c r="H46" s="476"/>
      <c r="I46" s="476"/>
      <c r="J46" s="476"/>
      <c r="K46" s="477"/>
      <c r="L46" s="250"/>
      <c r="M46" s="149"/>
      <c r="N46" s="149"/>
      <c r="O46" s="149"/>
      <c r="P46" s="149"/>
      <c r="Q46" s="149"/>
      <c r="R46" s="149"/>
    </row>
    <row r="47" spans="1:18" s="166" customFormat="1" ht="20.100000000000001" customHeight="1" x14ac:dyDescent="0.25">
      <c r="A47" s="245"/>
      <c r="B47" s="246" t="s">
        <v>1405</v>
      </c>
      <c r="C47" s="246"/>
      <c r="D47" s="246"/>
      <c r="E47" s="246"/>
      <c r="F47" s="247"/>
      <c r="G47" s="248">
        <v>11.26</v>
      </c>
      <c r="H47" s="249">
        <v>2.37</v>
      </c>
      <c r="I47" s="249">
        <f>0.9*2.1+0.5*0.5</f>
        <v>2.14</v>
      </c>
      <c r="J47" s="248"/>
      <c r="K47" s="249">
        <f>TRUNC(G47*H47-I47,2)</f>
        <v>24.54</v>
      </c>
      <c r="L47" s="250"/>
    </row>
    <row r="48" spans="1:18" s="166" customFormat="1" ht="20.100000000000001" customHeight="1" x14ac:dyDescent="0.25">
      <c r="A48" s="245"/>
      <c r="B48" s="246" t="s">
        <v>1406</v>
      </c>
      <c r="C48" s="246"/>
      <c r="D48" s="246"/>
      <c r="E48" s="246"/>
      <c r="F48" s="247"/>
      <c r="G48" s="248">
        <v>15.8</v>
      </c>
      <c r="H48" s="249">
        <v>1.9</v>
      </c>
      <c r="I48" s="249">
        <f>0.9*2.1</f>
        <v>1.8900000000000001</v>
      </c>
      <c r="J48" s="248"/>
      <c r="K48" s="249">
        <f>TRUNC(G48*H48-I48,2)</f>
        <v>28.13</v>
      </c>
      <c r="L48" s="250"/>
    </row>
    <row r="49" spans="1:18" s="166" customFormat="1" ht="20.100000000000001" customHeight="1" x14ac:dyDescent="0.25">
      <c r="A49" s="245"/>
      <c r="B49" s="246" t="s">
        <v>1407</v>
      </c>
      <c r="C49" s="246"/>
      <c r="D49" s="246"/>
      <c r="E49" s="246"/>
      <c r="F49" s="247"/>
      <c r="G49" s="248">
        <v>15.8</v>
      </c>
      <c r="H49" s="249">
        <v>1.9</v>
      </c>
      <c r="I49" s="249">
        <f>0.9*2.1</f>
        <v>1.8900000000000001</v>
      </c>
      <c r="J49" s="248"/>
      <c r="K49" s="249">
        <f>TRUNC(G49*H49-I49,2)</f>
        <v>28.13</v>
      </c>
      <c r="L49" s="250"/>
    </row>
    <row r="50" spans="1:18" s="154" customFormat="1" ht="20.100000000000001" customHeight="1" x14ac:dyDescent="0.25">
      <c r="A50" s="475" t="s">
        <v>1384</v>
      </c>
      <c r="B50" s="476"/>
      <c r="C50" s="476"/>
      <c r="D50" s="476"/>
      <c r="E50" s="476"/>
      <c r="F50" s="476"/>
      <c r="G50" s="476"/>
      <c r="H50" s="476"/>
      <c r="I50" s="476"/>
      <c r="J50" s="476"/>
      <c r="K50" s="477"/>
      <c r="L50" s="250"/>
      <c r="M50" s="149"/>
      <c r="N50" s="149"/>
      <c r="O50" s="149"/>
      <c r="P50" s="149"/>
      <c r="Q50" s="149"/>
      <c r="R50" s="149"/>
    </row>
    <row r="51" spans="1:18" s="166" customFormat="1" ht="20.100000000000001" customHeight="1" x14ac:dyDescent="0.25">
      <c r="A51" s="245"/>
      <c r="B51" s="246" t="s">
        <v>1419</v>
      </c>
      <c r="C51" s="246"/>
      <c r="D51" s="246"/>
      <c r="E51" s="246"/>
      <c r="F51" s="247"/>
      <c r="G51" s="248">
        <v>7.6</v>
      </c>
      <c r="H51" s="249">
        <v>1.9</v>
      </c>
      <c r="I51" s="249">
        <f>2.1*0.9</f>
        <v>1.8900000000000001</v>
      </c>
      <c r="J51" s="248"/>
      <c r="K51" s="249">
        <f>TRUNC(G51*H51-I51,2)</f>
        <v>12.55</v>
      </c>
      <c r="L51" s="250"/>
    </row>
    <row r="52" spans="1:18" s="166" customFormat="1" ht="20.100000000000001" customHeight="1" x14ac:dyDescent="0.25">
      <c r="A52" s="245"/>
      <c r="B52" s="246" t="s">
        <v>1419</v>
      </c>
      <c r="C52" s="246"/>
      <c r="D52" s="246"/>
      <c r="E52" s="246"/>
      <c r="F52" s="247"/>
      <c r="G52" s="248">
        <v>8.1999999999999993</v>
      </c>
      <c r="H52" s="249">
        <v>1.9</v>
      </c>
      <c r="I52" s="249">
        <f>2.1*0.9</f>
        <v>1.8900000000000001</v>
      </c>
      <c r="J52" s="248"/>
      <c r="K52" s="249">
        <f>TRUNC(G52*H52-I52,2)</f>
        <v>13.69</v>
      </c>
      <c r="L52" s="250"/>
    </row>
    <row r="53" spans="1:18" s="166" customFormat="1" ht="20.100000000000001" customHeight="1" x14ac:dyDescent="0.25">
      <c r="A53" s="245"/>
      <c r="B53" s="246" t="s">
        <v>1419</v>
      </c>
      <c r="C53" s="246"/>
      <c r="D53" s="246"/>
      <c r="E53" s="246"/>
      <c r="F53" s="247"/>
      <c r="G53" s="248">
        <v>7.7</v>
      </c>
      <c r="H53" s="249">
        <v>1.9</v>
      </c>
      <c r="I53" s="249">
        <f>2.1*0.9</f>
        <v>1.8900000000000001</v>
      </c>
      <c r="J53" s="248"/>
      <c r="K53" s="249">
        <f>TRUNC(G53*H53-I53,2)</f>
        <v>12.74</v>
      </c>
      <c r="L53" s="250"/>
    </row>
    <row r="54" spans="1:18" s="166" customFormat="1" ht="20.100000000000001" customHeight="1" x14ac:dyDescent="0.25">
      <c r="A54" s="245"/>
      <c r="B54" s="246" t="s">
        <v>1420</v>
      </c>
      <c r="C54" s="246"/>
      <c r="D54" s="246"/>
      <c r="E54" s="246"/>
      <c r="F54" s="247"/>
      <c r="G54" s="248">
        <v>13</v>
      </c>
      <c r="H54" s="249">
        <v>1.9</v>
      </c>
      <c r="I54" s="249">
        <f>2.1*0.9</f>
        <v>1.8900000000000001</v>
      </c>
      <c r="J54" s="248"/>
      <c r="K54" s="249">
        <f t="shared" ref="K54:K55" si="1">TRUNC(G54*H54-I54,2)</f>
        <v>22.81</v>
      </c>
      <c r="L54" s="250"/>
    </row>
    <row r="55" spans="1:18" s="166" customFormat="1" ht="20.100000000000001" customHeight="1" x14ac:dyDescent="0.25">
      <c r="A55" s="245"/>
      <c r="B55" s="246" t="s">
        <v>1421</v>
      </c>
      <c r="C55" s="246"/>
      <c r="D55" s="246"/>
      <c r="E55" s="246"/>
      <c r="F55" s="247"/>
      <c r="G55" s="248">
        <v>13</v>
      </c>
      <c r="H55" s="249">
        <v>1.9</v>
      </c>
      <c r="I55" s="249">
        <f>2.1*0.9</f>
        <v>1.8900000000000001</v>
      </c>
      <c r="J55" s="248"/>
      <c r="K55" s="249">
        <f t="shared" si="1"/>
        <v>22.81</v>
      </c>
      <c r="L55" s="250"/>
    </row>
    <row r="56" spans="1:18" s="154" customFormat="1" ht="20.100000000000001" customHeight="1" x14ac:dyDescent="0.25">
      <c r="A56" s="475" t="s">
        <v>1409</v>
      </c>
      <c r="B56" s="476"/>
      <c r="C56" s="476"/>
      <c r="D56" s="476"/>
      <c r="E56" s="476"/>
      <c r="F56" s="476"/>
      <c r="G56" s="476"/>
      <c r="H56" s="476"/>
      <c r="I56" s="476"/>
      <c r="J56" s="476"/>
      <c r="K56" s="477"/>
      <c r="L56" s="250"/>
      <c r="M56" s="149"/>
      <c r="N56" s="149"/>
      <c r="O56" s="149"/>
      <c r="P56" s="149"/>
      <c r="Q56" s="149"/>
      <c r="R56" s="149"/>
    </row>
    <row r="57" spans="1:18" s="166" customFormat="1" ht="20.100000000000001" customHeight="1" x14ac:dyDescent="0.25">
      <c r="A57" s="245"/>
      <c r="B57" s="246" t="s">
        <v>1422</v>
      </c>
      <c r="C57" s="246"/>
      <c r="D57" s="246"/>
      <c r="E57" s="246"/>
      <c r="F57" s="247"/>
      <c r="G57" s="248">
        <v>8.1999999999999993</v>
      </c>
      <c r="H57" s="249">
        <v>1.8</v>
      </c>
      <c r="I57" s="249">
        <f>1.8*0.9</f>
        <v>1.62</v>
      </c>
      <c r="J57" s="248"/>
      <c r="K57" s="249">
        <f>TRUNC(G57*H57-I57,2)</f>
        <v>13.14</v>
      </c>
      <c r="L57" s="250"/>
    </row>
    <row r="58" spans="1:18" s="166" customFormat="1" ht="20.100000000000001" customHeight="1" x14ac:dyDescent="0.25">
      <c r="A58" s="245"/>
      <c r="B58" s="246" t="s">
        <v>1423</v>
      </c>
      <c r="C58" s="246"/>
      <c r="D58" s="246"/>
      <c r="E58" s="246"/>
      <c r="F58" s="247"/>
      <c r="G58" s="248">
        <v>7.2</v>
      </c>
      <c r="H58" s="249">
        <v>3.3</v>
      </c>
      <c r="I58" s="249">
        <f>2.3*0.75+2.1*0.9</f>
        <v>3.6150000000000002</v>
      </c>
      <c r="J58" s="248"/>
      <c r="K58" s="249">
        <f>TRUNC(G58*H58-I58,2)</f>
        <v>20.14</v>
      </c>
      <c r="L58" s="250"/>
    </row>
    <row r="59" spans="1:18" s="166" customFormat="1" ht="20.100000000000001" customHeight="1" x14ac:dyDescent="0.25">
      <c r="A59" s="245"/>
      <c r="B59" s="246" t="s">
        <v>1423</v>
      </c>
      <c r="C59" s="246"/>
      <c r="D59" s="246"/>
      <c r="E59" s="246"/>
      <c r="F59" s="247"/>
      <c r="G59" s="248">
        <v>7.2</v>
      </c>
      <c r="H59" s="249">
        <v>3.3</v>
      </c>
      <c r="I59" s="249">
        <f>2.3*0.75+2.1*0.9</f>
        <v>3.6150000000000002</v>
      </c>
      <c r="J59" s="248"/>
      <c r="K59" s="249">
        <f>TRUNC(G59*H59-I59,2)</f>
        <v>20.14</v>
      </c>
      <c r="L59" s="250"/>
    </row>
    <row r="60" spans="1:18" s="166" customFormat="1" ht="20.100000000000001" customHeight="1" x14ac:dyDescent="0.25">
      <c r="A60" s="245"/>
      <c r="B60" s="246" t="s">
        <v>1424</v>
      </c>
      <c r="C60" s="246"/>
      <c r="D60" s="246"/>
      <c r="E60" s="246"/>
      <c r="F60" s="247"/>
      <c r="G60" s="248">
        <v>9.4</v>
      </c>
      <c r="H60" s="249">
        <v>1.9</v>
      </c>
      <c r="I60" s="249">
        <f>2.1*0.9</f>
        <v>1.8900000000000001</v>
      </c>
      <c r="J60" s="248"/>
      <c r="K60" s="249">
        <f t="shared" ref="K60" si="2">TRUNC(G60*H60-I60,2)</f>
        <v>15.97</v>
      </c>
      <c r="L60" s="250"/>
    </row>
    <row r="61" spans="1:18" s="154" customFormat="1" ht="22.5" customHeight="1" x14ac:dyDescent="0.25">
      <c r="A61" s="475" t="s">
        <v>1411</v>
      </c>
      <c r="B61" s="476"/>
      <c r="C61" s="476"/>
      <c r="D61" s="476"/>
      <c r="E61" s="476"/>
      <c r="F61" s="476"/>
      <c r="G61" s="476"/>
      <c r="H61" s="476"/>
      <c r="I61" s="476"/>
      <c r="J61" s="476"/>
      <c r="K61" s="477"/>
      <c r="L61" s="250"/>
      <c r="M61" s="149"/>
      <c r="N61" s="149"/>
      <c r="O61" s="149"/>
      <c r="P61" s="149"/>
      <c r="Q61" s="149"/>
      <c r="R61" s="149"/>
    </row>
    <row r="62" spans="1:18" s="166" customFormat="1" ht="20.100000000000001" customHeight="1" x14ac:dyDescent="0.25">
      <c r="A62" s="245"/>
      <c r="B62" s="246" t="s">
        <v>1425</v>
      </c>
      <c r="C62" s="246"/>
      <c r="D62" s="246"/>
      <c r="E62" s="246"/>
      <c r="F62" s="247"/>
      <c r="G62" s="248">
        <v>13.1</v>
      </c>
      <c r="H62" s="249">
        <v>1.9</v>
      </c>
      <c r="I62" s="249">
        <f>1.9*0.9</f>
        <v>1.71</v>
      </c>
      <c r="J62" s="248"/>
      <c r="K62" s="249">
        <f>TRUNC(G62*H62-I62,2)</f>
        <v>23.18</v>
      </c>
      <c r="L62" s="250"/>
    </row>
    <row r="63" spans="1:18" s="166" customFormat="1" ht="20.100000000000001" customHeight="1" x14ac:dyDescent="0.25">
      <c r="A63" s="245"/>
      <c r="B63" s="246" t="s">
        <v>1391</v>
      </c>
      <c r="C63" s="246"/>
      <c r="D63" s="246"/>
      <c r="E63" s="246"/>
      <c r="F63" s="247"/>
      <c r="G63" s="248">
        <v>7.5</v>
      </c>
      <c r="H63" s="249">
        <v>1.9</v>
      </c>
      <c r="I63" s="249">
        <f>1.9*0.9</f>
        <v>1.71</v>
      </c>
      <c r="J63" s="248"/>
      <c r="K63" s="249">
        <f>TRUNC(G63*H63-I63,2)</f>
        <v>12.54</v>
      </c>
      <c r="L63" s="250"/>
    </row>
    <row r="64" spans="1:18" s="166" customFormat="1" ht="20.100000000000001" customHeight="1" x14ac:dyDescent="0.25">
      <c r="A64" s="245"/>
      <c r="B64" s="246" t="s">
        <v>1391</v>
      </c>
      <c r="C64" s="246"/>
      <c r="D64" s="246"/>
      <c r="E64" s="246"/>
      <c r="F64" s="247"/>
      <c r="G64" s="248">
        <v>7.5</v>
      </c>
      <c r="H64" s="249">
        <v>1.9</v>
      </c>
      <c r="I64" s="249">
        <f>1.9*0.9</f>
        <v>1.71</v>
      </c>
      <c r="J64" s="248"/>
      <c r="K64" s="249">
        <f>TRUNC(G64*H64-I64,2)</f>
        <v>12.54</v>
      </c>
      <c r="L64" s="250"/>
    </row>
    <row r="65" spans="1:18" s="154" customFormat="1" ht="22.5" customHeight="1" x14ac:dyDescent="0.25">
      <c r="A65" s="475" t="s">
        <v>1413</v>
      </c>
      <c r="B65" s="476"/>
      <c r="C65" s="476"/>
      <c r="D65" s="476"/>
      <c r="E65" s="476"/>
      <c r="F65" s="476"/>
      <c r="G65" s="476"/>
      <c r="H65" s="476"/>
      <c r="I65" s="476"/>
      <c r="J65" s="476"/>
      <c r="K65" s="477"/>
      <c r="L65" s="250"/>
      <c r="M65" s="149"/>
      <c r="N65" s="149"/>
      <c r="O65" s="149"/>
      <c r="P65" s="149"/>
      <c r="Q65" s="149"/>
      <c r="R65" s="149"/>
    </row>
    <row r="66" spans="1:18" s="166" customFormat="1" ht="20.100000000000001" customHeight="1" x14ac:dyDescent="0.25">
      <c r="A66" s="245"/>
      <c r="B66" s="246" t="s">
        <v>1426</v>
      </c>
      <c r="C66" s="246"/>
      <c r="D66" s="246"/>
      <c r="E66" s="246"/>
      <c r="F66" s="247"/>
      <c r="G66" s="248">
        <v>12.7</v>
      </c>
      <c r="H66" s="249">
        <v>1.8</v>
      </c>
      <c r="I66" s="249">
        <v>1.8</v>
      </c>
      <c r="J66" s="248"/>
      <c r="K66" s="249">
        <f>TRUNC(G66*H66-I66,2)</f>
        <v>21.06</v>
      </c>
      <c r="L66" s="250"/>
    </row>
    <row r="67" spans="1:18" s="154" customFormat="1" ht="18.75" customHeight="1" x14ac:dyDescent="0.25">
      <c r="A67" s="470" t="s">
        <v>163</v>
      </c>
      <c r="B67" s="471"/>
      <c r="C67" s="471"/>
      <c r="D67" s="471"/>
      <c r="E67" s="471"/>
      <c r="F67" s="472"/>
      <c r="G67" s="472"/>
      <c r="H67" s="472"/>
      <c r="I67" s="472"/>
      <c r="J67" s="472"/>
      <c r="K67" s="252">
        <f>SUM(K47:K66)</f>
        <v>304.10999999999996</v>
      </c>
      <c r="L67" s="250"/>
      <c r="M67" s="149"/>
      <c r="N67" s="149"/>
      <c r="O67" s="149"/>
      <c r="P67" s="149"/>
      <c r="Q67" s="149"/>
      <c r="R67" s="149"/>
    </row>
    <row r="68" spans="1:18" s="154" customFormat="1" ht="20.100000000000001" customHeight="1" x14ac:dyDescent="0.25">
      <c r="A68" s="177" t="s">
        <v>3</v>
      </c>
      <c r="B68" s="171" t="s">
        <v>1427</v>
      </c>
      <c r="C68" s="171"/>
      <c r="D68" s="171"/>
      <c r="E68" s="171"/>
      <c r="F68" s="243" t="s">
        <v>24</v>
      </c>
      <c r="G68" s="244" t="s">
        <v>1417</v>
      </c>
      <c r="H68" s="244" t="s">
        <v>1428</v>
      </c>
      <c r="I68" s="244" t="s">
        <v>61</v>
      </c>
      <c r="J68" s="244"/>
      <c r="K68" s="244" t="s">
        <v>50</v>
      </c>
      <c r="L68" s="250"/>
      <c r="M68" s="149"/>
      <c r="N68" s="149"/>
      <c r="O68" s="149"/>
      <c r="P68" s="149"/>
      <c r="Q68" s="149"/>
      <c r="R68" s="149"/>
    </row>
    <row r="69" spans="1:18" s="154" customFormat="1" ht="20.100000000000001" customHeight="1" x14ac:dyDescent="0.25">
      <c r="A69" s="475" t="s">
        <v>1382</v>
      </c>
      <c r="B69" s="476"/>
      <c r="C69" s="476"/>
      <c r="D69" s="476"/>
      <c r="E69" s="476"/>
      <c r="F69" s="476"/>
      <c r="G69" s="476"/>
      <c r="H69" s="476"/>
      <c r="I69" s="476"/>
      <c r="J69" s="476"/>
      <c r="K69" s="477"/>
      <c r="L69" s="250"/>
      <c r="M69" s="149"/>
      <c r="N69" s="149"/>
      <c r="O69" s="149"/>
      <c r="P69" s="149"/>
      <c r="Q69" s="149"/>
      <c r="R69" s="149"/>
    </row>
    <row r="70" spans="1:18" s="166" customFormat="1" ht="20.100000000000001" customHeight="1" x14ac:dyDescent="0.25">
      <c r="A70" s="245"/>
      <c r="B70" s="246" t="s">
        <v>1429</v>
      </c>
      <c r="C70" s="246"/>
      <c r="D70" s="246"/>
      <c r="E70" s="246"/>
      <c r="F70" s="247"/>
      <c r="G70" s="249">
        <v>2.1</v>
      </c>
      <c r="H70" s="249">
        <v>0.8</v>
      </c>
      <c r="J70" s="248"/>
      <c r="K70" s="249">
        <f t="shared" ref="K70:K80" si="3">TRUNC(G70*H70,2)</f>
        <v>1.68</v>
      </c>
      <c r="L70" s="250"/>
    </row>
    <row r="71" spans="1:18" s="166" customFormat="1" ht="20.100000000000001" customHeight="1" x14ac:dyDescent="0.25">
      <c r="A71" s="245"/>
      <c r="B71" s="246" t="s">
        <v>1430</v>
      </c>
      <c r="C71" s="246"/>
      <c r="D71" s="246"/>
      <c r="E71" s="246"/>
      <c r="F71" s="247"/>
      <c r="G71" s="249">
        <v>2.1</v>
      </c>
      <c r="H71" s="249">
        <v>1.7</v>
      </c>
      <c r="J71" s="248"/>
      <c r="K71" s="249">
        <f t="shared" si="3"/>
        <v>3.57</v>
      </c>
      <c r="L71" s="250"/>
    </row>
    <row r="72" spans="1:18" s="166" customFormat="1" ht="20.100000000000001" customHeight="1" x14ac:dyDescent="0.25">
      <c r="A72" s="245"/>
      <c r="B72" s="246" t="s">
        <v>1431</v>
      </c>
      <c r="C72" s="246"/>
      <c r="D72" s="246"/>
      <c r="E72" s="246"/>
      <c r="F72" s="247"/>
      <c r="G72" s="249">
        <v>2.1</v>
      </c>
      <c r="H72" s="249">
        <v>0.8</v>
      </c>
      <c r="J72" s="248"/>
      <c r="K72" s="249">
        <f t="shared" si="3"/>
        <v>1.68</v>
      </c>
      <c r="L72" s="250"/>
    </row>
    <row r="73" spans="1:18" s="166" customFormat="1" ht="20.100000000000001" customHeight="1" x14ac:dyDescent="0.25">
      <c r="A73" s="245"/>
      <c r="B73" s="246" t="s">
        <v>1432</v>
      </c>
      <c r="C73" s="246"/>
      <c r="D73" s="246"/>
      <c r="E73" s="246"/>
      <c r="F73" s="247"/>
      <c r="G73" s="249">
        <v>2.1</v>
      </c>
      <c r="H73" s="249">
        <v>0.8</v>
      </c>
      <c r="J73" s="248"/>
      <c r="K73" s="249">
        <f t="shared" si="3"/>
        <v>1.68</v>
      </c>
      <c r="L73" s="250"/>
    </row>
    <row r="74" spans="1:18" s="166" customFormat="1" ht="20.100000000000001" customHeight="1" x14ac:dyDescent="0.25">
      <c r="A74" s="245"/>
      <c r="B74" s="246" t="s">
        <v>1433</v>
      </c>
      <c r="C74" s="246"/>
      <c r="D74" s="246"/>
      <c r="E74" s="246"/>
      <c r="F74" s="247"/>
      <c r="G74" s="249">
        <v>2.1</v>
      </c>
      <c r="H74" s="249">
        <v>0.8</v>
      </c>
      <c r="J74" s="248"/>
      <c r="K74" s="249">
        <f t="shared" si="3"/>
        <v>1.68</v>
      </c>
      <c r="L74" s="250"/>
    </row>
    <row r="75" spans="1:18" s="166" customFormat="1" ht="20.100000000000001" customHeight="1" x14ac:dyDescent="0.25">
      <c r="A75" s="245"/>
      <c r="B75" s="246" t="s">
        <v>1434</v>
      </c>
      <c r="C75" s="246"/>
      <c r="D75" s="246"/>
      <c r="E75" s="246"/>
      <c r="F75" s="247"/>
      <c r="G75" s="249">
        <v>2.1</v>
      </c>
      <c r="H75" s="249">
        <v>0.8</v>
      </c>
      <c r="J75" s="248"/>
      <c r="K75" s="249">
        <f t="shared" si="3"/>
        <v>1.68</v>
      </c>
      <c r="L75" s="250"/>
    </row>
    <row r="76" spans="1:18" s="166" customFormat="1" ht="20.100000000000001" customHeight="1" x14ac:dyDescent="0.25">
      <c r="A76" s="245"/>
      <c r="B76" s="246" t="s">
        <v>1435</v>
      </c>
      <c r="C76" s="246"/>
      <c r="D76" s="246"/>
      <c r="E76" s="246"/>
      <c r="F76" s="247"/>
      <c r="G76" s="249">
        <v>2.1</v>
      </c>
      <c r="H76" s="249">
        <v>0.9</v>
      </c>
      <c r="J76" s="248"/>
      <c r="K76" s="249">
        <f t="shared" si="3"/>
        <v>1.89</v>
      </c>
      <c r="L76" s="250"/>
    </row>
    <row r="77" spans="1:18" s="166" customFormat="1" ht="20.100000000000001" customHeight="1" x14ac:dyDescent="0.25">
      <c r="A77" s="245"/>
      <c r="B77" s="246" t="s">
        <v>812</v>
      </c>
      <c r="C77" s="246"/>
      <c r="D77" s="246"/>
      <c r="E77" s="246"/>
      <c r="F77" s="247"/>
      <c r="G77" s="249">
        <v>2.1</v>
      </c>
      <c r="H77" s="249">
        <v>0.9</v>
      </c>
      <c r="J77" s="248"/>
      <c r="K77" s="249">
        <f t="shared" si="3"/>
        <v>1.89</v>
      </c>
      <c r="L77" s="250"/>
    </row>
    <row r="78" spans="1:18" s="166" customFormat="1" ht="20.100000000000001" customHeight="1" x14ac:dyDescent="0.25">
      <c r="A78" s="245"/>
      <c r="B78" s="246" t="s">
        <v>1436</v>
      </c>
      <c r="C78" s="246"/>
      <c r="D78" s="246"/>
      <c r="E78" s="246"/>
      <c r="F78" s="247"/>
      <c r="G78" s="249">
        <v>2.1</v>
      </c>
      <c r="H78" s="249">
        <v>0.9</v>
      </c>
      <c r="J78" s="248"/>
      <c r="K78" s="249">
        <f t="shared" si="3"/>
        <v>1.89</v>
      </c>
      <c r="L78" s="250"/>
    </row>
    <row r="79" spans="1:18" s="166" customFormat="1" ht="20.100000000000001" customHeight="1" x14ac:dyDescent="0.25">
      <c r="A79" s="245"/>
      <c r="B79" s="246" t="s">
        <v>1435</v>
      </c>
      <c r="C79" s="246"/>
      <c r="D79" s="246"/>
      <c r="E79" s="246"/>
      <c r="F79" s="247"/>
      <c r="G79" s="249">
        <v>2.1</v>
      </c>
      <c r="H79" s="249">
        <v>0.9</v>
      </c>
      <c r="J79" s="248"/>
      <c r="K79" s="249">
        <f t="shared" si="3"/>
        <v>1.89</v>
      </c>
      <c r="L79" s="250"/>
    </row>
    <row r="80" spans="1:18" s="166" customFormat="1" ht="20.100000000000001" customHeight="1" x14ac:dyDescent="0.25">
      <c r="A80" s="245"/>
      <c r="B80" s="246" t="s">
        <v>1437</v>
      </c>
      <c r="C80" s="246"/>
      <c r="D80" s="246"/>
      <c r="E80" s="246"/>
      <c r="F80" s="247"/>
      <c r="G80" s="249">
        <v>2.1</v>
      </c>
      <c r="H80" s="249">
        <v>0.9</v>
      </c>
      <c r="J80" s="248"/>
      <c r="K80" s="249">
        <f t="shared" si="3"/>
        <v>1.89</v>
      </c>
      <c r="L80" s="250"/>
    </row>
    <row r="81" spans="1:18" s="166" customFormat="1" ht="20.100000000000001" customHeight="1" x14ac:dyDescent="0.25">
      <c r="A81" s="245"/>
      <c r="B81" s="246" t="s">
        <v>1406</v>
      </c>
      <c r="C81" s="246"/>
      <c r="D81" s="246"/>
      <c r="E81" s="246"/>
      <c r="F81" s="247"/>
      <c r="G81" s="249">
        <v>2.1</v>
      </c>
      <c r="H81" s="249">
        <v>0.9</v>
      </c>
      <c r="I81" s="166">
        <v>3</v>
      </c>
      <c r="J81" s="248"/>
      <c r="K81" s="249">
        <f>TRUNC(G81*H81*I81,2)</f>
        <v>5.67</v>
      </c>
      <c r="L81" s="250"/>
    </row>
    <row r="82" spans="1:18" s="166" customFormat="1" ht="20.100000000000001" customHeight="1" x14ac:dyDescent="0.25">
      <c r="A82" s="245"/>
      <c r="B82" s="246" t="s">
        <v>1438</v>
      </c>
      <c r="C82" s="246"/>
      <c r="D82" s="246"/>
      <c r="E82" s="246"/>
      <c r="F82" s="247"/>
      <c r="G82" s="249">
        <v>2.1</v>
      </c>
      <c r="H82" s="249">
        <v>0.9</v>
      </c>
      <c r="I82" s="166">
        <v>3</v>
      </c>
      <c r="J82" s="248"/>
      <c r="K82" s="249">
        <f>TRUNC(G82*H82*I82,2)</f>
        <v>5.67</v>
      </c>
      <c r="L82" s="250"/>
    </row>
    <row r="83" spans="1:18" s="166" customFormat="1" ht="20.100000000000001" customHeight="1" x14ac:dyDescent="0.25">
      <c r="A83" s="245"/>
      <c r="B83" s="246" t="s">
        <v>1439</v>
      </c>
      <c r="C83" s="246"/>
      <c r="D83" s="246"/>
      <c r="E83" s="246"/>
      <c r="F83" s="247"/>
      <c r="G83" s="249">
        <v>2.1</v>
      </c>
      <c r="H83" s="249">
        <v>0.9</v>
      </c>
      <c r="J83" s="248"/>
      <c r="K83" s="249">
        <f>TRUNC(G83*H83,2)</f>
        <v>1.89</v>
      </c>
      <c r="L83" s="250"/>
    </row>
    <row r="84" spans="1:18" s="166" customFormat="1" ht="20.100000000000001" customHeight="1" x14ac:dyDescent="0.25">
      <c r="A84" s="245"/>
      <c r="B84" s="246" t="s">
        <v>1440</v>
      </c>
      <c r="C84" s="246"/>
      <c r="D84" s="246"/>
      <c r="E84" s="246"/>
      <c r="F84" s="247"/>
      <c r="G84" s="249">
        <v>2.1</v>
      </c>
      <c r="H84" s="249">
        <v>0.9</v>
      </c>
      <c r="I84" s="166">
        <v>3</v>
      </c>
      <c r="J84" s="248"/>
      <c r="K84" s="249">
        <f>TRUNC(G84*H84*I84,2)</f>
        <v>5.67</v>
      </c>
      <c r="L84" s="250"/>
    </row>
    <row r="85" spans="1:18" s="166" customFormat="1" ht="20.100000000000001" customHeight="1" x14ac:dyDescent="0.25">
      <c r="A85" s="245"/>
      <c r="B85" s="246" t="s">
        <v>1441</v>
      </c>
      <c r="C85" s="246"/>
      <c r="D85" s="246"/>
      <c r="E85" s="246"/>
      <c r="F85" s="247"/>
      <c r="G85" s="249">
        <v>2.1</v>
      </c>
      <c r="H85" s="249">
        <v>0.9</v>
      </c>
      <c r="J85" s="248"/>
      <c r="K85" s="249">
        <f>TRUNC(G85*H85,2)</f>
        <v>1.89</v>
      </c>
      <c r="L85" s="250"/>
    </row>
    <row r="86" spans="1:18" s="166" customFormat="1" ht="20.100000000000001" customHeight="1" x14ac:dyDescent="0.25">
      <c r="A86" s="245"/>
      <c r="B86" s="246" t="s">
        <v>1442</v>
      </c>
      <c r="C86" s="246"/>
      <c r="D86" s="246"/>
      <c r="E86" s="246"/>
      <c r="F86" s="247"/>
      <c r="G86" s="249">
        <v>2.1</v>
      </c>
      <c r="H86" s="249">
        <v>0.9</v>
      </c>
      <c r="J86" s="248"/>
      <c r="K86" s="249">
        <f>TRUNC(G86*H86,2)</f>
        <v>1.89</v>
      </c>
      <c r="L86" s="250"/>
    </row>
    <row r="87" spans="1:18" s="154" customFormat="1" ht="20.100000000000001" customHeight="1" x14ac:dyDescent="0.25">
      <c r="A87" s="475" t="s">
        <v>1384</v>
      </c>
      <c r="B87" s="476"/>
      <c r="C87" s="476"/>
      <c r="D87" s="476"/>
      <c r="E87" s="476"/>
      <c r="F87" s="476"/>
      <c r="G87" s="476"/>
      <c r="H87" s="476"/>
      <c r="I87" s="476"/>
      <c r="J87" s="476"/>
      <c r="K87" s="477"/>
      <c r="L87" s="250"/>
      <c r="M87" s="149"/>
      <c r="N87" s="149"/>
      <c r="O87" s="149"/>
      <c r="P87" s="149"/>
      <c r="Q87" s="149"/>
      <c r="R87" s="149"/>
    </row>
    <row r="88" spans="1:18" s="166" customFormat="1" ht="20.100000000000001" customHeight="1" x14ac:dyDescent="0.25">
      <c r="A88" s="245"/>
      <c r="B88" s="246" t="s">
        <v>1443</v>
      </c>
      <c r="C88" s="246"/>
      <c r="D88" s="246"/>
      <c r="E88" s="246"/>
      <c r="F88" s="247"/>
      <c r="G88" s="249">
        <v>2.1</v>
      </c>
      <c r="H88" s="249">
        <v>1.2</v>
      </c>
      <c r="J88" s="248"/>
      <c r="K88" s="249">
        <f t="shared" ref="K88:K100" si="4">TRUNC(G88*H88,2)</f>
        <v>2.52</v>
      </c>
      <c r="L88" s="250"/>
    </row>
    <row r="89" spans="1:18" s="166" customFormat="1" ht="20.100000000000001" customHeight="1" x14ac:dyDescent="0.25">
      <c r="A89" s="245"/>
      <c r="B89" s="246" t="s">
        <v>1444</v>
      </c>
      <c r="C89" s="246"/>
      <c r="D89" s="246"/>
      <c r="E89" s="246"/>
      <c r="F89" s="247"/>
      <c r="G89" s="249">
        <v>2.1</v>
      </c>
      <c r="H89" s="249">
        <v>0.8</v>
      </c>
      <c r="J89" s="248"/>
      <c r="K89" s="249">
        <f t="shared" si="4"/>
        <v>1.68</v>
      </c>
      <c r="L89" s="250"/>
    </row>
    <row r="90" spans="1:18" s="166" customFormat="1" ht="20.100000000000001" customHeight="1" x14ac:dyDescent="0.25">
      <c r="A90" s="245"/>
      <c r="B90" s="246" t="s">
        <v>1445</v>
      </c>
      <c r="C90" s="246"/>
      <c r="D90" s="246"/>
      <c r="E90" s="246"/>
      <c r="F90" s="247"/>
      <c r="G90" s="249">
        <v>2.1</v>
      </c>
      <c r="H90" s="249">
        <v>0.9</v>
      </c>
      <c r="J90" s="248"/>
      <c r="K90" s="249">
        <f t="shared" si="4"/>
        <v>1.89</v>
      </c>
      <c r="L90" s="250"/>
    </row>
    <row r="91" spans="1:18" s="166" customFormat="1" ht="20.100000000000001" customHeight="1" x14ac:dyDescent="0.25">
      <c r="A91" s="245"/>
      <c r="B91" s="246" t="s">
        <v>1446</v>
      </c>
      <c r="C91" s="246"/>
      <c r="D91" s="246"/>
      <c r="E91" s="246"/>
      <c r="F91" s="247"/>
      <c r="G91" s="249">
        <v>2.1</v>
      </c>
      <c r="H91" s="249">
        <v>0.9</v>
      </c>
      <c r="J91" s="248"/>
      <c r="K91" s="249">
        <f t="shared" si="4"/>
        <v>1.89</v>
      </c>
      <c r="L91" s="250"/>
    </row>
    <row r="92" spans="1:18" s="166" customFormat="1" ht="20.100000000000001" customHeight="1" x14ac:dyDescent="0.25">
      <c r="A92" s="245"/>
      <c r="B92" s="246" t="s">
        <v>1447</v>
      </c>
      <c r="C92" s="246"/>
      <c r="D92" s="246"/>
      <c r="E92" s="246"/>
      <c r="F92" s="247"/>
      <c r="G92" s="249">
        <v>2.1</v>
      </c>
      <c r="H92" s="249">
        <v>0.9</v>
      </c>
      <c r="J92" s="248"/>
      <c r="K92" s="249">
        <f t="shared" si="4"/>
        <v>1.89</v>
      </c>
      <c r="L92" s="250"/>
    </row>
    <row r="93" spans="1:18" s="166" customFormat="1" ht="20.100000000000001" customHeight="1" x14ac:dyDescent="0.25">
      <c r="A93" s="245"/>
      <c r="B93" s="246" t="s">
        <v>1448</v>
      </c>
      <c r="C93" s="246"/>
      <c r="D93" s="246"/>
      <c r="E93" s="246"/>
      <c r="F93" s="247"/>
      <c r="G93" s="249">
        <v>2.1</v>
      </c>
      <c r="H93" s="249">
        <v>1.7</v>
      </c>
      <c r="J93" s="248"/>
      <c r="K93" s="249">
        <f t="shared" si="4"/>
        <v>3.57</v>
      </c>
      <c r="L93" s="250"/>
    </row>
    <row r="94" spans="1:18" s="166" customFormat="1" ht="20.100000000000001" customHeight="1" x14ac:dyDescent="0.25">
      <c r="A94" s="245"/>
      <c r="B94" s="246" t="s">
        <v>1446</v>
      </c>
      <c r="C94" s="246"/>
      <c r="D94" s="246"/>
      <c r="E94" s="246"/>
      <c r="F94" s="247"/>
      <c r="G94" s="249">
        <v>2.1</v>
      </c>
      <c r="H94" s="249">
        <v>0.9</v>
      </c>
      <c r="J94" s="248"/>
      <c r="K94" s="249">
        <f t="shared" si="4"/>
        <v>1.89</v>
      </c>
      <c r="L94" s="250"/>
    </row>
    <row r="95" spans="1:18" s="166" customFormat="1" ht="20.100000000000001" customHeight="1" x14ac:dyDescent="0.25">
      <c r="A95" s="245"/>
      <c r="B95" s="246" t="s">
        <v>1449</v>
      </c>
      <c r="C95" s="246"/>
      <c r="D95" s="246"/>
      <c r="E95" s="246"/>
      <c r="F95" s="247"/>
      <c r="G95" s="249">
        <v>2.1</v>
      </c>
      <c r="H95" s="249">
        <v>0.9</v>
      </c>
      <c r="J95" s="248"/>
      <c r="K95" s="249">
        <f t="shared" si="4"/>
        <v>1.89</v>
      </c>
      <c r="L95" s="250"/>
    </row>
    <row r="96" spans="1:18" s="166" customFormat="1" ht="20.100000000000001" customHeight="1" x14ac:dyDescent="0.25">
      <c r="A96" s="245"/>
      <c r="B96" s="246" t="s">
        <v>1420</v>
      </c>
      <c r="C96" s="246"/>
      <c r="D96" s="246"/>
      <c r="E96" s="246"/>
      <c r="F96" s="247"/>
      <c r="G96" s="249">
        <v>2.1</v>
      </c>
      <c r="H96" s="249">
        <v>0.9</v>
      </c>
      <c r="J96" s="248"/>
      <c r="K96" s="249">
        <f t="shared" si="4"/>
        <v>1.89</v>
      </c>
      <c r="L96" s="250"/>
    </row>
    <row r="97" spans="1:18" s="166" customFormat="1" ht="20.100000000000001" customHeight="1" x14ac:dyDescent="0.25">
      <c r="A97" s="245"/>
      <c r="B97" s="246" t="s">
        <v>1450</v>
      </c>
      <c r="C97" s="246"/>
      <c r="D97" s="246"/>
      <c r="E97" s="246"/>
      <c r="F97" s="247"/>
      <c r="G97" s="249">
        <v>2.1</v>
      </c>
      <c r="H97" s="249">
        <v>0.9</v>
      </c>
      <c r="J97" s="248"/>
      <c r="K97" s="249">
        <f t="shared" si="4"/>
        <v>1.89</v>
      </c>
      <c r="L97" s="250"/>
    </row>
    <row r="98" spans="1:18" s="166" customFormat="1" ht="20.100000000000001" customHeight="1" x14ac:dyDescent="0.25">
      <c r="A98" s="245"/>
      <c r="B98" s="246" t="s">
        <v>1451</v>
      </c>
      <c r="C98" s="246"/>
      <c r="D98" s="246"/>
      <c r="E98" s="246"/>
      <c r="F98" s="247"/>
      <c r="G98" s="249">
        <v>2.1</v>
      </c>
      <c r="H98" s="249">
        <v>0.9</v>
      </c>
      <c r="I98" s="166">
        <v>2</v>
      </c>
      <c r="J98" s="248"/>
      <c r="K98" s="249">
        <f>TRUNC(G98*H98*I98,2)</f>
        <v>3.78</v>
      </c>
      <c r="L98" s="250"/>
    </row>
    <row r="99" spans="1:18" s="166" customFormat="1" ht="20.100000000000001" customHeight="1" x14ac:dyDescent="0.25">
      <c r="A99" s="245"/>
      <c r="B99" s="246" t="s">
        <v>1452</v>
      </c>
      <c r="C99" s="246"/>
      <c r="D99" s="246"/>
      <c r="E99" s="246"/>
      <c r="F99" s="247"/>
      <c r="G99" s="249">
        <v>2.1</v>
      </c>
      <c r="H99" s="249">
        <v>0.9</v>
      </c>
      <c r="I99" s="166">
        <v>3</v>
      </c>
      <c r="J99" s="248"/>
      <c r="K99" s="249">
        <f>TRUNC(G99*H99*I99,2)</f>
        <v>5.67</v>
      </c>
      <c r="L99" s="250"/>
    </row>
    <row r="100" spans="1:18" s="166" customFormat="1" ht="20.100000000000001" customHeight="1" x14ac:dyDescent="0.25">
      <c r="A100" s="245"/>
      <c r="B100" s="246" t="s">
        <v>1453</v>
      </c>
      <c r="C100" s="246"/>
      <c r="D100" s="246"/>
      <c r="E100" s="246"/>
      <c r="F100" s="247"/>
      <c r="G100" s="249">
        <v>2.1</v>
      </c>
      <c r="H100" s="249">
        <v>0.9</v>
      </c>
      <c r="J100" s="248"/>
      <c r="K100" s="249">
        <f t="shared" si="4"/>
        <v>1.89</v>
      </c>
      <c r="L100" s="250"/>
    </row>
    <row r="101" spans="1:18" s="166" customFormat="1" ht="20.100000000000001" customHeight="1" x14ac:dyDescent="0.25">
      <c r="A101" s="245"/>
      <c r="B101" s="246" t="s">
        <v>1454</v>
      </c>
      <c r="C101" s="246"/>
      <c r="D101" s="246"/>
      <c r="E101" s="246"/>
      <c r="F101" s="247"/>
      <c r="G101" s="249">
        <v>2.1</v>
      </c>
      <c r="H101" s="249">
        <v>0.9</v>
      </c>
      <c r="J101" s="248"/>
      <c r="K101" s="249">
        <f>TRUNC(G101*H101,2)</f>
        <v>1.89</v>
      </c>
      <c r="L101" s="250"/>
    </row>
    <row r="102" spans="1:18" s="166" customFormat="1" ht="20.100000000000001" customHeight="1" x14ac:dyDescent="0.25">
      <c r="A102" s="245"/>
      <c r="B102" s="246" t="s">
        <v>1455</v>
      </c>
      <c r="C102" s="246"/>
      <c r="D102" s="246"/>
      <c r="E102" s="246"/>
      <c r="F102" s="247"/>
      <c r="G102" s="249">
        <v>2.1</v>
      </c>
      <c r="H102" s="249">
        <v>1.2</v>
      </c>
      <c r="J102" s="248"/>
      <c r="K102" s="249">
        <f>TRUNC(G102*H102,2)</f>
        <v>2.52</v>
      </c>
      <c r="L102" s="250"/>
    </row>
    <row r="103" spans="1:18" s="166" customFormat="1" ht="20.100000000000001" customHeight="1" x14ac:dyDescent="0.25">
      <c r="A103" s="245"/>
      <c r="B103" s="246" t="s">
        <v>1456</v>
      </c>
      <c r="C103" s="246"/>
      <c r="D103" s="246"/>
      <c r="E103" s="246"/>
      <c r="F103" s="247"/>
      <c r="G103" s="249">
        <v>2.1</v>
      </c>
      <c r="H103" s="249">
        <v>1.2</v>
      </c>
      <c r="I103" s="166">
        <v>2</v>
      </c>
      <c r="J103" s="248"/>
      <c r="K103" s="249">
        <f>TRUNC(G103*H103*I103,2)</f>
        <v>5.04</v>
      </c>
      <c r="L103" s="250"/>
    </row>
    <row r="104" spans="1:18" s="166" customFormat="1" ht="20.100000000000001" customHeight="1" x14ac:dyDescent="0.25">
      <c r="A104" s="245"/>
      <c r="B104" s="246" t="s">
        <v>1457</v>
      </c>
      <c r="C104" s="246"/>
      <c r="D104" s="246"/>
      <c r="E104" s="246"/>
      <c r="F104" s="247"/>
      <c r="G104" s="249">
        <v>2.1</v>
      </c>
      <c r="H104" s="249">
        <v>0.9</v>
      </c>
      <c r="J104" s="248"/>
      <c r="K104" s="249">
        <f>TRUNC(G104*H104,2)</f>
        <v>1.89</v>
      </c>
      <c r="L104" s="250"/>
    </row>
    <row r="105" spans="1:18" s="166" customFormat="1" ht="20.100000000000001" customHeight="1" x14ac:dyDescent="0.25">
      <c r="A105" s="245"/>
      <c r="B105" s="246" t="s">
        <v>812</v>
      </c>
      <c r="C105" s="246"/>
      <c r="D105" s="246"/>
      <c r="E105" s="246"/>
      <c r="F105" s="247"/>
      <c r="G105" s="249">
        <v>2.1</v>
      </c>
      <c r="H105" s="249">
        <v>0.9</v>
      </c>
      <c r="I105" s="166">
        <v>2</v>
      </c>
      <c r="J105" s="248"/>
      <c r="K105" s="249">
        <f>TRUNC(G105*H105*I105,2)</f>
        <v>3.78</v>
      </c>
      <c r="L105" s="250"/>
    </row>
    <row r="106" spans="1:18" s="154" customFormat="1" ht="22.5" customHeight="1" x14ac:dyDescent="0.25">
      <c r="A106" s="475" t="s">
        <v>1409</v>
      </c>
      <c r="B106" s="476"/>
      <c r="C106" s="476"/>
      <c r="D106" s="476"/>
      <c r="E106" s="476"/>
      <c r="F106" s="476"/>
      <c r="G106" s="476"/>
      <c r="H106" s="476"/>
      <c r="I106" s="476"/>
      <c r="J106" s="476"/>
      <c r="K106" s="477"/>
      <c r="L106" s="250"/>
      <c r="M106" s="149"/>
      <c r="N106" s="149"/>
      <c r="O106" s="149"/>
      <c r="P106" s="149"/>
      <c r="Q106" s="149"/>
      <c r="R106" s="149"/>
    </row>
    <row r="107" spans="1:18" s="166" customFormat="1" ht="20.100000000000001" customHeight="1" x14ac:dyDescent="0.25">
      <c r="A107" s="245"/>
      <c r="B107" s="246" t="s">
        <v>1458</v>
      </c>
      <c r="C107" s="246"/>
      <c r="D107" s="246"/>
      <c r="E107" s="246"/>
      <c r="F107" s="247"/>
      <c r="G107" s="249">
        <v>2.1</v>
      </c>
      <c r="H107" s="249">
        <v>0.9</v>
      </c>
      <c r="I107" s="166">
        <v>3</v>
      </c>
      <c r="J107" s="248"/>
      <c r="K107" s="249">
        <f>TRUNC(G107*H107*I107,2)</f>
        <v>5.67</v>
      </c>
      <c r="L107" s="250"/>
    </row>
    <row r="108" spans="1:18" s="166" customFormat="1" ht="20.100000000000001" customHeight="1" x14ac:dyDescent="0.25">
      <c r="A108" s="245"/>
      <c r="B108" s="246" t="s">
        <v>812</v>
      </c>
      <c r="C108" s="246"/>
      <c r="D108" s="246"/>
      <c r="E108" s="246"/>
      <c r="F108" s="247"/>
      <c r="G108" s="249">
        <v>2.1</v>
      </c>
      <c r="H108" s="249">
        <v>0.9</v>
      </c>
      <c r="I108" s="166">
        <v>1</v>
      </c>
      <c r="J108" s="248"/>
      <c r="K108" s="249">
        <f t="shared" ref="K108:K115" si="5">TRUNC(G108*H108*I108,2)</f>
        <v>1.89</v>
      </c>
      <c r="L108" s="250"/>
    </row>
    <row r="109" spans="1:18" s="166" customFormat="1" ht="20.100000000000001" customHeight="1" x14ac:dyDescent="0.25">
      <c r="A109" s="245"/>
      <c r="B109" s="246" t="s">
        <v>1459</v>
      </c>
      <c r="C109" s="246"/>
      <c r="D109" s="246"/>
      <c r="E109" s="246"/>
      <c r="F109" s="247"/>
      <c r="G109" s="249">
        <v>2.1</v>
      </c>
      <c r="H109" s="249">
        <v>0.9</v>
      </c>
      <c r="I109" s="166">
        <v>2</v>
      </c>
      <c r="J109" s="248"/>
      <c r="K109" s="249">
        <f t="shared" si="5"/>
        <v>3.78</v>
      </c>
      <c r="L109" s="250"/>
    </row>
    <row r="110" spans="1:18" s="166" customFormat="1" ht="20.100000000000001" customHeight="1" x14ac:dyDescent="0.25">
      <c r="A110" s="245"/>
      <c r="B110" s="246" t="s">
        <v>1460</v>
      </c>
      <c r="C110" s="246"/>
      <c r="D110" s="246"/>
      <c r="E110" s="246"/>
      <c r="F110" s="247"/>
      <c r="G110" s="249">
        <v>2.1</v>
      </c>
      <c r="H110" s="249">
        <v>0.9</v>
      </c>
      <c r="I110" s="166">
        <v>2</v>
      </c>
      <c r="J110" s="248"/>
      <c r="K110" s="249">
        <f t="shared" si="5"/>
        <v>3.78</v>
      </c>
      <c r="L110" s="250"/>
    </row>
    <row r="111" spans="1:18" s="166" customFormat="1" ht="20.100000000000001" customHeight="1" x14ac:dyDescent="0.25">
      <c r="A111" s="245"/>
      <c r="B111" s="246" t="s">
        <v>1461</v>
      </c>
      <c r="C111" s="246"/>
      <c r="D111" s="246"/>
      <c r="E111" s="246"/>
      <c r="F111" s="247"/>
      <c r="G111" s="249">
        <v>2.1</v>
      </c>
      <c r="H111" s="249">
        <v>0.9</v>
      </c>
      <c r="I111" s="166">
        <v>1</v>
      </c>
      <c r="J111" s="248"/>
      <c r="K111" s="249">
        <f t="shared" si="5"/>
        <v>1.89</v>
      </c>
      <c r="L111" s="250"/>
    </row>
    <row r="112" spans="1:18" s="166" customFormat="1" ht="20.100000000000001" customHeight="1" x14ac:dyDescent="0.25">
      <c r="A112" s="245"/>
      <c r="B112" s="246" t="s">
        <v>1462</v>
      </c>
      <c r="C112" s="246"/>
      <c r="D112" s="246"/>
      <c r="E112" s="246"/>
      <c r="F112" s="247"/>
      <c r="G112" s="249">
        <v>2.1</v>
      </c>
      <c r="H112" s="249">
        <v>0.9</v>
      </c>
      <c r="I112" s="166">
        <v>1</v>
      </c>
      <c r="J112" s="248"/>
      <c r="K112" s="249">
        <f t="shared" si="5"/>
        <v>1.89</v>
      </c>
      <c r="L112" s="250"/>
    </row>
    <row r="113" spans="1:18" s="166" customFormat="1" ht="20.100000000000001" customHeight="1" x14ac:dyDescent="0.25">
      <c r="A113" s="245"/>
      <c r="B113" s="246" t="s">
        <v>1463</v>
      </c>
      <c r="C113" s="246"/>
      <c r="D113" s="246"/>
      <c r="E113" s="246"/>
      <c r="F113" s="247"/>
      <c r="G113" s="249">
        <v>2.1</v>
      </c>
      <c r="H113" s="249">
        <v>0.9</v>
      </c>
      <c r="I113" s="166">
        <v>1</v>
      </c>
      <c r="J113" s="248"/>
      <c r="K113" s="249">
        <f t="shared" si="5"/>
        <v>1.89</v>
      </c>
      <c r="L113" s="250"/>
    </row>
    <row r="114" spans="1:18" s="166" customFormat="1" ht="20.100000000000001" customHeight="1" x14ac:dyDescent="0.25">
      <c r="A114" s="245"/>
      <c r="B114" s="246" t="s">
        <v>1464</v>
      </c>
      <c r="C114" s="246"/>
      <c r="D114" s="246"/>
      <c r="E114" s="246"/>
      <c r="F114" s="247"/>
      <c r="G114" s="249">
        <v>2.1</v>
      </c>
      <c r="H114" s="249">
        <v>0.9</v>
      </c>
      <c r="I114" s="166">
        <v>4</v>
      </c>
      <c r="J114" s="248"/>
      <c r="K114" s="249">
        <f t="shared" si="5"/>
        <v>7.56</v>
      </c>
      <c r="L114" s="250"/>
    </row>
    <row r="115" spans="1:18" s="166" customFormat="1" ht="20.100000000000001" customHeight="1" x14ac:dyDescent="0.25">
      <c r="A115" s="245"/>
      <c r="B115" s="246" t="s">
        <v>812</v>
      </c>
      <c r="C115" s="246"/>
      <c r="D115" s="246"/>
      <c r="E115" s="246"/>
      <c r="F115" s="247"/>
      <c r="G115" s="249">
        <v>2.1</v>
      </c>
      <c r="H115" s="249">
        <v>0.9</v>
      </c>
      <c r="I115" s="166">
        <v>2</v>
      </c>
      <c r="J115" s="248"/>
      <c r="K115" s="249">
        <f t="shared" si="5"/>
        <v>3.78</v>
      </c>
      <c r="L115" s="250"/>
    </row>
    <row r="116" spans="1:18" s="166" customFormat="1" ht="20.100000000000001" customHeight="1" x14ac:dyDescent="0.25">
      <c r="A116" s="245"/>
      <c r="B116" s="246" t="s">
        <v>1465</v>
      </c>
      <c r="C116" s="246"/>
      <c r="D116" s="246"/>
      <c r="E116" s="246"/>
      <c r="F116" s="247"/>
      <c r="G116" s="249">
        <v>2.1</v>
      </c>
      <c r="H116" s="249">
        <v>0.9</v>
      </c>
      <c r="I116" s="166">
        <v>1</v>
      </c>
      <c r="J116" s="248"/>
      <c r="K116" s="249">
        <f t="shared" ref="K116" si="6">TRUNC(G116*H116,2)</f>
        <v>1.89</v>
      </c>
      <c r="L116" s="250"/>
    </row>
    <row r="117" spans="1:18" s="154" customFormat="1" ht="22.5" customHeight="1" x14ac:dyDescent="0.25">
      <c r="A117" s="475" t="s">
        <v>1411</v>
      </c>
      <c r="B117" s="476"/>
      <c r="C117" s="476"/>
      <c r="D117" s="476"/>
      <c r="E117" s="476"/>
      <c r="F117" s="476"/>
      <c r="G117" s="476"/>
      <c r="H117" s="476"/>
      <c r="I117" s="476"/>
      <c r="J117" s="476"/>
      <c r="K117" s="477"/>
      <c r="L117" s="250"/>
      <c r="M117" s="149"/>
      <c r="N117" s="149"/>
      <c r="O117" s="149"/>
      <c r="P117" s="149"/>
      <c r="Q117" s="149"/>
      <c r="R117" s="149"/>
    </row>
    <row r="118" spans="1:18" s="166" customFormat="1" ht="20.100000000000001" customHeight="1" x14ac:dyDescent="0.25">
      <c r="A118" s="245"/>
      <c r="B118" s="246" t="s">
        <v>1466</v>
      </c>
      <c r="C118" s="246"/>
      <c r="D118" s="246"/>
      <c r="E118" s="246"/>
      <c r="F118" s="247"/>
      <c r="G118" s="249">
        <v>2.1</v>
      </c>
      <c r="H118" s="249">
        <v>0.9</v>
      </c>
      <c r="I118" s="166">
        <v>1</v>
      </c>
      <c r="J118" s="248"/>
      <c r="K118" s="249">
        <f>TRUNC(G118*H118*I118,2)</f>
        <v>1.89</v>
      </c>
      <c r="L118" s="250"/>
    </row>
    <row r="119" spans="1:18" s="166" customFormat="1" ht="20.100000000000001" customHeight="1" x14ac:dyDescent="0.25">
      <c r="A119" s="245"/>
      <c r="B119" s="246" t="s">
        <v>1467</v>
      </c>
      <c r="C119" s="246"/>
      <c r="D119" s="246"/>
      <c r="E119" s="246"/>
      <c r="F119" s="247"/>
      <c r="G119" s="249">
        <v>2.1</v>
      </c>
      <c r="H119" s="249">
        <v>0.9</v>
      </c>
      <c r="I119" s="166">
        <v>1</v>
      </c>
      <c r="J119" s="248"/>
      <c r="K119" s="249">
        <f t="shared" ref="K119:K124" si="7">TRUNC(G119*H119*I119,2)</f>
        <v>1.89</v>
      </c>
      <c r="L119" s="250"/>
    </row>
    <row r="120" spans="1:18" s="166" customFormat="1" ht="20.100000000000001" customHeight="1" x14ac:dyDescent="0.25">
      <c r="A120" s="245"/>
      <c r="B120" s="246" t="s">
        <v>1468</v>
      </c>
      <c r="C120" s="246"/>
      <c r="D120" s="246"/>
      <c r="E120" s="246"/>
      <c r="F120" s="247"/>
      <c r="G120" s="249">
        <v>2.1</v>
      </c>
      <c r="H120" s="249">
        <v>0.9</v>
      </c>
      <c r="I120" s="166">
        <v>2</v>
      </c>
      <c r="J120" s="248"/>
      <c r="K120" s="249">
        <f t="shared" si="7"/>
        <v>3.78</v>
      </c>
      <c r="L120" s="250"/>
    </row>
    <row r="121" spans="1:18" s="166" customFormat="1" ht="20.100000000000001" customHeight="1" x14ac:dyDescent="0.25">
      <c r="A121" s="245"/>
      <c r="B121" s="246" t="s">
        <v>1469</v>
      </c>
      <c r="C121" s="246"/>
      <c r="D121" s="246"/>
      <c r="E121" s="246"/>
      <c r="F121" s="247"/>
      <c r="G121" s="249">
        <v>2.1</v>
      </c>
      <c r="H121" s="249">
        <v>0.9</v>
      </c>
      <c r="I121" s="166">
        <v>1</v>
      </c>
      <c r="J121" s="248"/>
      <c r="K121" s="249">
        <f t="shared" si="7"/>
        <v>1.89</v>
      </c>
      <c r="L121" s="250"/>
    </row>
    <row r="122" spans="1:18" s="166" customFormat="1" ht="20.100000000000001" customHeight="1" x14ac:dyDescent="0.25">
      <c r="A122" s="245"/>
      <c r="B122" s="246" t="s">
        <v>1470</v>
      </c>
      <c r="C122" s="246"/>
      <c r="D122" s="246"/>
      <c r="E122" s="246"/>
      <c r="F122" s="247"/>
      <c r="G122" s="249">
        <v>2.1</v>
      </c>
      <c r="H122" s="249">
        <v>0.9</v>
      </c>
      <c r="I122" s="166">
        <v>1</v>
      </c>
      <c r="J122" s="248"/>
      <c r="K122" s="249">
        <f t="shared" si="7"/>
        <v>1.89</v>
      </c>
      <c r="L122" s="250"/>
    </row>
    <row r="123" spans="1:18" s="166" customFormat="1" ht="20.100000000000001" customHeight="1" x14ac:dyDescent="0.25">
      <c r="A123" s="245"/>
      <c r="B123" s="246" t="s">
        <v>1471</v>
      </c>
      <c r="C123" s="246"/>
      <c r="D123" s="246"/>
      <c r="E123" s="246"/>
      <c r="F123" s="247"/>
      <c r="G123" s="249">
        <v>2.1</v>
      </c>
      <c r="H123" s="249">
        <v>0.9</v>
      </c>
      <c r="I123" s="166">
        <v>1</v>
      </c>
      <c r="J123" s="248"/>
      <c r="K123" s="249">
        <f t="shared" si="7"/>
        <v>1.89</v>
      </c>
      <c r="L123" s="250"/>
    </row>
    <row r="124" spans="1:18" s="166" customFormat="1" ht="20.100000000000001" customHeight="1" x14ac:dyDescent="0.25">
      <c r="A124" s="245"/>
      <c r="B124" s="246" t="s">
        <v>1391</v>
      </c>
      <c r="C124" s="246"/>
      <c r="D124" s="246"/>
      <c r="E124" s="246"/>
      <c r="F124" s="247"/>
      <c r="G124" s="249">
        <v>2.1</v>
      </c>
      <c r="H124" s="249">
        <v>0.9</v>
      </c>
      <c r="I124" s="166">
        <v>1</v>
      </c>
      <c r="J124" s="248"/>
      <c r="K124" s="249">
        <f t="shared" si="7"/>
        <v>1.89</v>
      </c>
      <c r="L124" s="250"/>
    </row>
    <row r="125" spans="1:18" s="154" customFormat="1" ht="22.5" customHeight="1" x14ac:dyDescent="0.25">
      <c r="A125" s="475" t="s">
        <v>1413</v>
      </c>
      <c r="B125" s="476"/>
      <c r="C125" s="476"/>
      <c r="D125" s="476"/>
      <c r="E125" s="476"/>
      <c r="F125" s="476"/>
      <c r="G125" s="476"/>
      <c r="H125" s="476"/>
      <c r="I125" s="476"/>
      <c r="J125" s="476"/>
      <c r="K125" s="477"/>
      <c r="L125" s="250"/>
      <c r="M125" s="149"/>
      <c r="N125" s="149"/>
      <c r="O125" s="149"/>
      <c r="P125" s="149"/>
      <c r="Q125" s="149"/>
      <c r="R125" s="149"/>
    </row>
    <row r="126" spans="1:18" s="166" customFormat="1" ht="20.100000000000001" customHeight="1" x14ac:dyDescent="0.25">
      <c r="A126" s="245"/>
      <c r="B126" s="246" t="s">
        <v>1472</v>
      </c>
      <c r="C126" s="246"/>
      <c r="D126" s="246"/>
      <c r="E126" s="246"/>
      <c r="F126" s="247"/>
      <c r="G126" s="249">
        <v>2.1</v>
      </c>
      <c r="H126" s="249">
        <v>0.9</v>
      </c>
      <c r="I126" s="166">
        <v>2</v>
      </c>
      <c r="J126" s="248"/>
      <c r="K126" s="249">
        <f>TRUNC(G126*H126*I126,2)</f>
        <v>3.78</v>
      </c>
      <c r="L126" s="250"/>
    </row>
    <row r="127" spans="1:18" s="166" customFormat="1" ht="20.100000000000001" customHeight="1" x14ac:dyDescent="0.25">
      <c r="A127" s="245"/>
      <c r="B127" s="246" t="s">
        <v>1426</v>
      </c>
      <c r="C127" s="246"/>
      <c r="D127" s="246"/>
      <c r="E127" s="246"/>
      <c r="F127" s="247"/>
      <c r="G127" s="249">
        <v>2.1</v>
      </c>
      <c r="H127" s="249">
        <v>0.9</v>
      </c>
      <c r="I127" s="166">
        <v>1</v>
      </c>
      <c r="J127" s="248"/>
      <c r="K127" s="249">
        <f t="shared" ref="K127:K134" si="8">TRUNC(G127*H127*I127,2)</f>
        <v>1.89</v>
      </c>
      <c r="L127" s="250"/>
    </row>
    <row r="128" spans="1:18" s="166" customFormat="1" ht="20.100000000000001" customHeight="1" x14ac:dyDescent="0.25">
      <c r="A128" s="245"/>
      <c r="B128" s="246" t="s">
        <v>1473</v>
      </c>
      <c r="C128" s="246"/>
      <c r="D128" s="246"/>
      <c r="E128" s="246"/>
      <c r="F128" s="247"/>
      <c r="G128" s="249">
        <v>2.1</v>
      </c>
      <c r="H128" s="249">
        <v>0.9</v>
      </c>
      <c r="I128" s="166">
        <v>1</v>
      </c>
      <c r="J128" s="248"/>
      <c r="K128" s="249">
        <f t="shared" si="8"/>
        <v>1.89</v>
      </c>
      <c r="L128" s="250"/>
    </row>
    <row r="129" spans="1:57" s="166" customFormat="1" ht="20.100000000000001" customHeight="1" x14ac:dyDescent="0.25">
      <c r="A129" s="245"/>
      <c r="B129" s="246" t="s">
        <v>1474</v>
      </c>
      <c r="C129" s="246"/>
      <c r="D129" s="246"/>
      <c r="E129" s="246"/>
      <c r="F129" s="247"/>
      <c r="G129" s="249">
        <v>2.1</v>
      </c>
      <c r="H129" s="249">
        <v>2</v>
      </c>
      <c r="I129" s="166">
        <v>1</v>
      </c>
      <c r="J129" s="248"/>
      <c r="K129" s="249">
        <f t="shared" si="8"/>
        <v>4.2</v>
      </c>
      <c r="L129" s="250"/>
    </row>
    <row r="130" spans="1:57" s="166" customFormat="1" ht="20.100000000000001" customHeight="1" x14ac:dyDescent="0.25">
      <c r="A130" s="245"/>
      <c r="B130" s="246" t="s">
        <v>1475</v>
      </c>
      <c r="C130" s="246"/>
      <c r="D130" s="246"/>
      <c r="E130" s="246"/>
      <c r="F130" s="247"/>
      <c r="G130" s="249">
        <v>2.1</v>
      </c>
      <c r="H130" s="249">
        <v>0.9</v>
      </c>
      <c r="I130" s="166">
        <v>6</v>
      </c>
      <c r="J130" s="248"/>
      <c r="K130" s="249">
        <f t="shared" si="8"/>
        <v>11.34</v>
      </c>
      <c r="L130" s="250"/>
    </row>
    <row r="131" spans="1:57" s="166" customFormat="1" ht="20.100000000000001" customHeight="1" x14ac:dyDescent="0.25">
      <c r="A131" s="245"/>
      <c r="B131" s="246" t="s">
        <v>1476</v>
      </c>
      <c r="C131" s="246"/>
      <c r="D131" s="246"/>
      <c r="E131" s="246"/>
      <c r="F131" s="247"/>
      <c r="G131" s="249">
        <v>2.1</v>
      </c>
      <c r="H131" s="249">
        <v>0.9</v>
      </c>
      <c r="I131" s="166">
        <v>1</v>
      </c>
      <c r="J131" s="248"/>
      <c r="K131" s="249">
        <f t="shared" si="8"/>
        <v>1.89</v>
      </c>
      <c r="L131" s="250"/>
    </row>
    <row r="132" spans="1:57" s="166" customFormat="1" ht="20.100000000000001" customHeight="1" x14ac:dyDescent="0.25">
      <c r="A132" s="245"/>
      <c r="B132" s="253" t="s">
        <v>1477</v>
      </c>
      <c r="C132" s="246"/>
      <c r="D132" s="246"/>
      <c r="E132" s="246"/>
      <c r="F132" s="247"/>
      <c r="G132" s="249">
        <v>2.1</v>
      </c>
      <c r="H132" s="249">
        <v>0.9</v>
      </c>
      <c r="I132" s="166">
        <v>4</v>
      </c>
      <c r="J132" s="248"/>
      <c r="K132" s="249">
        <f t="shared" si="8"/>
        <v>7.56</v>
      </c>
      <c r="L132" s="250"/>
    </row>
    <row r="133" spans="1:57" s="166" customFormat="1" ht="20.100000000000001" customHeight="1" x14ac:dyDescent="0.25">
      <c r="A133" s="245"/>
      <c r="B133" s="246" t="s">
        <v>1478</v>
      </c>
      <c r="C133" s="246"/>
      <c r="D133" s="246"/>
      <c r="E133" s="246"/>
      <c r="F133" s="247"/>
      <c r="G133" s="249">
        <v>2.1</v>
      </c>
      <c r="H133" s="249">
        <v>0.9</v>
      </c>
      <c r="I133" s="166">
        <v>1</v>
      </c>
      <c r="J133" s="248"/>
      <c r="K133" s="249">
        <f t="shared" si="8"/>
        <v>1.89</v>
      </c>
      <c r="L133" s="250"/>
    </row>
    <row r="134" spans="1:57" s="166" customFormat="1" ht="20.100000000000001" customHeight="1" x14ac:dyDescent="0.25">
      <c r="A134" s="245"/>
      <c r="B134" s="246" t="s">
        <v>1479</v>
      </c>
      <c r="C134" s="246"/>
      <c r="D134" s="246"/>
      <c r="E134" s="246"/>
      <c r="F134" s="247"/>
      <c r="G134" s="249">
        <v>2.1</v>
      </c>
      <c r="H134" s="249">
        <v>0.9</v>
      </c>
      <c r="I134" s="166">
        <v>1</v>
      </c>
      <c r="J134" s="248"/>
      <c r="K134" s="249">
        <f t="shared" si="8"/>
        <v>1.89</v>
      </c>
      <c r="L134" s="250"/>
    </row>
    <row r="135" spans="1:57" s="154" customFormat="1" ht="22.5" customHeight="1" x14ac:dyDescent="0.25">
      <c r="A135" s="475" t="s">
        <v>1388</v>
      </c>
      <c r="B135" s="476"/>
      <c r="C135" s="476"/>
      <c r="D135" s="476"/>
      <c r="E135" s="476"/>
      <c r="F135" s="476"/>
      <c r="G135" s="476"/>
      <c r="H135" s="476"/>
      <c r="I135" s="476"/>
      <c r="J135" s="476"/>
      <c r="K135" s="477"/>
      <c r="L135" s="250"/>
      <c r="M135" s="149"/>
      <c r="N135" s="149"/>
      <c r="O135" s="149"/>
      <c r="P135" s="149"/>
      <c r="Q135" s="149"/>
      <c r="R135" s="149"/>
    </row>
    <row r="136" spans="1:57" x14ac:dyDescent="0.25">
      <c r="A136" s="251"/>
      <c r="B136" s="210" t="s">
        <v>812</v>
      </c>
      <c r="C136" s="210"/>
      <c r="D136" s="210"/>
      <c r="E136" s="210"/>
      <c r="F136" s="254"/>
      <c r="G136" s="249">
        <v>2</v>
      </c>
      <c r="H136" s="249">
        <v>2.1</v>
      </c>
      <c r="I136" s="249">
        <v>1</v>
      </c>
      <c r="J136" s="249"/>
      <c r="K136" s="249">
        <f>I136</f>
        <v>1</v>
      </c>
      <c r="L136" s="250"/>
      <c r="N136" s="149"/>
      <c r="O136" s="149"/>
      <c r="P136" s="149"/>
      <c r="Q136" s="149"/>
      <c r="R136" s="149"/>
      <c r="S136" s="149"/>
      <c r="T136" s="149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x14ac:dyDescent="0.25">
      <c r="A137" s="251"/>
      <c r="B137" s="210" t="s">
        <v>1480</v>
      </c>
      <c r="C137" s="210"/>
      <c r="D137" s="210"/>
      <c r="E137" s="210"/>
      <c r="F137" s="254"/>
      <c r="G137" s="249">
        <v>0.8</v>
      </c>
      <c r="H137" s="249">
        <v>2.1</v>
      </c>
      <c r="I137" s="249">
        <v>1</v>
      </c>
      <c r="J137" s="249"/>
      <c r="K137" s="249">
        <f t="shared" ref="K137:K149" si="9">I137</f>
        <v>1</v>
      </c>
      <c r="L137" s="250"/>
      <c r="N137" s="149"/>
      <c r="O137" s="149"/>
      <c r="P137" s="149"/>
      <c r="Q137" s="149"/>
      <c r="R137" s="149"/>
      <c r="S137" s="149"/>
      <c r="T137" s="149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 x14ac:dyDescent="0.25">
      <c r="A138" s="251"/>
      <c r="B138" s="210" t="s">
        <v>810</v>
      </c>
      <c r="C138" s="210"/>
      <c r="D138" s="210"/>
      <c r="E138" s="210"/>
      <c r="F138" s="254"/>
      <c r="G138" s="249">
        <v>0.9</v>
      </c>
      <c r="H138" s="249">
        <v>2.1</v>
      </c>
      <c r="I138" s="249">
        <v>1</v>
      </c>
      <c r="J138" s="249"/>
      <c r="K138" s="249">
        <f t="shared" si="9"/>
        <v>1</v>
      </c>
      <c r="L138" s="250"/>
      <c r="N138" s="149"/>
      <c r="O138" s="149"/>
      <c r="P138" s="149"/>
      <c r="Q138" s="149"/>
      <c r="R138" s="149"/>
      <c r="S138" s="149"/>
      <c r="T138" s="149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x14ac:dyDescent="0.25">
      <c r="A139" s="251"/>
      <c r="B139" s="210" t="s">
        <v>1391</v>
      </c>
      <c r="C139" s="210"/>
      <c r="D139" s="210"/>
      <c r="E139" s="210"/>
      <c r="F139" s="254"/>
      <c r="G139" s="249">
        <v>2</v>
      </c>
      <c r="H139" s="249">
        <v>2.1</v>
      </c>
      <c r="I139" s="249">
        <v>1</v>
      </c>
      <c r="J139" s="249"/>
      <c r="K139" s="249">
        <f t="shared" si="9"/>
        <v>1</v>
      </c>
      <c r="L139" s="250"/>
      <c r="N139" s="149"/>
      <c r="O139" s="149"/>
      <c r="P139" s="149"/>
      <c r="Q139" s="149"/>
      <c r="R139" s="149"/>
      <c r="S139" s="149"/>
      <c r="T139" s="149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x14ac:dyDescent="0.25">
      <c r="A140" s="251"/>
      <c r="B140" s="210" t="s">
        <v>1392</v>
      </c>
      <c r="C140" s="210"/>
      <c r="D140" s="210"/>
      <c r="E140" s="210"/>
      <c r="F140" s="254"/>
      <c r="G140" s="249">
        <v>2</v>
      </c>
      <c r="H140" s="249">
        <v>2.1</v>
      </c>
      <c r="I140" s="249">
        <v>1</v>
      </c>
      <c r="J140" s="249"/>
      <c r="K140" s="249">
        <f t="shared" si="9"/>
        <v>1</v>
      </c>
      <c r="L140" s="250"/>
      <c r="N140" s="149"/>
      <c r="O140" s="149"/>
      <c r="P140" s="149"/>
      <c r="Q140" s="149"/>
      <c r="R140" s="149"/>
      <c r="S140" s="149"/>
      <c r="T140" s="149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x14ac:dyDescent="0.25">
      <c r="A141" s="251"/>
      <c r="B141" s="210" t="s">
        <v>1393</v>
      </c>
      <c r="C141" s="210"/>
      <c r="D141" s="210"/>
      <c r="E141" s="210"/>
      <c r="F141" s="254"/>
      <c r="G141" s="249">
        <v>2</v>
      </c>
      <c r="H141" s="249">
        <v>2.1</v>
      </c>
      <c r="I141" s="249">
        <v>1</v>
      </c>
      <c r="J141" s="249"/>
      <c r="K141" s="249">
        <f t="shared" si="9"/>
        <v>1</v>
      </c>
      <c r="L141" s="250"/>
      <c r="N141" s="149"/>
      <c r="O141" s="149"/>
      <c r="P141" s="149"/>
      <c r="Q141" s="149"/>
      <c r="R141" s="149"/>
      <c r="S141" s="149"/>
      <c r="T141" s="149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x14ac:dyDescent="0.25">
      <c r="A142" s="251"/>
      <c r="B142" s="210" t="s">
        <v>1394</v>
      </c>
      <c r="C142" s="210"/>
      <c r="D142" s="210"/>
      <c r="E142" s="210"/>
      <c r="F142" s="254"/>
      <c r="G142" s="249">
        <v>2</v>
      </c>
      <c r="H142" s="249">
        <v>2.1</v>
      </c>
      <c r="I142" s="249">
        <v>1</v>
      </c>
      <c r="J142" s="249"/>
      <c r="K142" s="249">
        <f t="shared" si="9"/>
        <v>1</v>
      </c>
      <c r="L142" s="250"/>
      <c r="N142" s="149"/>
      <c r="O142" s="149"/>
      <c r="P142" s="149"/>
      <c r="Q142" s="149"/>
      <c r="R142" s="149"/>
      <c r="S142" s="149"/>
      <c r="T142" s="149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x14ac:dyDescent="0.25">
      <c r="A143" s="251"/>
      <c r="B143" s="210" t="s">
        <v>1395</v>
      </c>
      <c r="C143" s="210"/>
      <c r="D143" s="210"/>
      <c r="E143" s="210"/>
      <c r="F143" s="254"/>
      <c r="G143" s="249">
        <v>2</v>
      </c>
      <c r="H143" s="249">
        <v>2.1</v>
      </c>
      <c r="I143" s="249">
        <v>1</v>
      </c>
      <c r="J143" s="249"/>
      <c r="K143" s="249">
        <f t="shared" si="9"/>
        <v>1</v>
      </c>
      <c r="L143" s="250"/>
      <c r="N143" s="149"/>
      <c r="O143" s="149"/>
      <c r="P143" s="149"/>
      <c r="Q143" s="149"/>
      <c r="R143" s="149"/>
      <c r="S143" s="149"/>
      <c r="T143" s="149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x14ac:dyDescent="0.25">
      <c r="A144" s="251"/>
      <c r="B144" s="210" t="s">
        <v>1481</v>
      </c>
      <c r="C144" s="210"/>
      <c r="D144" s="210"/>
      <c r="E144" s="210"/>
      <c r="F144" s="254"/>
      <c r="G144" s="249">
        <v>1.2</v>
      </c>
      <c r="H144" s="249">
        <v>2.1</v>
      </c>
      <c r="I144" s="249">
        <v>4</v>
      </c>
      <c r="J144" s="249"/>
      <c r="K144" s="249">
        <f t="shared" si="9"/>
        <v>4</v>
      </c>
      <c r="L144" s="250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x14ac:dyDescent="0.25">
      <c r="A145" s="251"/>
      <c r="B145" s="210" t="s">
        <v>1397</v>
      </c>
      <c r="C145" s="210"/>
      <c r="D145" s="210"/>
      <c r="E145" s="210"/>
      <c r="F145" s="254"/>
      <c r="G145" s="249">
        <v>2</v>
      </c>
      <c r="H145" s="249">
        <v>2.1</v>
      </c>
      <c r="I145" s="249">
        <v>1</v>
      </c>
      <c r="J145" s="249"/>
      <c r="K145" s="249">
        <f t="shared" si="9"/>
        <v>1</v>
      </c>
      <c r="L145" s="250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x14ac:dyDescent="0.25">
      <c r="A146" s="251"/>
      <c r="B146" s="210" t="s">
        <v>1398</v>
      </c>
      <c r="C146" s="210"/>
      <c r="D146" s="210"/>
      <c r="E146" s="210"/>
      <c r="F146" s="254"/>
      <c r="G146" s="249">
        <v>2</v>
      </c>
      <c r="H146" s="249">
        <v>2.1</v>
      </c>
      <c r="I146" s="249">
        <v>1</v>
      </c>
      <c r="J146" s="249"/>
      <c r="K146" s="249">
        <f t="shared" si="9"/>
        <v>1</v>
      </c>
      <c r="L146" s="250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x14ac:dyDescent="0.25">
      <c r="A147" s="251"/>
      <c r="B147" s="210" t="s">
        <v>1399</v>
      </c>
      <c r="C147" s="210"/>
      <c r="D147" s="210"/>
      <c r="E147" s="210"/>
      <c r="F147" s="254"/>
      <c r="G147" s="249">
        <v>2</v>
      </c>
      <c r="H147" s="249">
        <v>2.1</v>
      </c>
      <c r="I147" s="249">
        <v>1</v>
      </c>
      <c r="J147" s="249"/>
      <c r="K147" s="249">
        <f t="shared" si="9"/>
        <v>1</v>
      </c>
      <c r="L147" s="250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x14ac:dyDescent="0.25">
      <c r="A148" s="251"/>
      <c r="B148" s="210" t="s">
        <v>1400</v>
      </c>
      <c r="C148" s="210"/>
      <c r="D148" s="210"/>
      <c r="E148" s="210"/>
      <c r="F148" s="254"/>
      <c r="G148" s="249">
        <v>2</v>
      </c>
      <c r="H148" s="249">
        <v>2.1</v>
      </c>
      <c r="I148" s="249">
        <v>1</v>
      </c>
      <c r="J148" s="249"/>
      <c r="K148" s="249">
        <f t="shared" si="9"/>
        <v>1</v>
      </c>
      <c r="L148" s="250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x14ac:dyDescent="0.25">
      <c r="A149" s="251"/>
      <c r="B149" s="210" t="s">
        <v>1401</v>
      </c>
      <c r="C149" s="210"/>
      <c r="D149" s="210"/>
      <c r="E149" s="210"/>
      <c r="F149" s="254"/>
      <c r="G149" s="249">
        <v>1.2</v>
      </c>
      <c r="H149" s="249">
        <v>2.1</v>
      </c>
      <c r="I149" s="249">
        <v>1</v>
      </c>
      <c r="J149" s="249"/>
      <c r="K149" s="249">
        <f t="shared" si="9"/>
        <v>1</v>
      </c>
      <c r="L149" s="250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s="154" customFormat="1" ht="22.5" customHeight="1" x14ac:dyDescent="0.25">
      <c r="A150" s="475" t="s">
        <v>1402</v>
      </c>
      <c r="B150" s="476"/>
      <c r="C150" s="476"/>
      <c r="D150" s="476"/>
      <c r="E150" s="476"/>
      <c r="F150" s="476"/>
      <c r="G150" s="476"/>
      <c r="H150" s="476"/>
      <c r="I150" s="476"/>
      <c r="J150" s="476"/>
      <c r="K150" s="477"/>
      <c r="L150" s="250"/>
      <c r="M150" s="149"/>
      <c r="N150" s="149"/>
      <c r="O150" s="149"/>
      <c r="P150" s="149"/>
      <c r="Q150" s="149"/>
      <c r="R150" s="149"/>
    </row>
    <row r="151" spans="1:57" s="166" customFormat="1" ht="20.100000000000001" customHeight="1" x14ac:dyDescent="0.25">
      <c r="A151" s="245"/>
      <c r="B151" s="246" t="s">
        <v>1482</v>
      </c>
      <c r="C151" s="246"/>
      <c r="D151" s="246"/>
      <c r="E151" s="246"/>
      <c r="F151" s="247"/>
      <c r="G151" s="249">
        <v>1.2</v>
      </c>
      <c r="H151" s="249">
        <v>2.1</v>
      </c>
      <c r="I151" s="166">
        <v>4</v>
      </c>
      <c r="J151" s="248"/>
      <c r="K151" s="249">
        <f>TRUNC(G151*H151*I151,2)</f>
        <v>10.08</v>
      </c>
      <c r="L151" s="250"/>
    </row>
    <row r="152" spans="1:57" s="154" customFormat="1" ht="18.75" customHeight="1" x14ac:dyDescent="0.25">
      <c r="A152" s="470" t="s">
        <v>163</v>
      </c>
      <c r="B152" s="471"/>
      <c r="C152" s="471"/>
      <c r="D152" s="471"/>
      <c r="E152" s="471"/>
      <c r="F152" s="472"/>
      <c r="G152" s="472"/>
      <c r="H152" s="472"/>
      <c r="I152" s="472"/>
      <c r="J152" s="472"/>
      <c r="K152" s="252">
        <f>SUM(K70:K151)</f>
        <v>204.1099999999999</v>
      </c>
      <c r="L152" s="250"/>
      <c r="M152" s="149"/>
      <c r="N152" s="149"/>
      <c r="O152" s="149"/>
      <c r="P152" s="149"/>
      <c r="Q152" s="149"/>
      <c r="R152" s="149"/>
    </row>
    <row r="153" spans="1:57" s="154" customFormat="1" ht="20.100000000000001" customHeight="1" x14ac:dyDescent="0.25">
      <c r="A153" s="177" t="s">
        <v>3</v>
      </c>
      <c r="B153" s="171" t="s">
        <v>1483</v>
      </c>
      <c r="C153" s="171"/>
      <c r="D153" s="171"/>
      <c r="E153" s="171"/>
      <c r="F153" s="243" t="s">
        <v>24</v>
      </c>
      <c r="G153" s="244" t="s">
        <v>1417</v>
      </c>
      <c r="H153" s="244" t="s">
        <v>1428</v>
      </c>
      <c r="I153" s="244" t="s">
        <v>61</v>
      </c>
      <c r="J153" s="244"/>
      <c r="K153" s="244" t="s">
        <v>50</v>
      </c>
      <c r="L153" s="250"/>
      <c r="M153" s="149"/>
      <c r="N153" s="149"/>
      <c r="O153" s="149"/>
      <c r="P153" s="149"/>
      <c r="Q153" s="149"/>
      <c r="R153" s="149"/>
    </row>
    <row r="154" spans="1:57" s="154" customFormat="1" ht="22.5" customHeight="1" x14ac:dyDescent="0.25">
      <c r="A154" s="475" t="s">
        <v>1384</v>
      </c>
      <c r="B154" s="476"/>
      <c r="C154" s="476"/>
      <c r="D154" s="476"/>
      <c r="E154" s="476"/>
      <c r="F154" s="476"/>
      <c r="G154" s="476"/>
      <c r="H154" s="476"/>
      <c r="I154" s="476"/>
      <c r="J154" s="476"/>
      <c r="K154" s="477"/>
      <c r="L154" s="250"/>
      <c r="M154" s="149"/>
      <c r="N154" s="149"/>
      <c r="O154" s="149"/>
      <c r="P154" s="149"/>
      <c r="Q154" s="149"/>
      <c r="R154" s="149"/>
    </row>
    <row r="155" spans="1:57" s="166" customFormat="1" ht="20.100000000000001" customHeight="1" x14ac:dyDescent="0.25">
      <c r="A155" s="245"/>
      <c r="B155" s="246" t="s">
        <v>1445</v>
      </c>
      <c r="C155" s="246"/>
      <c r="D155" s="246"/>
      <c r="E155" s="246"/>
      <c r="F155" s="247"/>
      <c r="G155" s="249">
        <v>0.6</v>
      </c>
      <c r="H155" s="249">
        <v>0.4</v>
      </c>
      <c r="I155" s="166">
        <v>2</v>
      </c>
      <c r="J155" s="248"/>
      <c r="K155" s="249">
        <f>TRUNC(G155*H155*I155,2)</f>
        <v>0.48</v>
      </c>
      <c r="L155" s="250"/>
    </row>
    <row r="156" spans="1:57" s="166" customFormat="1" ht="20.100000000000001" customHeight="1" x14ac:dyDescent="0.25">
      <c r="A156" s="245"/>
      <c r="B156" s="246" t="s">
        <v>1484</v>
      </c>
      <c r="C156" s="246"/>
      <c r="D156" s="246"/>
      <c r="E156" s="246"/>
      <c r="F156" s="247"/>
      <c r="G156" s="249">
        <v>0.7</v>
      </c>
      <c r="H156" s="249">
        <v>1.4</v>
      </c>
      <c r="I156" s="166">
        <v>1</v>
      </c>
      <c r="J156" s="248"/>
      <c r="K156" s="249">
        <f t="shared" ref="K156" si="10">TRUNC(G156*H156*I156,2)</f>
        <v>0.98</v>
      </c>
      <c r="L156" s="250"/>
    </row>
    <row r="157" spans="1:57" s="154" customFormat="1" ht="22.5" customHeight="1" x14ac:dyDescent="0.25">
      <c r="A157" s="475" t="s">
        <v>1409</v>
      </c>
      <c r="B157" s="476"/>
      <c r="C157" s="476"/>
      <c r="D157" s="476"/>
      <c r="E157" s="476"/>
      <c r="F157" s="476"/>
      <c r="G157" s="476"/>
      <c r="H157" s="476"/>
      <c r="I157" s="476"/>
      <c r="J157" s="476"/>
      <c r="K157" s="477"/>
      <c r="L157" s="250"/>
      <c r="M157" s="149"/>
      <c r="N157" s="149"/>
      <c r="O157" s="149"/>
      <c r="P157" s="149"/>
      <c r="Q157" s="149"/>
      <c r="R157" s="149"/>
    </row>
    <row r="158" spans="1:57" s="166" customFormat="1" ht="20.100000000000001" customHeight="1" x14ac:dyDescent="0.25">
      <c r="A158" s="245"/>
      <c r="B158" s="246" t="s">
        <v>1485</v>
      </c>
      <c r="C158" s="246"/>
      <c r="D158" s="246"/>
      <c r="E158" s="246"/>
      <c r="F158" s="247"/>
      <c r="G158" s="249">
        <v>1.4</v>
      </c>
      <c r="H158" s="249">
        <v>0.7</v>
      </c>
      <c r="I158" s="166">
        <v>1</v>
      </c>
      <c r="J158" s="248"/>
      <c r="K158" s="249">
        <f>TRUNC(G158*H158*I158,2)</f>
        <v>0.98</v>
      </c>
      <c r="L158" s="250"/>
    </row>
    <row r="159" spans="1:57" s="154" customFormat="1" ht="22.5" customHeight="1" x14ac:dyDescent="0.25">
      <c r="A159" s="475" t="s">
        <v>1388</v>
      </c>
      <c r="B159" s="476"/>
      <c r="C159" s="476"/>
      <c r="D159" s="476"/>
      <c r="E159" s="476"/>
      <c r="F159" s="476"/>
      <c r="G159" s="476"/>
      <c r="H159" s="476"/>
      <c r="I159" s="476"/>
      <c r="J159" s="476"/>
      <c r="K159" s="477"/>
      <c r="L159" s="250"/>
      <c r="M159" s="149"/>
      <c r="N159" s="149"/>
      <c r="O159" s="149"/>
      <c r="P159" s="149"/>
      <c r="Q159" s="149"/>
      <c r="R159" s="149"/>
    </row>
    <row r="160" spans="1:57" x14ac:dyDescent="0.25">
      <c r="A160" s="251"/>
      <c r="B160" s="210" t="s">
        <v>1390</v>
      </c>
      <c r="C160" s="210"/>
      <c r="D160" s="210"/>
      <c r="E160" s="210"/>
      <c r="F160" s="254"/>
      <c r="G160" s="249">
        <v>2</v>
      </c>
      <c r="H160" s="249">
        <v>1</v>
      </c>
      <c r="I160" s="166">
        <v>1</v>
      </c>
      <c r="J160" s="249"/>
      <c r="K160" s="249">
        <f t="shared" ref="K160:K167" si="11">TRUNC(G160*H160*I160,2)</f>
        <v>2</v>
      </c>
      <c r="L160" s="250"/>
      <c r="N160" s="149"/>
      <c r="O160" s="149"/>
      <c r="P160" s="149"/>
      <c r="Q160" s="149"/>
      <c r="R160" s="149"/>
      <c r="S160" s="149"/>
      <c r="T160" s="149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1:57" x14ac:dyDescent="0.25">
      <c r="A161" s="251"/>
      <c r="B161" s="210" t="s">
        <v>810</v>
      </c>
      <c r="C161" s="210"/>
      <c r="D161" s="210"/>
      <c r="E161" s="210"/>
      <c r="F161" s="254"/>
      <c r="G161" s="249">
        <v>1</v>
      </c>
      <c r="H161" s="249">
        <v>1</v>
      </c>
      <c r="I161" s="166">
        <v>1</v>
      </c>
      <c r="J161" s="249"/>
      <c r="K161" s="249">
        <f t="shared" si="11"/>
        <v>1</v>
      </c>
      <c r="L161" s="250"/>
      <c r="N161" s="149"/>
      <c r="O161" s="149"/>
      <c r="P161" s="149"/>
      <c r="Q161" s="149"/>
      <c r="R161" s="149"/>
      <c r="S161" s="149"/>
      <c r="T161" s="149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1:57" x14ac:dyDescent="0.25">
      <c r="A162" s="251"/>
      <c r="B162" s="210" t="s">
        <v>1391</v>
      </c>
      <c r="C162" s="210"/>
      <c r="D162" s="210"/>
      <c r="E162" s="210"/>
      <c r="F162" s="254"/>
      <c r="G162" s="249">
        <v>2</v>
      </c>
      <c r="H162" s="249">
        <v>1</v>
      </c>
      <c r="I162" s="166">
        <v>1</v>
      </c>
      <c r="J162" s="249"/>
      <c r="K162" s="249">
        <f t="shared" si="11"/>
        <v>2</v>
      </c>
      <c r="L162" s="250"/>
      <c r="N162" s="149"/>
      <c r="O162" s="149"/>
      <c r="P162" s="149"/>
      <c r="Q162" s="149"/>
      <c r="R162" s="149"/>
      <c r="S162" s="149"/>
      <c r="T162" s="149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1:57" x14ac:dyDescent="0.25">
      <c r="A163" s="251"/>
      <c r="B163" s="210" t="s">
        <v>1392</v>
      </c>
      <c r="C163" s="210"/>
      <c r="D163" s="210"/>
      <c r="E163" s="210"/>
      <c r="F163" s="254"/>
      <c r="G163" s="249">
        <v>1</v>
      </c>
      <c r="H163" s="249">
        <v>0.6</v>
      </c>
      <c r="I163" s="166">
        <v>1</v>
      </c>
      <c r="J163" s="249"/>
      <c r="K163" s="249">
        <f t="shared" si="11"/>
        <v>0.6</v>
      </c>
      <c r="L163" s="250"/>
      <c r="N163" s="149"/>
      <c r="O163" s="149"/>
      <c r="P163" s="149"/>
      <c r="Q163" s="149"/>
      <c r="R163" s="149"/>
      <c r="S163" s="149"/>
      <c r="T163" s="149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1:57" x14ac:dyDescent="0.25">
      <c r="A164" s="251"/>
      <c r="B164" s="210" t="s">
        <v>1393</v>
      </c>
      <c r="C164" s="210"/>
      <c r="D164" s="210"/>
      <c r="E164" s="210"/>
      <c r="F164" s="254"/>
      <c r="G164" s="249">
        <v>0.6</v>
      </c>
      <c r="H164" s="249">
        <v>1</v>
      </c>
      <c r="I164" s="166">
        <v>1</v>
      </c>
      <c r="J164" s="249"/>
      <c r="K164" s="249">
        <f t="shared" si="11"/>
        <v>0.6</v>
      </c>
      <c r="L164" s="250"/>
      <c r="N164" s="149"/>
      <c r="O164" s="149"/>
      <c r="P164" s="149"/>
      <c r="Q164" s="149"/>
      <c r="R164" s="149"/>
      <c r="S164" s="149"/>
      <c r="T164" s="149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1:57" x14ac:dyDescent="0.25">
      <c r="A165" s="251"/>
      <c r="B165" s="210" t="s">
        <v>1394</v>
      </c>
      <c r="C165" s="210"/>
      <c r="D165" s="210"/>
      <c r="E165" s="210"/>
      <c r="F165" s="254"/>
      <c r="G165" s="249">
        <v>6.34</v>
      </c>
      <c r="H165" s="249">
        <v>0.4</v>
      </c>
      <c r="I165" s="166">
        <v>1</v>
      </c>
      <c r="J165" s="249"/>
      <c r="K165" s="249">
        <f t="shared" si="11"/>
        <v>2.5299999999999998</v>
      </c>
      <c r="L165" s="250"/>
      <c r="N165" s="149"/>
      <c r="O165" s="149"/>
      <c r="P165" s="149"/>
      <c r="Q165" s="149"/>
      <c r="R165" s="149"/>
      <c r="S165" s="149"/>
      <c r="T165" s="149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1:57" x14ac:dyDescent="0.25">
      <c r="A166" s="251"/>
      <c r="B166" s="210" t="s">
        <v>1395</v>
      </c>
      <c r="C166" s="210"/>
      <c r="D166" s="210"/>
      <c r="E166" s="210"/>
      <c r="F166" s="254"/>
      <c r="G166" s="249">
        <v>0.6</v>
      </c>
      <c r="H166" s="249">
        <v>0.4</v>
      </c>
      <c r="I166" s="166">
        <v>1</v>
      </c>
      <c r="J166" s="249"/>
      <c r="K166" s="249">
        <f t="shared" si="11"/>
        <v>0.24</v>
      </c>
      <c r="L166" s="250"/>
      <c r="N166" s="149"/>
      <c r="O166" s="149"/>
      <c r="P166" s="149"/>
      <c r="Q166" s="149"/>
      <c r="R166" s="149"/>
      <c r="S166" s="149"/>
      <c r="T166" s="149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1:57" x14ac:dyDescent="0.25">
      <c r="A167" s="251"/>
      <c r="B167" s="210" t="s">
        <v>1401</v>
      </c>
      <c r="C167" s="210"/>
      <c r="D167" s="210"/>
      <c r="E167" s="210"/>
      <c r="F167" s="254"/>
      <c r="G167" s="249">
        <v>2</v>
      </c>
      <c r="H167" s="249">
        <v>1</v>
      </c>
      <c r="I167" s="249">
        <v>4</v>
      </c>
      <c r="J167" s="249"/>
      <c r="K167" s="249">
        <f t="shared" si="11"/>
        <v>8</v>
      </c>
      <c r="L167" s="250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1:57" s="154" customFormat="1" ht="22.5" customHeight="1" x14ac:dyDescent="0.25">
      <c r="A168" s="475" t="s">
        <v>1402</v>
      </c>
      <c r="B168" s="476"/>
      <c r="C168" s="476"/>
      <c r="D168" s="476"/>
      <c r="E168" s="476"/>
      <c r="F168" s="476"/>
      <c r="G168" s="476"/>
      <c r="H168" s="476"/>
      <c r="I168" s="476"/>
      <c r="J168" s="476"/>
      <c r="K168" s="477"/>
      <c r="L168" s="250"/>
      <c r="M168" s="149"/>
      <c r="N168" s="149"/>
      <c r="O168" s="149"/>
      <c r="P168" s="149"/>
      <c r="Q168" s="149"/>
      <c r="R168" s="149"/>
    </row>
    <row r="169" spans="1:57" s="166" customFormat="1" ht="20.100000000000001" customHeight="1" x14ac:dyDescent="0.25">
      <c r="A169" s="245"/>
      <c r="B169" s="246" t="s">
        <v>1486</v>
      </c>
      <c r="C169" s="246"/>
      <c r="D169" s="246"/>
      <c r="E169" s="246"/>
      <c r="F169" s="247"/>
      <c r="G169" s="249">
        <v>1.6</v>
      </c>
      <c r="H169" s="249">
        <v>2.5</v>
      </c>
      <c r="I169" s="166">
        <v>4</v>
      </c>
      <c r="J169" s="248"/>
      <c r="K169" s="249">
        <f>TRUNC(G169*H169*I169,2)</f>
        <v>16</v>
      </c>
      <c r="L169" s="250"/>
    </row>
    <row r="170" spans="1:57" s="154" customFormat="1" ht="18.75" customHeight="1" x14ac:dyDescent="0.25">
      <c r="A170" s="470" t="s">
        <v>163</v>
      </c>
      <c r="B170" s="471"/>
      <c r="C170" s="471"/>
      <c r="D170" s="471"/>
      <c r="E170" s="471"/>
      <c r="F170" s="472"/>
      <c r="G170" s="472"/>
      <c r="H170" s="472"/>
      <c r="I170" s="472"/>
      <c r="J170" s="472"/>
      <c r="K170" s="252">
        <f>SUM(K155:K169)</f>
        <v>35.409999999999997</v>
      </c>
      <c r="L170" s="250"/>
      <c r="M170" s="149"/>
      <c r="N170" s="149"/>
      <c r="O170" s="149"/>
      <c r="P170" s="149"/>
      <c r="Q170" s="149"/>
      <c r="R170" s="149"/>
    </row>
    <row r="171" spans="1:57" s="154" customFormat="1" ht="20.100000000000001" customHeight="1" x14ac:dyDescent="0.25">
      <c r="A171" s="177" t="s">
        <v>3</v>
      </c>
      <c r="B171" s="171" t="s">
        <v>1487</v>
      </c>
      <c r="C171" s="171"/>
      <c r="D171" s="171"/>
      <c r="E171" s="171"/>
      <c r="F171" s="243" t="s">
        <v>24</v>
      </c>
      <c r="G171" s="244"/>
      <c r="H171" s="244" t="s">
        <v>705</v>
      </c>
      <c r="I171" s="244"/>
      <c r="J171" s="244"/>
      <c r="K171" s="244" t="s">
        <v>50</v>
      </c>
      <c r="L171" s="250"/>
      <c r="M171" s="149"/>
      <c r="N171" s="149"/>
      <c r="O171" s="149"/>
      <c r="P171" s="149"/>
      <c r="Q171" s="149"/>
      <c r="R171" s="149"/>
    </row>
    <row r="172" spans="1:57" s="154" customFormat="1" ht="20.100000000000001" customHeight="1" x14ac:dyDescent="0.25">
      <c r="A172" s="475" t="s">
        <v>1382</v>
      </c>
      <c r="B172" s="476"/>
      <c r="C172" s="476"/>
      <c r="D172" s="476"/>
      <c r="E172" s="476"/>
      <c r="F172" s="476"/>
      <c r="G172" s="476"/>
      <c r="H172" s="476"/>
      <c r="I172" s="476"/>
      <c r="J172" s="476"/>
      <c r="K172" s="477"/>
      <c r="L172" s="250"/>
      <c r="M172" s="149"/>
      <c r="N172" s="149"/>
      <c r="O172" s="149"/>
      <c r="P172" s="149"/>
      <c r="Q172" s="149"/>
      <c r="R172" s="149"/>
    </row>
    <row r="173" spans="1:57" s="166" customFormat="1" ht="20.100000000000001" customHeight="1" x14ac:dyDescent="0.25">
      <c r="A173" s="245"/>
      <c r="B173" s="246" t="s">
        <v>1488</v>
      </c>
      <c r="C173" s="246"/>
      <c r="D173" s="246"/>
      <c r="E173" s="246"/>
      <c r="F173" s="247"/>
      <c r="G173" s="249"/>
      <c r="H173" s="249">
        <v>6.25</v>
      </c>
      <c r="J173" s="248"/>
      <c r="K173" s="249">
        <f>H173</f>
        <v>6.25</v>
      </c>
      <c r="L173" s="250"/>
    </row>
    <row r="174" spans="1:57" s="166" customFormat="1" ht="20.100000000000001" customHeight="1" x14ac:dyDescent="0.25">
      <c r="A174" s="245"/>
      <c r="B174" s="246" t="s">
        <v>1431</v>
      </c>
      <c r="C174" s="246"/>
      <c r="D174" s="246"/>
      <c r="E174" s="246"/>
      <c r="F174" s="247"/>
      <c r="G174" s="249"/>
      <c r="H174" s="249">
        <v>28.34</v>
      </c>
      <c r="J174" s="248"/>
      <c r="K174" s="249">
        <f>H174</f>
        <v>28.34</v>
      </c>
      <c r="L174" s="250"/>
    </row>
    <row r="175" spans="1:57" s="166" customFormat="1" ht="20.100000000000001" customHeight="1" x14ac:dyDescent="0.25">
      <c r="A175" s="245"/>
      <c r="B175" s="246" t="s">
        <v>1489</v>
      </c>
      <c r="C175" s="246"/>
      <c r="D175" s="246"/>
      <c r="E175" s="246"/>
      <c r="F175" s="247"/>
      <c r="G175" s="249"/>
      <c r="H175" s="249">
        <v>40.76</v>
      </c>
      <c r="J175" s="248"/>
      <c r="K175" s="249">
        <f>H175</f>
        <v>40.76</v>
      </c>
      <c r="L175" s="250"/>
    </row>
    <row r="176" spans="1:57" s="154" customFormat="1" ht="20.100000000000001" customHeight="1" x14ac:dyDescent="0.25">
      <c r="A176" s="475" t="s">
        <v>1384</v>
      </c>
      <c r="B176" s="476"/>
      <c r="C176" s="476"/>
      <c r="D176" s="476"/>
      <c r="E176" s="476"/>
      <c r="F176" s="476"/>
      <c r="G176" s="476"/>
      <c r="H176" s="476"/>
      <c r="I176" s="476"/>
      <c r="J176" s="476"/>
      <c r="K176" s="477"/>
      <c r="L176" s="250"/>
      <c r="M176" s="149"/>
      <c r="N176" s="149"/>
      <c r="O176" s="149"/>
      <c r="P176" s="149"/>
      <c r="Q176" s="149"/>
      <c r="R176" s="149"/>
    </row>
    <row r="177" spans="1:18" s="166" customFormat="1" ht="20.100000000000001" customHeight="1" x14ac:dyDescent="0.25">
      <c r="A177" s="245"/>
      <c r="B177" s="246" t="s">
        <v>1385</v>
      </c>
      <c r="C177" s="246"/>
      <c r="D177" s="246"/>
      <c r="E177" s="246"/>
      <c r="F177" s="247"/>
      <c r="G177" s="248"/>
      <c r="H177" s="249">
        <v>17.7</v>
      </c>
      <c r="J177" s="248"/>
      <c r="K177" s="249">
        <f>H177</f>
        <v>17.7</v>
      </c>
      <c r="L177" s="250"/>
    </row>
    <row r="178" spans="1:18" s="166" customFormat="1" ht="20.100000000000001" customHeight="1" x14ac:dyDescent="0.25">
      <c r="A178" s="245"/>
      <c r="B178" s="246" t="s">
        <v>1386</v>
      </c>
      <c r="C178" s="246"/>
      <c r="D178" s="246"/>
      <c r="E178" s="246"/>
      <c r="F178" s="247"/>
      <c r="G178" s="248"/>
      <c r="H178" s="249">
        <v>21.81</v>
      </c>
      <c r="J178" s="248"/>
      <c r="K178" s="249">
        <f>H178</f>
        <v>21.81</v>
      </c>
      <c r="L178" s="250"/>
    </row>
    <row r="179" spans="1:18" s="166" customFormat="1" ht="20.100000000000001" customHeight="1" x14ac:dyDescent="0.25">
      <c r="A179" s="245"/>
      <c r="B179" s="246" t="s">
        <v>1387</v>
      </c>
      <c r="C179" s="246"/>
      <c r="D179" s="246"/>
      <c r="E179" s="246"/>
      <c r="F179" s="247"/>
      <c r="G179" s="248"/>
      <c r="H179" s="249">
        <v>39.93</v>
      </c>
      <c r="J179" s="248"/>
      <c r="K179" s="249">
        <f>H179</f>
        <v>39.93</v>
      </c>
      <c r="L179" s="250"/>
    </row>
    <row r="180" spans="1:18" s="166" customFormat="1" ht="20.100000000000001" customHeight="1" x14ac:dyDescent="0.25">
      <c r="A180" s="245"/>
      <c r="B180" s="246" t="s">
        <v>1490</v>
      </c>
      <c r="C180" s="246"/>
      <c r="D180" s="246"/>
      <c r="E180" s="246"/>
      <c r="F180" s="247"/>
      <c r="G180" s="248"/>
      <c r="H180" s="249">
        <v>19.510000000000002</v>
      </c>
      <c r="J180" s="248"/>
      <c r="K180" s="249">
        <f>H180</f>
        <v>19.510000000000002</v>
      </c>
      <c r="L180" s="250"/>
    </row>
    <row r="181" spans="1:18" s="166" customFormat="1" ht="20.100000000000001" customHeight="1" x14ac:dyDescent="0.25">
      <c r="A181" s="245"/>
      <c r="B181" s="246" t="s">
        <v>1490</v>
      </c>
      <c r="C181" s="246"/>
      <c r="D181" s="246"/>
      <c r="E181" s="246"/>
      <c r="F181" s="247"/>
      <c r="G181" s="248"/>
      <c r="H181" s="249">
        <v>21.38</v>
      </c>
      <c r="J181" s="248"/>
      <c r="K181" s="249">
        <f>H181</f>
        <v>21.38</v>
      </c>
      <c r="L181" s="250"/>
    </row>
    <row r="182" spans="1:18" s="154" customFormat="1" ht="20.100000000000001" customHeight="1" x14ac:dyDescent="0.25">
      <c r="A182" s="475" t="s">
        <v>1409</v>
      </c>
      <c r="B182" s="476"/>
      <c r="C182" s="476"/>
      <c r="D182" s="476"/>
      <c r="E182" s="476"/>
      <c r="F182" s="476"/>
      <c r="G182" s="476"/>
      <c r="H182" s="476"/>
      <c r="I182" s="476"/>
      <c r="J182" s="476"/>
      <c r="K182" s="477"/>
      <c r="L182" s="250"/>
      <c r="M182" s="149"/>
      <c r="N182" s="149"/>
      <c r="O182" s="149"/>
      <c r="P182" s="149"/>
      <c r="Q182" s="149"/>
      <c r="R182" s="149"/>
    </row>
    <row r="183" spans="1:18" s="166" customFormat="1" ht="20.100000000000001" customHeight="1" x14ac:dyDescent="0.25">
      <c r="A183" s="245"/>
      <c r="B183" s="246" t="s">
        <v>1491</v>
      </c>
      <c r="C183" s="246"/>
      <c r="D183" s="246"/>
      <c r="E183" s="246"/>
      <c r="F183" s="247"/>
      <c r="G183" s="248"/>
      <c r="H183" s="249">
        <v>13.44</v>
      </c>
      <c r="I183" s="249"/>
      <c r="J183" s="248"/>
      <c r="K183" s="249">
        <f>H183</f>
        <v>13.44</v>
      </c>
      <c r="L183" s="250"/>
    </row>
    <row r="184" spans="1:18" s="166" customFormat="1" ht="20.100000000000001" customHeight="1" x14ac:dyDescent="0.25">
      <c r="A184" s="245"/>
      <c r="B184" s="246" t="s">
        <v>1490</v>
      </c>
      <c r="C184" s="246"/>
      <c r="D184" s="246"/>
      <c r="E184" s="246"/>
      <c r="F184" s="247"/>
      <c r="G184" s="248"/>
      <c r="H184" s="249">
        <v>19.809999999999999</v>
      </c>
      <c r="J184" s="248"/>
      <c r="K184" s="249">
        <f>H184</f>
        <v>19.809999999999999</v>
      </c>
      <c r="L184" s="250"/>
    </row>
    <row r="185" spans="1:18" s="154" customFormat="1" ht="20.100000000000001" customHeight="1" x14ac:dyDescent="0.25">
      <c r="A185" s="475" t="s">
        <v>1411</v>
      </c>
      <c r="B185" s="476"/>
      <c r="C185" s="476"/>
      <c r="D185" s="476"/>
      <c r="E185" s="476"/>
      <c r="F185" s="476"/>
      <c r="G185" s="476"/>
      <c r="H185" s="476"/>
      <c r="I185" s="476"/>
      <c r="J185" s="476"/>
      <c r="K185" s="477"/>
      <c r="L185" s="250"/>
      <c r="M185" s="149"/>
      <c r="N185" s="149"/>
      <c r="O185" s="149"/>
      <c r="P185" s="149"/>
      <c r="Q185" s="149"/>
      <c r="R185" s="149"/>
    </row>
    <row r="186" spans="1:18" s="166" customFormat="1" ht="20.100000000000001" customHeight="1" x14ac:dyDescent="0.25">
      <c r="A186" s="245"/>
      <c r="B186" s="246" t="s">
        <v>1490</v>
      </c>
      <c r="C186" s="246"/>
      <c r="D186" s="246"/>
      <c r="E186" s="246"/>
      <c r="F186" s="247"/>
      <c r="G186" s="248"/>
      <c r="H186" s="249">
        <v>19.899999999999999</v>
      </c>
      <c r="J186" s="248"/>
      <c r="K186" s="249">
        <f>H186</f>
        <v>19.899999999999999</v>
      </c>
      <c r="L186" s="250"/>
    </row>
    <row r="187" spans="1:18" s="154" customFormat="1" ht="20.100000000000001" customHeight="1" x14ac:dyDescent="0.25">
      <c r="A187" s="475" t="s">
        <v>1413</v>
      </c>
      <c r="B187" s="476"/>
      <c r="C187" s="476"/>
      <c r="D187" s="476"/>
      <c r="E187" s="476"/>
      <c r="F187" s="476"/>
      <c r="G187" s="476"/>
      <c r="H187" s="476"/>
      <c r="I187" s="476"/>
      <c r="J187" s="476"/>
      <c r="K187" s="477"/>
      <c r="L187" s="250"/>
      <c r="M187" s="149"/>
      <c r="N187" s="149"/>
      <c r="O187" s="149"/>
      <c r="P187" s="149"/>
      <c r="Q187" s="149"/>
      <c r="R187" s="149"/>
    </row>
    <row r="188" spans="1:18" s="149" customFormat="1" ht="18.75" customHeight="1" x14ac:dyDescent="0.25">
      <c r="A188" s="245"/>
      <c r="B188" s="246" t="s">
        <v>1492</v>
      </c>
      <c r="C188" s="246"/>
      <c r="D188" s="246"/>
      <c r="E188" s="246"/>
      <c r="F188" s="247"/>
      <c r="G188" s="248"/>
      <c r="H188" s="249">
        <v>73.739999999999995</v>
      </c>
      <c r="J188" s="248"/>
      <c r="K188" s="249">
        <f>H188</f>
        <v>73.739999999999995</v>
      </c>
      <c r="L188" s="250"/>
    </row>
    <row r="189" spans="1:18" s="154" customFormat="1" ht="20.100000000000001" customHeight="1" x14ac:dyDescent="0.25">
      <c r="A189" s="475" t="s">
        <v>1402</v>
      </c>
      <c r="B189" s="476"/>
      <c r="C189" s="476"/>
      <c r="D189" s="476"/>
      <c r="E189" s="476"/>
      <c r="F189" s="476"/>
      <c r="G189" s="476"/>
      <c r="H189" s="476"/>
      <c r="I189" s="476"/>
      <c r="J189" s="476"/>
      <c r="K189" s="477"/>
      <c r="L189" s="250"/>
      <c r="M189" s="149"/>
      <c r="N189" s="149"/>
      <c r="O189" s="149"/>
      <c r="P189" s="149"/>
      <c r="Q189" s="149"/>
      <c r="R189" s="149"/>
    </row>
    <row r="190" spans="1:18" s="1" customFormat="1" x14ac:dyDescent="0.25">
      <c r="B190" s="1" t="s">
        <v>1403</v>
      </c>
      <c r="H190" s="1">
        <v>100.31</v>
      </c>
      <c r="K190" s="1">
        <f>H190</f>
        <v>100.31</v>
      </c>
      <c r="L190" s="250"/>
    </row>
    <row r="191" spans="1:18" s="154" customFormat="1" ht="18.75" customHeight="1" x14ac:dyDescent="0.25">
      <c r="A191" s="470" t="s">
        <v>163</v>
      </c>
      <c r="B191" s="471"/>
      <c r="C191" s="471"/>
      <c r="D191" s="471"/>
      <c r="E191" s="471"/>
      <c r="F191" s="472"/>
      <c r="G191" s="472"/>
      <c r="H191" s="472"/>
      <c r="I191" s="472"/>
      <c r="J191" s="472"/>
      <c r="K191" s="252">
        <f>SUM(K173:K190)</f>
        <v>422.88</v>
      </c>
      <c r="L191" s="250"/>
      <c r="M191" s="149"/>
      <c r="N191" s="149"/>
      <c r="O191" s="149"/>
      <c r="P191" s="149"/>
      <c r="Q191" s="149"/>
      <c r="R191" s="149"/>
    </row>
    <row r="192" spans="1:18" s="154" customFormat="1" ht="20.100000000000001" customHeight="1" x14ac:dyDescent="0.25">
      <c r="A192" s="177" t="s">
        <v>3</v>
      </c>
      <c r="B192" s="171" t="s">
        <v>1493</v>
      </c>
      <c r="C192" s="171"/>
      <c r="D192" s="171"/>
      <c r="E192" s="171"/>
      <c r="F192" s="243" t="s">
        <v>24</v>
      </c>
      <c r="G192" s="244"/>
      <c r="H192" s="244" t="s">
        <v>705</v>
      </c>
      <c r="I192" s="244"/>
      <c r="J192" s="244"/>
      <c r="K192" s="244" t="s">
        <v>50</v>
      </c>
      <c r="L192" s="250"/>
      <c r="M192" s="149"/>
      <c r="N192" s="149"/>
      <c r="O192" s="149"/>
      <c r="P192" s="149"/>
      <c r="Q192" s="149"/>
      <c r="R192" s="149"/>
    </row>
    <row r="193" spans="1:18" s="154" customFormat="1" ht="20.100000000000001" customHeight="1" x14ac:dyDescent="0.25">
      <c r="A193" s="475" t="s">
        <v>1382</v>
      </c>
      <c r="B193" s="476"/>
      <c r="C193" s="476"/>
      <c r="D193" s="476"/>
      <c r="E193" s="476"/>
      <c r="F193" s="476"/>
      <c r="G193" s="476"/>
      <c r="H193" s="476"/>
      <c r="I193" s="476"/>
      <c r="J193" s="476"/>
      <c r="K193" s="477"/>
      <c r="L193" s="250"/>
      <c r="M193" s="149"/>
      <c r="N193" s="149"/>
      <c r="O193" s="149"/>
      <c r="P193" s="149"/>
      <c r="Q193" s="149"/>
      <c r="R193" s="149"/>
    </row>
    <row r="194" spans="1:18" s="166" customFormat="1" ht="20.100000000000001" customHeight="1" x14ac:dyDescent="0.25">
      <c r="A194" s="245"/>
      <c r="B194" s="246" t="s">
        <v>1488</v>
      </c>
      <c r="C194" s="246"/>
      <c r="D194" s="246"/>
      <c r="E194" s="246"/>
      <c r="F194" s="247"/>
      <c r="G194" s="249"/>
      <c r="H194" s="249">
        <v>6.25</v>
      </c>
      <c r="J194" s="248"/>
      <c r="K194" s="249">
        <f>SUM(K211)</f>
        <v>100.31</v>
      </c>
      <c r="L194" s="250"/>
    </row>
    <row r="195" spans="1:18" s="166" customFormat="1" ht="20.100000000000001" customHeight="1" x14ac:dyDescent="0.25">
      <c r="A195" s="245"/>
      <c r="B195" s="246" t="s">
        <v>1431</v>
      </c>
      <c r="C195" s="246"/>
      <c r="D195" s="246"/>
      <c r="E195" s="246"/>
      <c r="F195" s="247"/>
      <c r="G195" s="249"/>
      <c r="H195" s="249">
        <v>28.34</v>
      </c>
      <c r="J195" s="248"/>
      <c r="K195" s="249">
        <f>H195</f>
        <v>28.34</v>
      </c>
      <c r="L195" s="250"/>
    </row>
    <row r="196" spans="1:18" s="166" customFormat="1" ht="20.100000000000001" customHeight="1" x14ac:dyDescent="0.25">
      <c r="A196" s="245"/>
      <c r="B196" s="246" t="s">
        <v>1489</v>
      </c>
      <c r="C196" s="246"/>
      <c r="D196" s="246"/>
      <c r="E196" s="246"/>
      <c r="F196" s="247"/>
      <c r="G196" s="249"/>
      <c r="H196" s="249">
        <v>40.76</v>
      </c>
      <c r="J196" s="248"/>
      <c r="K196" s="249">
        <f>H196</f>
        <v>40.76</v>
      </c>
      <c r="L196" s="250"/>
    </row>
    <row r="197" spans="1:18" s="154" customFormat="1" ht="20.100000000000001" customHeight="1" x14ac:dyDescent="0.25">
      <c r="A197" s="475" t="s">
        <v>1384</v>
      </c>
      <c r="B197" s="476"/>
      <c r="C197" s="476"/>
      <c r="D197" s="476"/>
      <c r="E197" s="476"/>
      <c r="F197" s="476"/>
      <c r="G197" s="476"/>
      <c r="H197" s="476"/>
      <c r="I197" s="476"/>
      <c r="J197" s="476"/>
      <c r="K197" s="477"/>
      <c r="L197" s="250"/>
      <c r="M197" s="149"/>
      <c r="N197" s="149"/>
      <c r="O197" s="149"/>
      <c r="P197" s="149"/>
      <c r="Q197" s="149"/>
      <c r="R197" s="149"/>
    </row>
    <row r="198" spans="1:18" s="166" customFormat="1" ht="20.100000000000001" customHeight="1" x14ac:dyDescent="0.25">
      <c r="A198" s="245"/>
      <c r="B198" s="246" t="s">
        <v>1385</v>
      </c>
      <c r="C198" s="246"/>
      <c r="D198" s="246"/>
      <c r="E198" s="246"/>
      <c r="F198" s="247"/>
      <c r="G198" s="248"/>
      <c r="H198" s="249">
        <v>17.7</v>
      </c>
      <c r="J198" s="248"/>
      <c r="K198" s="249">
        <f>H198</f>
        <v>17.7</v>
      </c>
      <c r="L198" s="250"/>
    </row>
    <row r="199" spans="1:18" s="166" customFormat="1" ht="20.100000000000001" customHeight="1" x14ac:dyDescent="0.25">
      <c r="A199" s="245"/>
      <c r="B199" s="246" t="s">
        <v>1386</v>
      </c>
      <c r="C199" s="246"/>
      <c r="D199" s="246"/>
      <c r="E199" s="246"/>
      <c r="F199" s="247"/>
      <c r="G199" s="248"/>
      <c r="H199" s="249">
        <v>21.81</v>
      </c>
      <c r="J199" s="248"/>
      <c r="K199" s="249">
        <f>H199</f>
        <v>21.81</v>
      </c>
      <c r="L199" s="250"/>
    </row>
    <row r="200" spans="1:18" s="166" customFormat="1" ht="20.100000000000001" customHeight="1" x14ac:dyDescent="0.25">
      <c r="A200" s="245"/>
      <c r="B200" s="246" t="s">
        <v>1387</v>
      </c>
      <c r="C200" s="246"/>
      <c r="D200" s="246"/>
      <c r="E200" s="246"/>
      <c r="F200" s="247"/>
      <c r="G200" s="248"/>
      <c r="H200" s="249">
        <v>39.93</v>
      </c>
      <c r="J200" s="248"/>
      <c r="K200" s="249">
        <f>H200</f>
        <v>39.93</v>
      </c>
      <c r="L200" s="250"/>
    </row>
    <row r="201" spans="1:18" s="166" customFormat="1" ht="20.100000000000001" customHeight="1" x14ac:dyDescent="0.25">
      <c r="A201" s="245"/>
      <c r="B201" s="246" t="s">
        <v>1490</v>
      </c>
      <c r="C201" s="246"/>
      <c r="D201" s="246"/>
      <c r="E201" s="246"/>
      <c r="F201" s="247"/>
      <c r="G201" s="248"/>
      <c r="H201" s="249">
        <v>19.510000000000002</v>
      </c>
      <c r="J201" s="248"/>
      <c r="K201" s="249">
        <f>H201</f>
        <v>19.510000000000002</v>
      </c>
      <c r="L201" s="250"/>
    </row>
    <row r="202" spans="1:18" s="166" customFormat="1" ht="20.100000000000001" customHeight="1" x14ac:dyDescent="0.25">
      <c r="A202" s="245"/>
      <c r="B202" s="246" t="s">
        <v>1490</v>
      </c>
      <c r="C202" s="246"/>
      <c r="D202" s="246"/>
      <c r="E202" s="246"/>
      <c r="F202" s="247"/>
      <c r="G202" s="248"/>
      <c r="H202" s="249">
        <v>21.38</v>
      </c>
      <c r="J202" s="248"/>
      <c r="K202" s="249">
        <f>H202</f>
        <v>21.38</v>
      </c>
      <c r="L202" s="250"/>
    </row>
    <row r="203" spans="1:18" s="154" customFormat="1" ht="20.100000000000001" customHeight="1" x14ac:dyDescent="0.25">
      <c r="A203" s="475" t="s">
        <v>1409</v>
      </c>
      <c r="B203" s="476"/>
      <c r="C203" s="476"/>
      <c r="D203" s="476"/>
      <c r="E203" s="476"/>
      <c r="F203" s="476"/>
      <c r="G203" s="476"/>
      <c r="H203" s="476"/>
      <c r="I203" s="476"/>
      <c r="J203" s="476"/>
      <c r="K203" s="477"/>
      <c r="L203" s="250"/>
      <c r="M203" s="149"/>
      <c r="N203" s="149"/>
      <c r="O203" s="149"/>
      <c r="P203" s="149"/>
      <c r="Q203" s="149"/>
      <c r="R203" s="149"/>
    </row>
    <row r="204" spans="1:18" s="166" customFormat="1" ht="20.100000000000001" customHeight="1" x14ac:dyDescent="0.25">
      <c r="A204" s="245"/>
      <c r="B204" s="246" t="s">
        <v>1491</v>
      </c>
      <c r="C204" s="246"/>
      <c r="D204" s="246"/>
      <c r="E204" s="246"/>
      <c r="F204" s="247"/>
      <c r="G204" s="248"/>
      <c r="H204" s="249">
        <v>13.44</v>
      </c>
      <c r="I204" s="249"/>
      <c r="J204" s="248"/>
      <c r="K204" s="249">
        <f>H204</f>
        <v>13.44</v>
      </c>
      <c r="L204" s="250"/>
    </row>
    <row r="205" spans="1:18" s="166" customFormat="1" ht="20.100000000000001" customHeight="1" x14ac:dyDescent="0.25">
      <c r="A205" s="245"/>
      <c r="B205" s="246" t="s">
        <v>1490</v>
      </c>
      <c r="C205" s="246"/>
      <c r="D205" s="246"/>
      <c r="E205" s="246"/>
      <c r="F205" s="247"/>
      <c r="G205" s="248"/>
      <c r="H205" s="249">
        <v>19.809999999999999</v>
      </c>
      <c r="J205" s="248"/>
      <c r="K205" s="249">
        <f>H205</f>
        <v>19.809999999999999</v>
      </c>
      <c r="L205" s="250"/>
    </row>
    <row r="206" spans="1:18" s="154" customFormat="1" ht="20.100000000000001" customHeight="1" x14ac:dyDescent="0.25">
      <c r="A206" s="475" t="s">
        <v>1411</v>
      </c>
      <c r="B206" s="476"/>
      <c r="C206" s="476"/>
      <c r="D206" s="476"/>
      <c r="E206" s="476"/>
      <c r="F206" s="476"/>
      <c r="G206" s="476"/>
      <c r="H206" s="476"/>
      <c r="I206" s="476"/>
      <c r="J206" s="476"/>
      <c r="K206" s="477"/>
      <c r="L206" s="250"/>
      <c r="M206" s="149"/>
      <c r="N206" s="149"/>
      <c r="O206" s="149"/>
      <c r="P206" s="149"/>
      <c r="Q206" s="149"/>
      <c r="R206" s="149"/>
    </row>
    <row r="207" spans="1:18" s="166" customFormat="1" ht="20.100000000000001" customHeight="1" x14ac:dyDescent="0.25">
      <c r="A207" s="245"/>
      <c r="B207" s="246" t="s">
        <v>1490</v>
      </c>
      <c r="C207" s="246"/>
      <c r="D207" s="246"/>
      <c r="E207" s="246"/>
      <c r="F207" s="247"/>
      <c r="G207" s="248"/>
      <c r="H207" s="249">
        <v>19.899999999999999</v>
      </c>
      <c r="J207" s="248"/>
      <c r="K207" s="249">
        <f>H207</f>
        <v>19.899999999999999</v>
      </c>
      <c r="L207" s="250"/>
    </row>
    <row r="208" spans="1:18" s="154" customFormat="1" ht="20.100000000000001" customHeight="1" x14ac:dyDescent="0.25">
      <c r="A208" s="475" t="s">
        <v>1413</v>
      </c>
      <c r="B208" s="476"/>
      <c r="C208" s="476"/>
      <c r="D208" s="476"/>
      <c r="E208" s="476"/>
      <c r="F208" s="476"/>
      <c r="G208" s="476"/>
      <c r="H208" s="476"/>
      <c r="I208" s="476"/>
      <c r="J208" s="476"/>
      <c r="K208" s="477"/>
      <c r="L208" s="250"/>
      <c r="M208" s="149"/>
      <c r="N208" s="149"/>
      <c r="O208" s="149"/>
      <c r="P208" s="149"/>
      <c r="Q208" s="149"/>
      <c r="R208" s="149"/>
    </row>
    <row r="209" spans="1:18" s="149" customFormat="1" ht="18.75" customHeight="1" x14ac:dyDescent="0.25">
      <c r="A209" s="245"/>
      <c r="B209" s="246" t="s">
        <v>1492</v>
      </c>
      <c r="C209" s="246"/>
      <c r="D209" s="246"/>
      <c r="E209" s="246"/>
      <c r="F209" s="247"/>
      <c r="G209" s="248"/>
      <c r="H209" s="249">
        <v>73.739999999999995</v>
      </c>
      <c r="J209" s="248"/>
      <c r="K209" s="249">
        <f>H209</f>
        <v>73.739999999999995</v>
      </c>
      <c r="L209" s="250"/>
    </row>
    <row r="210" spans="1:18" s="154" customFormat="1" ht="20.100000000000001" customHeight="1" x14ac:dyDescent="0.25">
      <c r="A210" s="475" t="s">
        <v>1402</v>
      </c>
      <c r="B210" s="476"/>
      <c r="C210" s="476"/>
      <c r="D210" s="476"/>
      <c r="E210" s="476"/>
      <c r="F210" s="476"/>
      <c r="G210" s="476"/>
      <c r="H210" s="476"/>
      <c r="I210" s="476"/>
      <c r="J210" s="476"/>
      <c r="K210" s="477"/>
      <c r="L210" s="250"/>
      <c r="M210" s="149"/>
      <c r="N210" s="149"/>
      <c r="O210" s="149"/>
      <c r="P210" s="149"/>
      <c r="Q210" s="149"/>
      <c r="R210" s="149"/>
    </row>
    <row r="211" spans="1:18" s="1" customFormat="1" x14ac:dyDescent="0.25">
      <c r="B211" s="1" t="s">
        <v>1403</v>
      </c>
      <c r="H211" s="1">
        <v>100.31</v>
      </c>
      <c r="K211" s="1">
        <f>H211</f>
        <v>100.31</v>
      </c>
      <c r="L211" s="250"/>
    </row>
    <row r="212" spans="1:18" s="154" customFormat="1" ht="18.75" customHeight="1" x14ac:dyDescent="0.25">
      <c r="A212" s="470" t="s">
        <v>163</v>
      </c>
      <c r="B212" s="471"/>
      <c r="C212" s="471"/>
      <c r="D212" s="471"/>
      <c r="E212" s="471"/>
      <c r="F212" s="472"/>
      <c r="G212" s="472"/>
      <c r="H212" s="472"/>
      <c r="I212" s="472"/>
      <c r="J212" s="472"/>
      <c r="K212" s="252">
        <f>SUM(K194:K211)</f>
        <v>516.94000000000005</v>
      </c>
      <c r="L212" s="250"/>
      <c r="M212" s="149"/>
      <c r="N212" s="149"/>
      <c r="O212" s="149"/>
      <c r="P212" s="149"/>
      <c r="Q212" s="149"/>
      <c r="R212" s="149"/>
    </row>
    <row r="213" spans="1:18" s="154" customFormat="1" ht="20.100000000000001" customHeight="1" x14ac:dyDescent="0.25">
      <c r="A213" s="177" t="s">
        <v>3</v>
      </c>
      <c r="B213" s="171" t="s">
        <v>1494</v>
      </c>
      <c r="C213" s="171"/>
      <c r="D213" s="171"/>
      <c r="E213" s="171"/>
      <c r="F213" s="243" t="s">
        <v>24</v>
      </c>
      <c r="G213" s="244"/>
      <c r="H213" s="244" t="s">
        <v>705</v>
      </c>
      <c r="I213" s="244"/>
      <c r="J213" s="244"/>
      <c r="K213" s="244" t="s">
        <v>50</v>
      </c>
      <c r="L213" s="250"/>
      <c r="M213" s="149"/>
      <c r="N213" s="149"/>
      <c r="O213" s="149"/>
      <c r="P213" s="149"/>
      <c r="Q213" s="149"/>
      <c r="R213" s="149"/>
    </row>
    <row r="214" spans="1:18" s="154" customFormat="1" ht="20.100000000000001" customHeight="1" x14ac:dyDescent="0.25">
      <c r="A214" s="475" t="s">
        <v>1382</v>
      </c>
      <c r="B214" s="476"/>
      <c r="C214" s="476"/>
      <c r="D214" s="476"/>
      <c r="E214" s="476"/>
      <c r="F214" s="476"/>
      <c r="G214" s="476"/>
      <c r="H214" s="476"/>
      <c r="I214" s="476"/>
      <c r="J214" s="476"/>
      <c r="K214" s="477"/>
      <c r="L214" s="250"/>
      <c r="M214" s="149"/>
      <c r="N214" s="149"/>
      <c r="O214" s="149"/>
      <c r="P214" s="149"/>
      <c r="Q214" s="149"/>
      <c r="R214" s="149"/>
    </row>
    <row r="215" spans="1:18" s="166" customFormat="1" ht="20.100000000000001" customHeight="1" x14ac:dyDescent="0.25">
      <c r="A215" s="245"/>
      <c r="B215" s="246" t="s">
        <v>1489</v>
      </c>
      <c r="C215" s="246"/>
      <c r="D215" s="246"/>
      <c r="E215" s="246"/>
      <c r="F215" s="247"/>
      <c r="G215" s="249"/>
      <c r="H215" s="249">
        <v>40.76</v>
      </c>
      <c r="J215" s="248"/>
      <c r="K215" s="249">
        <f>H215</f>
        <v>40.76</v>
      </c>
      <c r="L215" s="250"/>
    </row>
    <row r="216" spans="1:18" s="154" customFormat="1" ht="20.100000000000001" customHeight="1" x14ac:dyDescent="0.25">
      <c r="A216" s="475" t="s">
        <v>1384</v>
      </c>
      <c r="B216" s="476"/>
      <c r="C216" s="476"/>
      <c r="D216" s="476"/>
      <c r="E216" s="476"/>
      <c r="F216" s="476"/>
      <c r="G216" s="476"/>
      <c r="H216" s="476"/>
      <c r="I216" s="476"/>
      <c r="J216" s="476"/>
      <c r="K216" s="477"/>
      <c r="L216" s="250"/>
      <c r="M216" s="149"/>
      <c r="N216" s="149"/>
      <c r="O216" s="149"/>
      <c r="P216" s="149"/>
      <c r="Q216" s="149"/>
      <c r="R216" s="149"/>
    </row>
    <row r="217" spans="1:18" s="166" customFormat="1" ht="20.100000000000001" customHeight="1" x14ac:dyDescent="0.25">
      <c r="A217" s="245"/>
      <c r="B217" s="246" t="s">
        <v>1490</v>
      </c>
      <c r="C217" s="246"/>
      <c r="D217" s="246"/>
      <c r="E217" s="246"/>
      <c r="F217" s="247"/>
      <c r="G217" s="248"/>
      <c r="H217" s="249">
        <v>10.4</v>
      </c>
      <c r="J217" s="248"/>
      <c r="K217" s="249">
        <f>H217</f>
        <v>10.4</v>
      </c>
      <c r="L217" s="250"/>
    </row>
    <row r="218" spans="1:18" s="166" customFormat="1" ht="20.100000000000001" customHeight="1" x14ac:dyDescent="0.25">
      <c r="A218" s="245"/>
      <c r="B218" s="246" t="s">
        <v>1490</v>
      </c>
      <c r="C218" s="246"/>
      <c r="D218" s="246"/>
      <c r="E218" s="246"/>
      <c r="F218" s="247"/>
      <c r="G218" s="248"/>
      <c r="H218" s="249">
        <v>11.1</v>
      </c>
      <c r="J218" s="248"/>
      <c r="K218" s="249">
        <f>H218</f>
        <v>11.1</v>
      </c>
      <c r="L218" s="250"/>
    </row>
    <row r="219" spans="1:18" s="154" customFormat="1" ht="20.100000000000001" customHeight="1" x14ac:dyDescent="0.25">
      <c r="A219" s="475" t="s">
        <v>1409</v>
      </c>
      <c r="B219" s="476"/>
      <c r="C219" s="476"/>
      <c r="D219" s="476"/>
      <c r="E219" s="476"/>
      <c r="F219" s="476"/>
      <c r="G219" s="476"/>
      <c r="H219" s="476"/>
      <c r="I219" s="476"/>
      <c r="J219" s="476"/>
      <c r="K219" s="477"/>
      <c r="L219" s="250"/>
      <c r="M219" s="149"/>
      <c r="N219" s="149"/>
      <c r="O219" s="149"/>
      <c r="P219" s="149"/>
      <c r="Q219" s="149"/>
      <c r="R219" s="149"/>
    </row>
    <row r="220" spans="1:18" s="166" customFormat="1" ht="20.100000000000001" customHeight="1" x14ac:dyDescent="0.25">
      <c r="A220" s="245"/>
      <c r="B220" s="246" t="s">
        <v>1490</v>
      </c>
      <c r="C220" s="246"/>
      <c r="D220" s="246"/>
      <c r="E220" s="246"/>
      <c r="F220" s="247"/>
      <c r="G220" s="248"/>
      <c r="H220" s="249">
        <v>11.1</v>
      </c>
      <c r="J220" s="248"/>
      <c r="K220" s="249">
        <f>H220</f>
        <v>11.1</v>
      </c>
      <c r="L220" s="250"/>
    </row>
    <row r="221" spans="1:18" s="154" customFormat="1" ht="20.100000000000001" customHeight="1" x14ac:dyDescent="0.25">
      <c r="A221" s="475" t="s">
        <v>1411</v>
      </c>
      <c r="B221" s="476"/>
      <c r="C221" s="476"/>
      <c r="D221" s="476"/>
      <c r="E221" s="476"/>
      <c r="F221" s="476"/>
      <c r="G221" s="476"/>
      <c r="H221" s="476"/>
      <c r="I221" s="476"/>
      <c r="J221" s="476"/>
      <c r="K221" s="477"/>
      <c r="L221" s="250"/>
      <c r="M221" s="149"/>
      <c r="N221" s="149"/>
      <c r="O221" s="149"/>
      <c r="P221" s="149"/>
      <c r="Q221" s="149"/>
      <c r="R221" s="149"/>
    </row>
    <row r="222" spans="1:18" s="166" customFormat="1" ht="20.100000000000001" customHeight="1" x14ac:dyDescent="0.25">
      <c r="A222" s="245"/>
      <c r="B222" s="246" t="s">
        <v>1490</v>
      </c>
      <c r="C222" s="246"/>
      <c r="D222" s="246"/>
      <c r="E222" s="246"/>
      <c r="F222" s="247"/>
      <c r="G222" s="248"/>
      <c r="H222" s="249">
        <v>11.1</v>
      </c>
      <c r="J222" s="248"/>
      <c r="K222" s="249">
        <f>H222</f>
        <v>11.1</v>
      </c>
      <c r="L222" s="250"/>
    </row>
    <row r="223" spans="1:18" s="154" customFormat="1" ht="20.100000000000001" customHeight="1" x14ac:dyDescent="0.25">
      <c r="A223" s="475" t="s">
        <v>1382</v>
      </c>
      <c r="B223" s="476"/>
      <c r="C223" s="476"/>
      <c r="D223" s="476"/>
      <c r="E223" s="476"/>
      <c r="F223" s="476"/>
      <c r="G223" s="476"/>
      <c r="H223" s="476"/>
      <c r="I223" s="476"/>
      <c r="J223" s="476"/>
      <c r="K223" s="477"/>
      <c r="L223" s="250"/>
      <c r="M223" s="149"/>
      <c r="N223" s="149"/>
      <c r="O223" s="149"/>
      <c r="P223" s="149"/>
      <c r="Q223" s="149"/>
      <c r="R223" s="149"/>
    </row>
    <row r="224" spans="1:18" s="149" customFormat="1" ht="18.75" customHeight="1" x14ac:dyDescent="0.25">
      <c r="A224" s="245"/>
      <c r="B224" s="246" t="s">
        <v>1524</v>
      </c>
      <c r="C224" s="246"/>
      <c r="D224" s="246"/>
      <c r="E224" s="246"/>
      <c r="F224" s="247"/>
      <c r="G224" s="248"/>
      <c r="H224" s="249">
        <v>9.68</v>
      </c>
      <c r="J224" s="248"/>
      <c r="K224" s="249">
        <f>H224</f>
        <v>9.68</v>
      </c>
      <c r="L224" s="250"/>
    </row>
    <row r="225" spans="1:18" s="149" customFormat="1" ht="18.75" customHeight="1" x14ac:dyDescent="0.25">
      <c r="A225" s="245"/>
      <c r="B225" s="246" t="s">
        <v>1525</v>
      </c>
      <c r="C225" s="246"/>
      <c r="D225" s="246"/>
      <c r="E225" s="246"/>
      <c r="F225" s="247"/>
      <c r="G225" s="248"/>
      <c r="H225" s="249">
        <v>9.68</v>
      </c>
      <c r="J225" s="248"/>
      <c r="K225" s="249">
        <f>H225</f>
        <v>9.68</v>
      </c>
      <c r="L225" s="250"/>
    </row>
    <row r="226" spans="1:18" s="154" customFormat="1" ht="20.100000000000001" customHeight="1" x14ac:dyDescent="0.25">
      <c r="A226" s="475" t="s">
        <v>1384</v>
      </c>
      <c r="B226" s="476"/>
      <c r="C226" s="476"/>
      <c r="D226" s="476"/>
      <c r="E226" s="476"/>
      <c r="F226" s="476"/>
      <c r="G226" s="476"/>
      <c r="H226" s="476"/>
      <c r="I226" s="476"/>
      <c r="J226" s="476"/>
      <c r="K226" s="477"/>
      <c r="L226" s="250"/>
      <c r="M226" s="149"/>
      <c r="N226" s="149"/>
      <c r="O226" s="149"/>
      <c r="P226" s="149"/>
      <c r="Q226" s="149"/>
      <c r="R226" s="149"/>
    </row>
    <row r="227" spans="1:18" s="149" customFormat="1" ht="18.75" customHeight="1" x14ac:dyDescent="0.25">
      <c r="A227" s="245"/>
      <c r="B227" s="246" t="s">
        <v>1524</v>
      </c>
      <c r="C227" s="246"/>
      <c r="D227" s="246"/>
      <c r="E227" s="246"/>
      <c r="F227" s="247"/>
      <c r="G227" s="248"/>
      <c r="H227" s="249">
        <v>9.68</v>
      </c>
      <c r="J227" s="248"/>
      <c r="K227" s="249">
        <f>H227</f>
        <v>9.68</v>
      </c>
      <c r="L227" s="250"/>
    </row>
    <row r="228" spans="1:18" s="149" customFormat="1" ht="18.75" customHeight="1" x14ac:dyDescent="0.25">
      <c r="A228" s="245"/>
      <c r="B228" s="246" t="s">
        <v>1525</v>
      </c>
      <c r="C228" s="246"/>
      <c r="D228" s="246"/>
      <c r="E228" s="246"/>
      <c r="F228" s="247"/>
      <c r="G228" s="248"/>
      <c r="H228" s="249">
        <v>9.68</v>
      </c>
      <c r="J228" s="248"/>
      <c r="K228" s="249">
        <f>H228</f>
        <v>9.68</v>
      </c>
      <c r="L228" s="250"/>
    </row>
    <row r="229" spans="1:18" s="154" customFormat="1" ht="20.100000000000001" customHeight="1" x14ac:dyDescent="0.25">
      <c r="A229" s="475" t="s">
        <v>1409</v>
      </c>
      <c r="B229" s="476"/>
      <c r="C229" s="476"/>
      <c r="D229" s="476"/>
      <c r="E229" s="476"/>
      <c r="F229" s="476"/>
      <c r="G229" s="476"/>
      <c r="H229" s="476"/>
      <c r="I229" s="476"/>
      <c r="J229" s="476"/>
      <c r="K229" s="477"/>
      <c r="L229" s="250"/>
      <c r="M229" s="149"/>
      <c r="N229" s="149"/>
      <c r="O229" s="149"/>
      <c r="P229" s="149"/>
      <c r="Q229" s="149"/>
      <c r="R229" s="149"/>
    </row>
    <row r="230" spans="1:18" s="149" customFormat="1" ht="18.75" customHeight="1" x14ac:dyDescent="0.25">
      <c r="A230" s="245"/>
      <c r="B230" s="246" t="s">
        <v>1524</v>
      </c>
      <c r="C230" s="246"/>
      <c r="D230" s="246"/>
      <c r="E230" s="246"/>
      <c r="F230" s="247"/>
      <c r="G230" s="248"/>
      <c r="H230" s="249">
        <v>9.68</v>
      </c>
      <c r="J230" s="248"/>
      <c r="K230" s="249">
        <f>H230</f>
        <v>9.68</v>
      </c>
      <c r="L230" s="250"/>
    </row>
    <row r="231" spans="1:18" s="149" customFormat="1" ht="18.75" customHeight="1" x14ac:dyDescent="0.25">
      <c r="A231" s="245"/>
      <c r="B231" s="246" t="s">
        <v>1525</v>
      </c>
      <c r="C231" s="246"/>
      <c r="D231" s="246"/>
      <c r="E231" s="246"/>
      <c r="F231" s="247"/>
      <c r="G231" s="248"/>
      <c r="H231" s="249">
        <v>9.68</v>
      </c>
      <c r="J231" s="248"/>
      <c r="K231" s="249">
        <f>H231</f>
        <v>9.68</v>
      </c>
      <c r="L231" s="250"/>
    </row>
    <row r="232" spans="1:18" s="154" customFormat="1" ht="20.100000000000001" customHeight="1" x14ac:dyDescent="0.25">
      <c r="A232" s="475" t="s">
        <v>1411</v>
      </c>
      <c r="B232" s="476"/>
      <c r="C232" s="476"/>
      <c r="D232" s="476"/>
      <c r="E232" s="476"/>
      <c r="F232" s="476"/>
      <c r="G232" s="476"/>
      <c r="H232" s="476"/>
      <c r="I232" s="476"/>
      <c r="J232" s="476"/>
      <c r="K232" s="477"/>
      <c r="L232" s="250"/>
      <c r="M232" s="149"/>
      <c r="N232" s="149"/>
      <c r="O232" s="149"/>
      <c r="P232" s="149"/>
      <c r="Q232" s="149"/>
      <c r="R232" s="149"/>
    </row>
    <row r="233" spans="1:18" s="149" customFormat="1" ht="18.75" customHeight="1" x14ac:dyDescent="0.25">
      <c r="A233" s="245"/>
      <c r="B233" s="246" t="s">
        <v>1524</v>
      </c>
      <c r="C233" s="246"/>
      <c r="D233" s="246"/>
      <c r="E233" s="246"/>
      <c r="F233" s="247"/>
      <c r="G233" s="248"/>
      <c r="H233" s="249">
        <v>9.68</v>
      </c>
      <c r="J233" s="248"/>
      <c r="K233" s="249">
        <f>H233</f>
        <v>9.68</v>
      </c>
      <c r="L233" s="250"/>
    </row>
    <row r="234" spans="1:18" s="149" customFormat="1" ht="18.75" customHeight="1" x14ac:dyDescent="0.25">
      <c r="A234" s="245"/>
      <c r="B234" s="246" t="s">
        <v>1525</v>
      </c>
      <c r="C234" s="246"/>
      <c r="D234" s="246"/>
      <c r="E234" s="246"/>
      <c r="F234" s="247"/>
      <c r="G234" s="248"/>
      <c r="H234" s="249">
        <v>9.68</v>
      </c>
      <c r="J234" s="248"/>
      <c r="K234" s="249">
        <f>H234</f>
        <v>9.68</v>
      </c>
      <c r="L234" s="250"/>
    </row>
    <row r="235" spans="1:18" s="154" customFormat="1" ht="20.100000000000001" customHeight="1" x14ac:dyDescent="0.25">
      <c r="A235" s="475" t="s">
        <v>1413</v>
      </c>
      <c r="B235" s="476"/>
      <c r="C235" s="476"/>
      <c r="D235" s="476"/>
      <c r="E235" s="476"/>
      <c r="F235" s="476"/>
      <c r="G235" s="476"/>
      <c r="H235" s="476"/>
      <c r="I235" s="476"/>
      <c r="J235" s="476"/>
      <c r="K235" s="477"/>
      <c r="L235" s="250"/>
      <c r="M235" s="149"/>
      <c r="N235" s="149"/>
      <c r="O235" s="149"/>
      <c r="P235" s="149"/>
      <c r="Q235" s="149"/>
      <c r="R235" s="149"/>
    </row>
    <row r="236" spans="1:18" s="149" customFormat="1" ht="18.75" customHeight="1" x14ac:dyDescent="0.25">
      <c r="A236" s="245"/>
      <c r="B236" s="246" t="s">
        <v>1524</v>
      </c>
      <c r="C236" s="246"/>
      <c r="D236" s="246"/>
      <c r="E236" s="246"/>
      <c r="F236" s="247"/>
      <c r="G236" s="248"/>
      <c r="H236" s="249">
        <v>9.68</v>
      </c>
      <c r="J236" s="248"/>
      <c r="K236" s="249">
        <f>H236</f>
        <v>9.68</v>
      </c>
      <c r="L236" s="250"/>
    </row>
    <row r="237" spans="1:18" s="149" customFormat="1" ht="18.75" customHeight="1" x14ac:dyDescent="0.25">
      <c r="A237" s="245"/>
      <c r="B237" s="246" t="s">
        <v>1525</v>
      </c>
      <c r="C237" s="246"/>
      <c r="D237" s="246"/>
      <c r="E237" s="246"/>
      <c r="F237" s="247"/>
      <c r="G237" s="248"/>
      <c r="H237" s="249">
        <v>9.68</v>
      </c>
      <c r="J237" s="248"/>
      <c r="K237" s="249">
        <f>H237</f>
        <v>9.68</v>
      </c>
      <c r="L237" s="250"/>
      <c r="M237" s="156"/>
    </row>
    <row r="238" spans="1:18" s="154" customFormat="1" ht="20.100000000000001" customHeight="1" x14ac:dyDescent="0.25">
      <c r="A238" s="475" t="s">
        <v>1409</v>
      </c>
      <c r="B238" s="476"/>
      <c r="C238" s="476"/>
      <c r="D238" s="476"/>
      <c r="E238" s="476"/>
      <c r="F238" s="476"/>
      <c r="G238" s="476"/>
      <c r="H238" s="476"/>
      <c r="I238" s="476"/>
      <c r="J238" s="476"/>
      <c r="K238" s="477"/>
      <c r="L238" s="250"/>
      <c r="M238" s="149"/>
      <c r="N238" s="149"/>
      <c r="O238" s="149"/>
      <c r="P238" s="149"/>
      <c r="Q238" s="149"/>
      <c r="R238" s="149"/>
    </row>
    <row r="239" spans="1:18" s="166" customFormat="1" ht="20.100000000000001" customHeight="1" x14ac:dyDescent="0.25">
      <c r="A239" s="245"/>
      <c r="B239" s="246" t="s">
        <v>1491</v>
      </c>
      <c r="C239" s="246"/>
      <c r="D239" s="246"/>
      <c r="E239" s="246"/>
      <c r="F239" s="247"/>
      <c r="G239" s="248"/>
      <c r="H239" s="249">
        <v>13.44</v>
      </c>
      <c r="I239" s="249"/>
      <c r="J239" s="248"/>
      <c r="K239" s="249">
        <f>H239</f>
        <v>13.44</v>
      </c>
      <c r="L239" s="250"/>
      <c r="M239" s="141"/>
    </row>
    <row r="240" spans="1:18" s="154" customFormat="1" ht="20.100000000000001" customHeight="1" x14ac:dyDescent="0.25">
      <c r="A240" s="475" t="s">
        <v>1413</v>
      </c>
      <c r="B240" s="476"/>
      <c r="C240" s="476"/>
      <c r="D240" s="476"/>
      <c r="E240" s="476"/>
      <c r="F240" s="476"/>
      <c r="G240" s="476"/>
      <c r="H240" s="476"/>
      <c r="I240" s="476"/>
      <c r="J240" s="476"/>
      <c r="K240" s="477"/>
      <c r="L240" s="250"/>
      <c r="M240" s="149"/>
      <c r="N240" s="149"/>
      <c r="O240" s="149"/>
      <c r="P240" s="149"/>
      <c r="Q240" s="149"/>
      <c r="R240" s="149"/>
    </row>
    <row r="241" spans="1:18" s="149" customFormat="1" ht="18.75" customHeight="1" x14ac:dyDescent="0.25">
      <c r="A241" s="245"/>
      <c r="B241" s="246" t="s">
        <v>1532</v>
      </c>
      <c r="C241" s="246"/>
      <c r="D241" s="246"/>
      <c r="E241" s="246"/>
      <c r="F241" s="247"/>
      <c r="G241" s="248"/>
      <c r="H241" s="249">
        <v>79.13</v>
      </c>
      <c r="J241" s="248"/>
      <c r="K241" s="249">
        <f>H241</f>
        <v>79.13</v>
      </c>
      <c r="L241" s="250"/>
    </row>
    <row r="242" spans="1:18" s="154" customFormat="1" ht="18.75" customHeight="1" x14ac:dyDescent="0.25">
      <c r="A242" s="470" t="s">
        <v>163</v>
      </c>
      <c r="B242" s="471"/>
      <c r="C242" s="471"/>
      <c r="D242" s="471"/>
      <c r="E242" s="471"/>
      <c r="F242" s="472"/>
      <c r="G242" s="472"/>
      <c r="H242" s="472"/>
      <c r="I242" s="472"/>
      <c r="J242" s="472"/>
      <c r="K242" s="252">
        <f>SUM(K215:K241)</f>
        <v>273.83000000000004</v>
      </c>
      <c r="L242" s="250"/>
      <c r="M242" s="149"/>
      <c r="N242" s="149"/>
      <c r="O242" s="149"/>
      <c r="P242" s="149"/>
      <c r="Q242" s="149"/>
      <c r="R242" s="149"/>
    </row>
    <row r="243" spans="1:18" s="154" customFormat="1" ht="20.100000000000001" customHeight="1" x14ac:dyDescent="0.25">
      <c r="A243" s="177" t="s">
        <v>3</v>
      </c>
      <c r="B243" s="171" t="s">
        <v>1495</v>
      </c>
      <c r="C243" s="171"/>
      <c r="D243" s="171"/>
      <c r="E243" s="171"/>
      <c r="F243" s="243" t="s">
        <v>25</v>
      </c>
      <c r="G243" s="244" t="s">
        <v>1496</v>
      </c>
      <c r="H243" s="244" t="s">
        <v>1417</v>
      </c>
      <c r="I243" s="244" t="s">
        <v>1418</v>
      </c>
      <c r="J243" s="244" t="s">
        <v>1497</v>
      </c>
      <c r="K243" s="244" t="s">
        <v>50</v>
      </c>
      <c r="L243" s="250"/>
      <c r="M243" s="149"/>
      <c r="N243" s="149"/>
      <c r="O243" s="149"/>
      <c r="P243" s="149"/>
      <c r="Q243" s="149"/>
      <c r="R243" s="149"/>
    </row>
    <row r="244" spans="1:18" s="154" customFormat="1" ht="20.100000000000001" customHeight="1" x14ac:dyDescent="0.25">
      <c r="A244" s="475" t="s">
        <v>1382</v>
      </c>
      <c r="B244" s="476"/>
      <c r="C244" s="476"/>
      <c r="D244" s="476"/>
      <c r="E244" s="476"/>
      <c r="F244" s="476"/>
      <c r="G244" s="476"/>
      <c r="H244" s="476"/>
      <c r="I244" s="476"/>
      <c r="J244" s="476"/>
      <c r="K244" s="477"/>
      <c r="L244" s="250"/>
      <c r="M244" s="149"/>
      <c r="N244" s="149"/>
      <c r="O244" s="149"/>
      <c r="P244" s="149"/>
      <c r="Q244" s="149"/>
      <c r="R244" s="149"/>
    </row>
    <row r="245" spans="1:18" s="166" customFormat="1" ht="20.100000000000001" customHeight="1" x14ac:dyDescent="0.25">
      <c r="A245" s="245"/>
      <c r="B245" s="246" t="s">
        <v>1488</v>
      </c>
      <c r="C245" s="246"/>
      <c r="D245" s="246"/>
      <c r="E245" s="246"/>
      <c r="F245" s="247"/>
      <c r="G245" s="248">
        <v>1.4</v>
      </c>
      <c r="H245" s="249">
        <v>3</v>
      </c>
      <c r="I245" s="249">
        <f>0.9*2.1</f>
        <v>1.8900000000000001</v>
      </c>
      <c r="J245" s="248">
        <v>0.15</v>
      </c>
      <c r="K245" s="249">
        <f>TRUNC((G245*H245-I245)*J245,2)</f>
        <v>0.34</v>
      </c>
      <c r="L245" s="250"/>
    </row>
    <row r="246" spans="1:18" s="166" customFormat="1" ht="20.100000000000001" customHeight="1" x14ac:dyDescent="0.25">
      <c r="A246" s="245"/>
      <c r="B246" s="246" t="s">
        <v>1498</v>
      </c>
      <c r="C246" s="246"/>
      <c r="D246" s="246"/>
      <c r="E246" s="246"/>
      <c r="F246" s="247"/>
      <c r="G246" s="248">
        <v>2.2000000000000002</v>
      </c>
      <c r="H246" s="249">
        <v>3</v>
      </c>
      <c r="I246" s="249"/>
      <c r="J246" s="248">
        <v>0.15</v>
      </c>
      <c r="K246" s="249">
        <f t="shared" ref="K246:K310" si="12">TRUNC((G246*H246-I246)*J246,2)</f>
        <v>0.99</v>
      </c>
      <c r="L246" s="250"/>
    </row>
    <row r="247" spans="1:18" s="166" customFormat="1" ht="20.100000000000001" customHeight="1" x14ac:dyDescent="0.25">
      <c r="A247" s="245"/>
      <c r="B247" s="246" t="s">
        <v>1431</v>
      </c>
      <c r="C247" s="246"/>
      <c r="D247" s="246"/>
      <c r="E247" s="246"/>
      <c r="F247" s="247"/>
      <c r="G247" s="248">
        <v>1.93</v>
      </c>
      <c r="H247" s="249">
        <v>3</v>
      </c>
      <c r="I247" s="249"/>
      <c r="J247" s="248">
        <v>0.15</v>
      </c>
      <c r="K247" s="249">
        <f t="shared" si="12"/>
        <v>0.86</v>
      </c>
      <c r="L247" s="250"/>
    </row>
    <row r="248" spans="1:18" s="166" customFormat="1" ht="20.100000000000001" customHeight="1" x14ac:dyDescent="0.25">
      <c r="A248" s="245"/>
      <c r="B248" s="246" t="s">
        <v>1431</v>
      </c>
      <c r="C248" s="246"/>
      <c r="D248" s="246"/>
      <c r="E248" s="246"/>
      <c r="F248" s="247"/>
      <c r="G248" s="248">
        <v>3.95</v>
      </c>
      <c r="H248" s="249">
        <v>3</v>
      </c>
      <c r="I248" s="249">
        <f>0.9*2.1</f>
        <v>1.8900000000000001</v>
      </c>
      <c r="J248" s="248">
        <v>0.15</v>
      </c>
      <c r="K248" s="249">
        <f t="shared" si="12"/>
        <v>1.49</v>
      </c>
      <c r="L248" s="250"/>
    </row>
    <row r="249" spans="1:18" s="166" customFormat="1" ht="20.100000000000001" customHeight="1" x14ac:dyDescent="0.25">
      <c r="A249" s="245"/>
      <c r="B249" s="246" t="s">
        <v>1431</v>
      </c>
      <c r="C249" s="246"/>
      <c r="D249" s="246"/>
      <c r="E249" s="246"/>
      <c r="F249" s="247"/>
      <c r="G249" s="248">
        <v>2.85</v>
      </c>
      <c r="H249" s="249">
        <v>3</v>
      </c>
      <c r="I249" s="249"/>
      <c r="J249" s="248">
        <v>0.15</v>
      </c>
      <c r="K249" s="249">
        <f t="shared" si="12"/>
        <v>1.28</v>
      </c>
      <c r="L249" s="250"/>
    </row>
    <row r="250" spans="1:18" s="166" customFormat="1" ht="20.100000000000001" customHeight="1" x14ac:dyDescent="0.25">
      <c r="A250" s="245"/>
      <c r="B250" s="246" t="s">
        <v>1499</v>
      </c>
      <c r="C250" s="246"/>
      <c r="D250" s="246"/>
      <c r="E250" s="246"/>
      <c r="F250" s="247"/>
      <c r="G250" s="248">
        <v>1.5</v>
      </c>
      <c r="H250" s="249">
        <v>3</v>
      </c>
      <c r="I250" s="249"/>
      <c r="J250" s="248">
        <v>0.15</v>
      </c>
      <c r="K250" s="249">
        <f t="shared" si="12"/>
        <v>0.67</v>
      </c>
      <c r="L250" s="250"/>
    </row>
    <row r="251" spans="1:18" s="166" customFormat="1" ht="20.100000000000001" customHeight="1" x14ac:dyDescent="0.25">
      <c r="A251" s="245"/>
      <c r="B251" s="246" t="s">
        <v>1500</v>
      </c>
      <c r="C251" s="246"/>
      <c r="D251" s="246"/>
      <c r="E251" s="246"/>
      <c r="F251" s="247"/>
      <c r="G251" s="248">
        <f>2*13.15</f>
        <v>26.3</v>
      </c>
      <c r="H251" s="249">
        <v>3</v>
      </c>
      <c r="I251" s="249">
        <f>0.9*2.1</f>
        <v>1.8900000000000001</v>
      </c>
      <c r="J251" s="248">
        <v>0.15</v>
      </c>
      <c r="K251" s="249">
        <f t="shared" si="12"/>
        <v>11.55</v>
      </c>
      <c r="L251" s="250"/>
    </row>
    <row r="252" spans="1:18" s="166" customFormat="1" ht="20.100000000000001" customHeight="1" x14ac:dyDescent="0.25">
      <c r="A252" s="245"/>
      <c r="B252" s="246" t="s">
        <v>1500</v>
      </c>
      <c r="C252" s="246"/>
      <c r="D252" s="246"/>
      <c r="E252" s="246"/>
      <c r="F252" s="247"/>
      <c r="G252" s="248">
        <f>3.1*4</f>
        <v>12.4</v>
      </c>
      <c r="H252" s="249">
        <v>3</v>
      </c>
      <c r="I252" s="249">
        <f>0.9*2.1*2</f>
        <v>3.7800000000000002</v>
      </c>
      <c r="J252" s="248">
        <v>0.15</v>
      </c>
      <c r="K252" s="249">
        <f t="shared" si="12"/>
        <v>5.01</v>
      </c>
      <c r="L252" s="250"/>
    </row>
    <row r="253" spans="1:18" s="166" customFormat="1" ht="20.100000000000001" customHeight="1" x14ac:dyDescent="0.25">
      <c r="A253" s="245"/>
      <c r="B253" s="246" t="s">
        <v>1501</v>
      </c>
      <c r="C253" s="246"/>
      <c r="D253" s="246"/>
      <c r="E253" s="246"/>
      <c r="F253" s="247"/>
      <c r="G253" s="248">
        <v>3.65</v>
      </c>
      <c r="H253" s="249">
        <v>1</v>
      </c>
      <c r="I253" s="249"/>
      <c r="J253" s="248">
        <v>0.15</v>
      </c>
      <c r="K253" s="249">
        <f t="shared" si="12"/>
        <v>0.54</v>
      </c>
      <c r="L253" s="250"/>
    </row>
    <row r="254" spans="1:18" s="166" customFormat="1" ht="20.100000000000001" customHeight="1" x14ac:dyDescent="0.25">
      <c r="A254" s="245"/>
      <c r="B254" s="246" t="s">
        <v>1442</v>
      </c>
      <c r="C254" s="246"/>
      <c r="D254" s="246"/>
      <c r="E254" s="246"/>
      <c r="F254" s="247"/>
      <c r="G254" s="248">
        <f>1.85+1.7+1.7+6.85+0.35+0.35</f>
        <v>12.799999999999999</v>
      </c>
      <c r="H254" s="249">
        <v>3</v>
      </c>
      <c r="I254" s="249">
        <f>0.9*2.1+1.5*1*2</f>
        <v>4.8900000000000006</v>
      </c>
      <c r="J254" s="248">
        <v>0.15</v>
      </c>
      <c r="K254" s="249">
        <f t="shared" si="12"/>
        <v>5.0199999999999996</v>
      </c>
      <c r="L254" s="250"/>
    </row>
    <row r="255" spans="1:18" s="154" customFormat="1" ht="20.100000000000001" customHeight="1" x14ac:dyDescent="0.25">
      <c r="A255" s="475" t="s">
        <v>1384</v>
      </c>
      <c r="B255" s="476"/>
      <c r="C255" s="476"/>
      <c r="D255" s="476"/>
      <c r="E255" s="476"/>
      <c r="F255" s="476"/>
      <c r="G255" s="476"/>
      <c r="H255" s="476"/>
      <c r="I255" s="476"/>
      <c r="J255" s="476"/>
      <c r="K255" s="477"/>
      <c r="L255" s="250"/>
      <c r="M255" s="149"/>
      <c r="N255" s="149"/>
      <c r="O255" s="149"/>
      <c r="P255" s="149"/>
      <c r="Q255" s="149"/>
      <c r="R255" s="149"/>
    </row>
    <row r="256" spans="1:18" s="166" customFormat="1" ht="20.100000000000001" customHeight="1" x14ac:dyDescent="0.25">
      <c r="A256" s="245"/>
      <c r="B256" s="246" t="s">
        <v>1502</v>
      </c>
      <c r="C256" s="246"/>
      <c r="D256" s="246"/>
      <c r="E256" s="246"/>
      <c r="F256" s="247"/>
      <c r="G256" s="248">
        <v>7.06</v>
      </c>
      <c r="H256" s="249">
        <v>3.3</v>
      </c>
      <c r="I256" s="249">
        <f>1.2*2.1</f>
        <v>2.52</v>
      </c>
      <c r="J256" s="248">
        <v>0.15</v>
      </c>
      <c r="K256" s="249">
        <f t="shared" si="12"/>
        <v>3.11</v>
      </c>
      <c r="L256" s="250"/>
    </row>
    <row r="257" spans="1:18" s="166" customFormat="1" ht="20.100000000000001" customHeight="1" x14ac:dyDescent="0.25">
      <c r="A257" s="245"/>
      <c r="B257" s="246" t="s">
        <v>1444</v>
      </c>
      <c r="C257" s="246"/>
      <c r="D257" s="246"/>
      <c r="E257" s="246"/>
      <c r="F257" s="247"/>
      <c r="G257" s="248">
        <v>10.1</v>
      </c>
      <c r="H257" s="249">
        <v>3.3</v>
      </c>
      <c r="I257" s="249">
        <f>0.9*2.1</f>
        <v>1.8900000000000001</v>
      </c>
      <c r="J257" s="248">
        <v>0.15</v>
      </c>
      <c r="K257" s="249">
        <f t="shared" si="12"/>
        <v>4.71</v>
      </c>
      <c r="L257" s="250"/>
    </row>
    <row r="258" spans="1:18" s="166" customFormat="1" ht="20.100000000000001" customHeight="1" x14ac:dyDescent="0.25">
      <c r="A258" s="245"/>
      <c r="B258" s="246" t="s">
        <v>1503</v>
      </c>
      <c r="C258" s="246"/>
      <c r="D258" s="246"/>
      <c r="E258" s="246"/>
      <c r="F258" s="247"/>
      <c r="G258" s="248">
        <v>9.4</v>
      </c>
      <c r="H258" s="249">
        <v>3.3</v>
      </c>
      <c r="I258" s="249">
        <f>0.6*0.4*2+0.9*2.1</f>
        <v>2.37</v>
      </c>
      <c r="J258" s="248">
        <v>0.15</v>
      </c>
      <c r="K258" s="249">
        <f t="shared" si="12"/>
        <v>4.29</v>
      </c>
      <c r="L258" s="250"/>
    </row>
    <row r="259" spans="1:18" s="166" customFormat="1" ht="20.100000000000001" customHeight="1" x14ac:dyDescent="0.25">
      <c r="A259" s="245"/>
      <c r="B259" s="246" t="s">
        <v>1504</v>
      </c>
      <c r="C259" s="246"/>
      <c r="D259" s="246"/>
      <c r="E259" s="246"/>
      <c r="F259" s="247"/>
      <c r="G259" s="248">
        <v>0.9</v>
      </c>
      <c r="H259" s="249">
        <v>2.1</v>
      </c>
      <c r="I259" s="249"/>
      <c r="J259" s="248">
        <v>0.15</v>
      </c>
      <c r="K259" s="249">
        <f t="shared" si="12"/>
        <v>0.28000000000000003</v>
      </c>
      <c r="L259" s="250"/>
    </row>
    <row r="260" spans="1:18" s="166" customFormat="1" ht="20.100000000000001" customHeight="1" x14ac:dyDescent="0.25">
      <c r="A260" s="245"/>
      <c r="B260" s="246" t="s">
        <v>1446</v>
      </c>
      <c r="C260" s="246"/>
      <c r="D260" s="246"/>
      <c r="E260" s="246"/>
      <c r="F260" s="247"/>
      <c r="G260" s="248">
        <v>0.9</v>
      </c>
      <c r="H260" s="249">
        <v>2.1</v>
      </c>
      <c r="I260" s="249"/>
      <c r="J260" s="248">
        <v>0.15</v>
      </c>
      <c r="K260" s="249">
        <f t="shared" si="12"/>
        <v>0.28000000000000003</v>
      </c>
      <c r="L260" s="250"/>
    </row>
    <row r="261" spans="1:18" s="166" customFormat="1" ht="20.100000000000001" customHeight="1" x14ac:dyDescent="0.25">
      <c r="A261" s="245"/>
      <c r="B261" s="246" t="s">
        <v>1446</v>
      </c>
      <c r="C261" s="246"/>
      <c r="D261" s="246"/>
      <c r="E261" s="246"/>
      <c r="F261" s="247"/>
      <c r="G261" s="248">
        <v>1.75</v>
      </c>
      <c r="H261" s="249">
        <v>3.3</v>
      </c>
      <c r="I261" s="249"/>
      <c r="J261" s="248">
        <v>0.15</v>
      </c>
      <c r="K261" s="249">
        <f t="shared" si="12"/>
        <v>0.86</v>
      </c>
      <c r="L261" s="250"/>
    </row>
    <row r="262" spans="1:18" s="166" customFormat="1" ht="20.100000000000001" customHeight="1" x14ac:dyDescent="0.25">
      <c r="A262" s="245"/>
      <c r="B262" s="246" t="s">
        <v>1505</v>
      </c>
      <c r="C262" s="246"/>
      <c r="D262" s="246"/>
      <c r="E262" s="246"/>
      <c r="F262" s="247"/>
      <c r="G262" s="248">
        <f>4.15+2.35</f>
        <v>6.5</v>
      </c>
      <c r="H262" s="249">
        <v>3.3</v>
      </c>
      <c r="I262" s="249">
        <f>0.9*2.1</f>
        <v>1.8900000000000001</v>
      </c>
      <c r="J262" s="248">
        <v>0.15</v>
      </c>
      <c r="K262" s="249">
        <f t="shared" si="12"/>
        <v>2.93</v>
      </c>
      <c r="L262" s="250"/>
    </row>
    <row r="263" spans="1:18" s="166" customFormat="1" ht="20.100000000000001" customHeight="1" x14ac:dyDescent="0.25">
      <c r="A263" s="245"/>
      <c r="B263" s="246" t="s">
        <v>1420</v>
      </c>
      <c r="C263" s="246"/>
      <c r="D263" s="246"/>
      <c r="E263" s="246"/>
      <c r="F263" s="247"/>
      <c r="G263" s="248">
        <v>2.35</v>
      </c>
      <c r="H263" s="249">
        <v>3.3</v>
      </c>
      <c r="I263" s="249"/>
      <c r="J263" s="248">
        <v>0.15</v>
      </c>
      <c r="K263" s="249">
        <f t="shared" si="12"/>
        <v>1.1599999999999999</v>
      </c>
      <c r="L263" s="250"/>
    </row>
    <row r="264" spans="1:18" s="166" customFormat="1" ht="20.100000000000001" customHeight="1" x14ac:dyDescent="0.25">
      <c r="A264" s="245"/>
      <c r="B264" s="246" t="s">
        <v>1448</v>
      </c>
      <c r="C264" s="246"/>
      <c r="D264" s="246"/>
      <c r="E264" s="246"/>
      <c r="F264" s="247"/>
      <c r="G264" s="248">
        <v>1.8</v>
      </c>
      <c r="H264" s="249">
        <v>2.1</v>
      </c>
      <c r="I264" s="249"/>
      <c r="J264" s="248">
        <v>0.15</v>
      </c>
      <c r="K264" s="249">
        <f t="shared" si="12"/>
        <v>0.56000000000000005</v>
      </c>
      <c r="L264" s="250"/>
    </row>
    <row r="265" spans="1:18" s="166" customFormat="1" ht="20.100000000000001" customHeight="1" x14ac:dyDescent="0.25">
      <c r="A265" s="245"/>
      <c r="B265" s="246" t="s">
        <v>1448</v>
      </c>
      <c r="C265" s="246"/>
      <c r="D265" s="246"/>
      <c r="E265" s="246"/>
      <c r="F265" s="247"/>
      <c r="G265" s="248">
        <v>0.4</v>
      </c>
      <c r="H265" s="249">
        <v>0.6</v>
      </c>
      <c r="I265" s="249"/>
      <c r="J265" s="248">
        <v>0.15</v>
      </c>
      <c r="K265" s="249">
        <f t="shared" si="12"/>
        <v>0.03</v>
      </c>
      <c r="L265" s="250"/>
    </row>
    <row r="266" spans="1:18" s="166" customFormat="1" x14ac:dyDescent="0.25">
      <c r="A266" s="245"/>
      <c r="B266" s="246" t="s">
        <v>1450</v>
      </c>
      <c r="C266" s="246"/>
      <c r="D266" s="246"/>
      <c r="E266" s="246"/>
      <c r="F266" s="247"/>
      <c r="G266" s="248">
        <v>4.1500000000000004</v>
      </c>
      <c r="H266" s="249">
        <v>3.3</v>
      </c>
      <c r="I266" s="249"/>
      <c r="J266" s="248">
        <v>0.15</v>
      </c>
      <c r="K266" s="249">
        <f t="shared" si="12"/>
        <v>2.0499999999999998</v>
      </c>
      <c r="L266" s="250"/>
    </row>
    <row r="267" spans="1:18" s="166" customFormat="1" ht="20.100000000000001" customHeight="1" x14ac:dyDescent="0.25">
      <c r="A267" s="245"/>
      <c r="B267" s="246" t="s">
        <v>1506</v>
      </c>
      <c r="C267" s="246"/>
      <c r="D267" s="246"/>
      <c r="E267" s="246"/>
      <c r="F267" s="247"/>
      <c r="G267" s="248">
        <f>2.65+2.5</f>
        <v>5.15</v>
      </c>
      <c r="H267" s="249">
        <v>3.3</v>
      </c>
      <c r="I267" s="249"/>
      <c r="J267" s="248">
        <v>0.15</v>
      </c>
      <c r="K267" s="249">
        <f t="shared" si="12"/>
        <v>2.54</v>
      </c>
      <c r="L267" s="250"/>
    </row>
    <row r="268" spans="1:18" s="166" customFormat="1" ht="20.100000000000001" customHeight="1" x14ac:dyDescent="0.25">
      <c r="A268" s="245"/>
      <c r="B268" s="246" t="s">
        <v>1507</v>
      </c>
      <c r="C268" s="246"/>
      <c r="D268" s="246"/>
      <c r="E268" s="246"/>
      <c r="F268" s="247"/>
      <c r="G268" s="248">
        <v>1.78</v>
      </c>
      <c r="H268" s="249">
        <v>3.3</v>
      </c>
      <c r="I268" s="249"/>
      <c r="J268" s="248">
        <v>0.15</v>
      </c>
      <c r="K268" s="249">
        <f t="shared" si="12"/>
        <v>0.88</v>
      </c>
      <c r="L268" s="250"/>
    </row>
    <row r="269" spans="1:18" s="166" customFormat="1" ht="20.100000000000001" customHeight="1" x14ac:dyDescent="0.25">
      <c r="A269" s="245"/>
      <c r="B269" s="246" t="s">
        <v>1452</v>
      </c>
      <c r="C269" s="246"/>
      <c r="D269" s="246"/>
      <c r="E269" s="246"/>
      <c r="F269" s="247"/>
      <c r="G269" s="248">
        <f>9.05+5+1.45+1.45+2.35+4.9+2.9+2.9+3</f>
        <v>33</v>
      </c>
      <c r="H269" s="249">
        <v>3.3</v>
      </c>
      <c r="I269" s="249">
        <f>0.9*2.1*5+1.4*0.7</f>
        <v>10.430000000000001</v>
      </c>
      <c r="J269" s="248">
        <v>0.15</v>
      </c>
      <c r="K269" s="249">
        <f t="shared" si="12"/>
        <v>14.77</v>
      </c>
      <c r="L269" s="250"/>
    </row>
    <row r="270" spans="1:18" s="166" customFormat="1" ht="20.100000000000001" customHeight="1" x14ac:dyDescent="0.25">
      <c r="A270" s="245"/>
      <c r="B270" s="246" t="s">
        <v>1457</v>
      </c>
      <c r="C270" s="246"/>
      <c r="D270" s="246"/>
      <c r="E270" s="246"/>
      <c r="F270" s="247"/>
      <c r="G270" s="248">
        <f>5.65+2.95+4.9</f>
        <v>13.500000000000002</v>
      </c>
      <c r="H270" s="249">
        <v>3.3</v>
      </c>
      <c r="I270" s="249">
        <f>2.1*0.9+0.9*2.1</f>
        <v>3.7800000000000002</v>
      </c>
      <c r="J270" s="248">
        <v>0.15</v>
      </c>
      <c r="K270" s="249">
        <f t="shared" si="12"/>
        <v>6.11</v>
      </c>
      <c r="L270" s="250"/>
    </row>
    <row r="271" spans="1:18" s="166" customFormat="1" ht="20.100000000000001" customHeight="1" x14ac:dyDescent="0.25">
      <c r="A271" s="245"/>
      <c r="B271" s="246" t="s">
        <v>1508</v>
      </c>
      <c r="C271" s="246"/>
      <c r="D271" s="246"/>
      <c r="E271" s="246"/>
      <c r="F271" s="247"/>
      <c r="G271" s="248"/>
      <c r="H271" s="249"/>
      <c r="I271" s="249"/>
      <c r="J271" s="248"/>
      <c r="K271" s="249">
        <f>TRUNC(24.22*0.9,2)</f>
        <v>21.79</v>
      </c>
      <c r="L271" s="250"/>
    </row>
    <row r="272" spans="1:18" s="154" customFormat="1" ht="20.100000000000001" customHeight="1" x14ac:dyDescent="0.25">
      <c r="A272" s="475" t="s">
        <v>1409</v>
      </c>
      <c r="B272" s="476"/>
      <c r="C272" s="476"/>
      <c r="D272" s="476"/>
      <c r="E272" s="476"/>
      <c r="F272" s="476"/>
      <c r="G272" s="476"/>
      <c r="H272" s="476"/>
      <c r="I272" s="476"/>
      <c r="J272" s="476"/>
      <c r="K272" s="477"/>
      <c r="L272" s="250"/>
      <c r="M272" s="149"/>
      <c r="N272" s="149"/>
      <c r="O272" s="149"/>
      <c r="P272" s="149"/>
      <c r="Q272" s="149"/>
      <c r="R272" s="149"/>
    </row>
    <row r="273" spans="1:18" s="166" customFormat="1" ht="20.100000000000001" customHeight="1" x14ac:dyDescent="0.25">
      <c r="A273" s="245"/>
      <c r="B273" s="246" t="s">
        <v>1509</v>
      </c>
      <c r="C273" s="246"/>
      <c r="D273" s="246"/>
      <c r="E273" s="246"/>
      <c r="F273" s="247"/>
      <c r="G273" s="248">
        <v>2.2999999999999998</v>
      </c>
      <c r="H273" s="249">
        <v>0.75</v>
      </c>
      <c r="I273" s="249"/>
      <c r="J273" s="248">
        <v>0.15</v>
      </c>
      <c r="K273" s="249">
        <f t="shared" si="12"/>
        <v>0.25</v>
      </c>
      <c r="L273" s="250"/>
    </row>
    <row r="274" spans="1:18" s="166" customFormat="1" ht="20.100000000000001" customHeight="1" x14ac:dyDescent="0.25">
      <c r="A274" s="245"/>
      <c r="B274" s="246" t="s">
        <v>1462</v>
      </c>
      <c r="C274" s="246"/>
      <c r="D274" s="246"/>
      <c r="E274" s="246"/>
      <c r="F274" s="247"/>
      <c r="G274" s="248">
        <v>1</v>
      </c>
      <c r="H274" s="249">
        <v>2.1</v>
      </c>
      <c r="I274" s="249"/>
      <c r="J274" s="248">
        <v>0.15</v>
      </c>
      <c r="K274" s="249">
        <f t="shared" si="12"/>
        <v>0.31</v>
      </c>
      <c r="L274" s="250"/>
    </row>
    <row r="275" spans="1:18" s="166" customFormat="1" ht="20.100000000000001" customHeight="1" x14ac:dyDescent="0.25">
      <c r="A275" s="245"/>
      <c r="B275" s="246" t="s">
        <v>1510</v>
      </c>
      <c r="C275" s="246"/>
      <c r="D275" s="246"/>
      <c r="E275" s="246"/>
      <c r="F275" s="247"/>
      <c r="G275" s="248">
        <v>1.4</v>
      </c>
      <c r="H275" s="249">
        <v>0.7</v>
      </c>
      <c r="I275" s="249"/>
      <c r="J275" s="248">
        <v>0.15</v>
      </c>
      <c r="K275" s="249">
        <f t="shared" si="12"/>
        <v>0.14000000000000001</v>
      </c>
      <c r="L275" s="250"/>
    </row>
    <row r="276" spans="1:18" s="166" customFormat="1" ht="20.100000000000001" customHeight="1" x14ac:dyDescent="0.25">
      <c r="A276" s="245"/>
      <c r="B276" s="246" t="s">
        <v>1510</v>
      </c>
      <c r="C276" s="246"/>
      <c r="D276" s="246"/>
      <c r="E276" s="246"/>
      <c r="F276" s="247"/>
      <c r="G276" s="248">
        <v>1.1000000000000001</v>
      </c>
      <c r="H276" s="249">
        <v>2.1</v>
      </c>
      <c r="I276" s="249"/>
      <c r="J276" s="248">
        <v>0.15</v>
      </c>
      <c r="K276" s="249">
        <f t="shared" si="12"/>
        <v>0.34</v>
      </c>
      <c r="L276" s="250"/>
    </row>
    <row r="277" spans="1:18" s="166" customFormat="1" ht="20.100000000000001" customHeight="1" x14ac:dyDescent="0.25">
      <c r="A277" s="245"/>
      <c r="B277" s="246" t="s">
        <v>812</v>
      </c>
      <c r="C277" s="246"/>
      <c r="D277" s="246"/>
      <c r="E277" s="246"/>
      <c r="F277" s="247"/>
      <c r="G277" s="248">
        <v>1.47</v>
      </c>
      <c r="H277" s="249">
        <v>3.3</v>
      </c>
      <c r="I277" s="249">
        <f>2*2.1*0.9</f>
        <v>3.7800000000000002</v>
      </c>
      <c r="J277" s="248">
        <v>0.15</v>
      </c>
      <c r="K277" s="249">
        <f t="shared" si="12"/>
        <v>0.16</v>
      </c>
      <c r="L277" s="250"/>
    </row>
    <row r="278" spans="1:18" s="166" customFormat="1" ht="20.100000000000001" customHeight="1" x14ac:dyDescent="0.25">
      <c r="A278" s="245"/>
      <c r="B278" s="246" t="s">
        <v>1460</v>
      </c>
      <c r="C278" s="246"/>
      <c r="D278" s="246"/>
      <c r="E278" s="246"/>
      <c r="F278" s="247"/>
      <c r="G278" s="248">
        <v>2.5</v>
      </c>
      <c r="H278" s="249">
        <v>3.3</v>
      </c>
      <c r="I278" s="249"/>
      <c r="J278" s="248">
        <v>0.15</v>
      </c>
      <c r="K278" s="249">
        <f t="shared" si="12"/>
        <v>1.23</v>
      </c>
      <c r="L278" s="250"/>
    </row>
    <row r="279" spans="1:18" s="166" customFormat="1" ht="20.100000000000001" customHeight="1" x14ac:dyDescent="0.25">
      <c r="A279" s="245"/>
      <c r="B279" s="246" t="s">
        <v>1460</v>
      </c>
      <c r="C279" s="246"/>
      <c r="D279" s="246"/>
      <c r="E279" s="246"/>
      <c r="F279" s="247"/>
      <c r="G279" s="248">
        <v>2.2999999999999998</v>
      </c>
      <c r="H279" s="249">
        <v>0.75</v>
      </c>
      <c r="I279" s="249"/>
      <c r="J279" s="248">
        <v>0.15</v>
      </c>
      <c r="K279" s="249">
        <f t="shared" si="12"/>
        <v>0.25</v>
      </c>
      <c r="L279" s="250"/>
    </row>
    <row r="280" spans="1:18" s="166" customFormat="1" ht="20.100000000000001" customHeight="1" x14ac:dyDescent="0.25">
      <c r="A280" s="245"/>
      <c r="B280" s="246" t="s">
        <v>1511</v>
      </c>
      <c r="C280" s="246"/>
      <c r="D280" s="246"/>
      <c r="E280" s="246"/>
      <c r="F280" s="247"/>
      <c r="G280" s="248">
        <f>2.35*2</f>
        <v>4.7</v>
      </c>
      <c r="H280" s="249">
        <v>3.3</v>
      </c>
      <c r="I280" s="249"/>
      <c r="J280" s="248">
        <v>0.15</v>
      </c>
      <c r="K280" s="249">
        <f t="shared" si="12"/>
        <v>2.3199999999999998</v>
      </c>
      <c r="L280" s="250"/>
    </row>
    <row r="281" spans="1:18" s="166" customFormat="1" ht="20.100000000000001" customHeight="1" x14ac:dyDescent="0.25">
      <c r="A281" s="245"/>
      <c r="B281" s="246" t="s">
        <v>1463</v>
      </c>
      <c r="C281" s="246"/>
      <c r="D281" s="246"/>
      <c r="E281" s="246"/>
      <c r="F281" s="247"/>
      <c r="G281" s="248">
        <v>1.8</v>
      </c>
      <c r="H281" s="249">
        <v>2.1</v>
      </c>
      <c r="I281" s="249"/>
      <c r="J281" s="248">
        <v>0.15</v>
      </c>
      <c r="K281" s="249">
        <f t="shared" si="12"/>
        <v>0.56000000000000005</v>
      </c>
      <c r="L281" s="250"/>
    </row>
    <row r="282" spans="1:18" s="166" customFormat="1" ht="20.100000000000001" customHeight="1" x14ac:dyDescent="0.25">
      <c r="A282" s="245"/>
      <c r="B282" s="246" t="s">
        <v>1464</v>
      </c>
      <c r="C282" s="246"/>
      <c r="D282" s="246"/>
      <c r="E282" s="246"/>
      <c r="F282" s="247"/>
      <c r="G282" s="248">
        <f>2.35*2</f>
        <v>4.7</v>
      </c>
      <c r="H282" s="249">
        <v>3.3</v>
      </c>
      <c r="I282" s="249"/>
      <c r="J282" s="248">
        <v>0.15</v>
      </c>
      <c r="K282" s="249">
        <f t="shared" si="12"/>
        <v>2.3199999999999998</v>
      </c>
      <c r="L282" s="250"/>
    </row>
    <row r="283" spans="1:18" s="166" customFormat="1" x14ac:dyDescent="0.25">
      <c r="A283" s="245"/>
      <c r="B283" s="246" t="s">
        <v>1464</v>
      </c>
      <c r="C283" s="246"/>
      <c r="D283" s="246"/>
      <c r="E283" s="246"/>
      <c r="F283" s="247"/>
      <c r="G283" s="248">
        <f>4.85+2.5</f>
        <v>7.35</v>
      </c>
      <c r="H283" s="249">
        <v>3.3</v>
      </c>
      <c r="I283" s="249">
        <f>4*2.1*0.9</f>
        <v>7.5600000000000005</v>
      </c>
      <c r="J283" s="248">
        <v>0.15</v>
      </c>
      <c r="K283" s="249">
        <f t="shared" si="12"/>
        <v>2.5</v>
      </c>
      <c r="L283" s="250"/>
    </row>
    <row r="284" spans="1:18" s="166" customFormat="1" ht="20.100000000000001" customHeight="1" x14ac:dyDescent="0.25">
      <c r="A284" s="245"/>
      <c r="B284" s="246" t="s">
        <v>1464</v>
      </c>
      <c r="C284" s="246"/>
      <c r="D284" s="246"/>
      <c r="E284" s="246"/>
      <c r="F284" s="247"/>
      <c r="G284" s="248">
        <f>3.55+2.5</f>
        <v>6.05</v>
      </c>
      <c r="H284" s="249">
        <v>3.3</v>
      </c>
      <c r="I284" s="249"/>
      <c r="J284" s="248">
        <v>0.15</v>
      </c>
      <c r="K284" s="249">
        <f t="shared" si="12"/>
        <v>2.99</v>
      </c>
      <c r="L284" s="250"/>
    </row>
    <row r="285" spans="1:18" s="166" customFormat="1" ht="20.100000000000001" customHeight="1" x14ac:dyDescent="0.25">
      <c r="A285" s="245"/>
      <c r="B285" s="246" t="s">
        <v>1512</v>
      </c>
      <c r="C285" s="246"/>
      <c r="D285" s="246"/>
      <c r="E285" s="246"/>
      <c r="F285" s="247"/>
      <c r="G285" s="248">
        <v>4.2</v>
      </c>
      <c r="H285" s="249">
        <v>3.3</v>
      </c>
      <c r="I285" s="249"/>
      <c r="J285" s="248">
        <v>0.15</v>
      </c>
      <c r="K285" s="249">
        <f t="shared" si="12"/>
        <v>2.0699999999999998</v>
      </c>
      <c r="L285" s="250"/>
    </row>
    <row r="286" spans="1:18" s="166" customFormat="1" ht="20.100000000000001" customHeight="1" x14ac:dyDescent="0.25">
      <c r="A286" s="245"/>
      <c r="B286" s="246" t="s">
        <v>1465</v>
      </c>
      <c r="C286" s="246"/>
      <c r="D286" s="246"/>
      <c r="E286" s="246"/>
      <c r="F286" s="247"/>
      <c r="G286" s="248">
        <f>1.15+3.1</f>
        <v>4.25</v>
      </c>
      <c r="H286" s="249">
        <v>3.3</v>
      </c>
      <c r="I286" s="249"/>
      <c r="J286" s="248">
        <v>0.15</v>
      </c>
      <c r="K286" s="249">
        <f t="shared" si="12"/>
        <v>2.1</v>
      </c>
      <c r="L286" s="250"/>
    </row>
    <row r="287" spans="1:18" s="154" customFormat="1" ht="20.100000000000001" customHeight="1" x14ac:dyDescent="0.25">
      <c r="A287" s="475" t="s">
        <v>1411</v>
      </c>
      <c r="B287" s="476"/>
      <c r="C287" s="476"/>
      <c r="D287" s="476"/>
      <c r="E287" s="476"/>
      <c r="F287" s="476"/>
      <c r="G287" s="476"/>
      <c r="H287" s="476"/>
      <c r="I287" s="476"/>
      <c r="J287" s="476"/>
      <c r="K287" s="477"/>
      <c r="L287" s="250"/>
      <c r="M287" s="149"/>
      <c r="N287" s="149"/>
      <c r="O287" s="149"/>
      <c r="P287" s="149"/>
      <c r="Q287" s="149"/>
      <c r="R287" s="149"/>
    </row>
    <row r="288" spans="1:18" s="149" customFormat="1" ht="20.100000000000001" customHeight="1" x14ac:dyDescent="0.25">
      <c r="A288" s="255"/>
      <c r="B288" s="253" t="s">
        <v>1513</v>
      </c>
      <c r="C288" s="256"/>
      <c r="D288" s="256"/>
      <c r="E288" s="256"/>
      <c r="F288" s="257"/>
      <c r="G288" s="258">
        <f>1.75+3</f>
        <v>4.75</v>
      </c>
      <c r="H288" s="258">
        <v>3.3</v>
      </c>
      <c r="I288" s="149">
        <f>2.1*0.9</f>
        <v>1.8900000000000001</v>
      </c>
      <c r="J288" s="258">
        <v>0.15</v>
      </c>
      <c r="K288" s="249">
        <f t="shared" si="12"/>
        <v>2.06</v>
      </c>
      <c r="L288" s="250"/>
    </row>
    <row r="289" spans="1:57" s="149" customFormat="1" ht="20.100000000000001" customHeight="1" x14ac:dyDescent="0.25">
      <c r="A289" s="255"/>
      <c r="B289" s="253" t="s">
        <v>1514</v>
      </c>
      <c r="C289" s="256"/>
      <c r="D289" s="256"/>
      <c r="E289" s="256"/>
      <c r="F289" s="257"/>
      <c r="G289" s="258">
        <v>2.1</v>
      </c>
      <c r="H289" s="258">
        <v>3.3</v>
      </c>
      <c r="J289" s="258">
        <v>0.15</v>
      </c>
      <c r="K289" s="249">
        <f t="shared" si="12"/>
        <v>1.03</v>
      </c>
      <c r="L289" s="250"/>
    </row>
    <row r="290" spans="1:57" s="149" customFormat="1" ht="20.100000000000001" customHeight="1" x14ac:dyDescent="0.25">
      <c r="A290" s="255"/>
      <c r="B290" s="253" t="s">
        <v>1515</v>
      </c>
      <c r="C290" s="256"/>
      <c r="D290" s="256"/>
      <c r="E290" s="256"/>
      <c r="F290" s="257"/>
      <c r="G290" s="258">
        <v>1.5</v>
      </c>
      <c r="H290" s="258">
        <v>3.3</v>
      </c>
      <c r="J290" s="258">
        <v>0.15</v>
      </c>
      <c r="K290" s="249">
        <f t="shared" si="12"/>
        <v>0.74</v>
      </c>
      <c r="L290" s="250"/>
    </row>
    <row r="291" spans="1:57" s="149" customFormat="1" ht="20.100000000000001" customHeight="1" x14ac:dyDescent="0.25">
      <c r="A291" s="255"/>
      <c r="B291" s="253" t="s">
        <v>1516</v>
      </c>
      <c r="C291" s="256"/>
      <c r="D291" s="256"/>
      <c r="E291" s="256"/>
      <c r="F291" s="257"/>
      <c r="G291" s="258">
        <v>1</v>
      </c>
      <c r="H291" s="258">
        <v>3.3</v>
      </c>
      <c r="J291" s="258">
        <v>0.15</v>
      </c>
      <c r="K291" s="249">
        <f t="shared" si="12"/>
        <v>0.49</v>
      </c>
      <c r="L291" s="250"/>
    </row>
    <row r="292" spans="1:57" s="149" customFormat="1" ht="20.100000000000001" customHeight="1" x14ac:dyDescent="0.25">
      <c r="A292" s="255"/>
      <c r="B292" s="253" t="s">
        <v>1447</v>
      </c>
      <c r="C292" s="256"/>
      <c r="D292" s="256"/>
      <c r="E292" s="256"/>
      <c r="F292" s="257"/>
      <c r="G292" s="258">
        <v>0.9</v>
      </c>
      <c r="H292" s="258">
        <v>2.1</v>
      </c>
      <c r="J292" s="258">
        <v>0.15</v>
      </c>
      <c r="K292" s="249">
        <f t="shared" si="12"/>
        <v>0.28000000000000003</v>
      </c>
      <c r="L292" s="250"/>
    </row>
    <row r="293" spans="1:57" s="154" customFormat="1" ht="20.100000000000001" customHeight="1" x14ac:dyDescent="0.25">
      <c r="A293" s="475" t="s">
        <v>1413</v>
      </c>
      <c r="B293" s="476"/>
      <c r="C293" s="476"/>
      <c r="D293" s="476"/>
      <c r="E293" s="476"/>
      <c r="F293" s="476"/>
      <c r="G293" s="476"/>
      <c r="H293" s="476"/>
      <c r="I293" s="476"/>
      <c r="J293" s="476"/>
      <c r="K293" s="477"/>
      <c r="L293" s="250"/>
      <c r="M293" s="149"/>
      <c r="N293" s="149"/>
      <c r="O293" s="149"/>
      <c r="P293" s="149"/>
      <c r="Q293" s="149"/>
      <c r="R293" s="149"/>
    </row>
    <row r="294" spans="1:57" s="149" customFormat="1" ht="20.100000000000001" customHeight="1" x14ac:dyDescent="0.25">
      <c r="A294" s="255"/>
      <c r="B294" s="253" t="s">
        <v>1426</v>
      </c>
      <c r="C294" s="256"/>
      <c r="D294" s="256"/>
      <c r="E294" s="256"/>
      <c r="F294" s="257"/>
      <c r="G294" s="258">
        <v>1</v>
      </c>
      <c r="H294" s="258">
        <v>2.1</v>
      </c>
      <c r="J294" s="258">
        <v>0.15</v>
      </c>
      <c r="K294" s="249">
        <f t="shared" si="12"/>
        <v>0.31</v>
      </c>
      <c r="L294" s="250"/>
    </row>
    <row r="295" spans="1:57" s="149" customFormat="1" ht="20.100000000000001" customHeight="1" x14ac:dyDescent="0.25">
      <c r="A295" s="255"/>
      <c r="B295" s="253" t="s">
        <v>1472</v>
      </c>
      <c r="C295" s="256"/>
      <c r="D295" s="256"/>
      <c r="E295" s="256"/>
      <c r="F295" s="257"/>
      <c r="G295" s="258">
        <v>1</v>
      </c>
      <c r="H295" s="258">
        <v>2.1</v>
      </c>
      <c r="J295" s="258">
        <v>0.15</v>
      </c>
      <c r="K295" s="249">
        <f t="shared" si="12"/>
        <v>0.31</v>
      </c>
      <c r="L295" s="250"/>
    </row>
    <row r="296" spans="1:57" s="149" customFormat="1" ht="20.100000000000001" customHeight="1" x14ac:dyDescent="0.25">
      <c r="A296" s="255"/>
      <c r="B296" s="253" t="s">
        <v>1472</v>
      </c>
      <c r="C296" s="256"/>
      <c r="D296" s="256"/>
      <c r="E296" s="256"/>
      <c r="F296" s="257"/>
      <c r="G296" s="258">
        <v>0.9</v>
      </c>
      <c r="H296" s="258">
        <v>2.1</v>
      </c>
      <c r="J296" s="258">
        <v>0.15</v>
      </c>
      <c r="K296" s="249">
        <f t="shared" si="12"/>
        <v>0.28000000000000003</v>
      </c>
      <c r="L296" s="250"/>
    </row>
    <row r="297" spans="1:57" s="149" customFormat="1" ht="20.100000000000001" customHeight="1" x14ac:dyDescent="0.25">
      <c r="A297" s="255"/>
      <c r="B297" s="253" t="s">
        <v>1475</v>
      </c>
      <c r="C297" s="256"/>
      <c r="D297" s="256"/>
      <c r="E297" s="256"/>
      <c r="F297" s="257"/>
      <c r="G297" s="258">
        <f>4.85*3+4.05+1.58+0.9+2.35+2.16+0.75</f>
        <v>26.34</v>
      </c>
      <c r="H297" s="258">
        <v>3.3</v>
      </c>
      <c r="I297" s="156">
        <f>0.8*2.1+1.35*3.3+3*0.8*2.1+0.9*2*2.1</f>
        <v>14.955000000000002</v>
      </c>
      <c r="J297" s="258">
        <v>0.15</v>
      </c>
      <c r="K297" s="249">
        <f t="shared" si="12"/>
        <v>10.79</v>
      </c>
      <c r="L297" s="250"/>
    </row>
    <row r="298" spans="1:57" s="149" customFormat="1" ht="20.100000000000001" customHeight="1" x14ac:dyDescent="0.25">
      <c r="A298" s="255"/>
      <c r="B298" s="253" t="s">
        <v>1517</v>
      </c>
      <c r="C298" s="256"/>
      <c r="D298" s="256"/>
      <c r="E298" s="256"/>
      <c r="F298" s="257"/>
      <c r="G298" s="258">
        <v>0.9</v>
      </c>
      <c r="H298" s="258">
        <v>2.1</v>
      </c>
      <c r="J298" s="258">
        <v>0.15</v>
      </c>
      <c r="K298" s="249">
        <f t="shared" si="12"/>
        <v>0.28000000000000003</v>
      </c>
      <c r="L298" s="250"/>
    </row>
    <row r="299" spans="1:57" s="149" customFormat="1" ht="20.100000000000001" customHeight="1" x14ac:dyDescent="0.25">
      <c r="A299" s="255"/>
      <c r="B299" s="253" t="s">
        <v>1518</v>
      </c>
      <c r="C299" s="256"/>
      <c r="D299" s="256"/>
      <c r="E299" s="256"/>
      <c r="F299" s="257"/>
      <c r="G299" s="258">
        <f>2*3.63+1.1</f>
        <v>8.36</v>
      </c>
      <c r="H299" s="258">
        <v>3.3</v>
      </c>
      <c r="J299" s="258">
        <v>0.15</v>
      </c>
      <c r="K299" s="249">
        <f t="shared" si="12"/>
        <v>4.13</v>
      </c>
      <c r="L299" s="250"/>
    </row>
    <row r="300" spans="1:57" s="149" customFormat="1" ht="20.100000000000001" customHeight="1" x14ac:dyDescent="0.25">
      <c r="A300" s="255"/>
      <c r="B300" s="253" t="s">
        <v>1519</v>
      </c>
      <c r="C300" s="256"/>
      <c r="D300" s="256"/>
      <c r="E300" s="256"/>
      <c r="F300" s="257"/>
      <c r="G300" s="258">
        <f>5.5+5.5+12.9</f>
        <v>23.9</v>
      </c>
      <c r="H300" s="258">
        <v>3.3</v>
      </c>
      <c r="I300" s="149">
        <f>0.9*2.1+2*2.1+3*2.3*1.5+1.3*0.7</f>
        <v>17.349999999999998</v>
      </c>
      <c r="J300" s="258">
        <v>0.15</v>
      </c>
      <c r="K300" s="249">
        <f t="shared" si="12"/>
        <v>9.2200000000000006</v>
      </c>
      <c r="L300" s="250"/>
    </row>
    <row r="301" spans="1:57" s="149" customFormat="1" ht="20.100000000000001" customHeight="1" x14ac:dyDescent="0.25">
      <c r="A301" s="255"/>
      <c r="B301" s="253" t="s">
        <v>1520</v>
      </c>
      <c r="C301" s="256"/>
      <c r="D301" s="256"/>
      <c r="E301" s="256"/>
      <c r="F301" s="257"/>
      <c r="G301" s="258">
        <f>5.5+4.35+2.34+5.35+2.45</f>
        <v>19.989999999999998</v>
      </c>
      <c r="H301" s="258">
        <v>3.3</v>
      </c>
      <c r="I301" s="149">
        <f>2.1*0.9+1.4*0.7+2*1.1+2*0.9*2.1</f>
        <v>8.8500000000000014</v>
      </c>
      <c r="J301" s="258">
        <v>0.15</v>
      </c>
      <c r="K301" s="249">
        <f t="shared" si="12"/>
        <v>8.56</v>
      </c>
      <c r="L301" s="250"/>
    </row>
    <row r="302" spans="1:57" s="154" customFormat="1" ht="22.5" customHeight="1" x14ac:dyDescent="0.25">
      <c r="A302" s="475" t="s">
        <v>1388</v>
      </c>
      <c r="B302" s="476"/>
      <c r="C302" s="476"/>
      <c r="D302" s="476"/>
      <c r="E302" s="476"/>
      <c r="F302" s="476"/>
      <c r="G302" s="476"/>
      <c r="H302" s="476"/>
      <c r="I302" s="476"/>
      <c r="J302" s="476"/>
      <c r="K302" s="477"/>
      <c r="L302" s="250"/>
      <c r="M302" s="149"/>
      <c r="N302" s="149"/>
      <c r="O302" s="149"/>
      <c r="P302" s="149"/>
      <c r="Q302" s="149"/>
      <c r="R302" s="149"/>
    </row>
    <row r="303" spans="1:57" x14ac:dyDescent="0.25">
      <c r="A303" s="251"/>
      <c r="B303" s="210" t="s">
        <v>1389</v>
      </c>
      <c r="C303" s="210"/>
      <c r="D303" s="210"/>
      <c r="E303" s="210"/>
      <c r="F303" s="254"/>
      <c r="G303" s="248">
        <f>4.74+17.02</f>
        <v>21.759999999999998</v>
      </c>
      <c r="H303" s="249">
        <v>3.1</v>
      </c>
      <c r="I303" s="249">
        <f>(2*2.1)</f>
        <v>4.2</v>
      </c>
      <c r="J303" s="258">
        <v>0.15</v>
      </c>
      <c r="K303" s="249">
        <f t="shared" si="12"/>
        <v>9.48</v>
      </c>
      <c r="L303" s="250"/>
      <c r="N303" s="149"/>
      <c r="O303" s="149"/>
      <c r="P303" s="149"/>
      <c r="Q303" s="149"/>
      <c r="R303" s="149"/>
      <c r="S303" s="149"/>
      <c r="T303" s="149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1:57" x14ac:dyDescent="0.25">
      <c r="A304" s="251"/>
      <c r="B304" s="210" t="s">
        <v>1521</v>
      </c>
      <c r="C304" s="210"/>
      <c r="D304" s="210"/>
      <c r="E304" s="210"/>
      <c r="F304" s="254"/>
      <c r="G304" s="248">
        <f>7.7</f>
        <v>7.7</v>
      </c>
      <c r="H304" s="249">
        <v>2.8</v>
      </c>
      <c r="I304" s="249"/>
      <c r="J304" s="258">
        <v>0.15</v>
      </c>
      <c r="K304" s="249">
        <f t="shared" si="12"/>
        <v>3.23</v>
      </c>
      <c r="L304" s="250"/>
      <c r="N304" s="149"/>
      <c r="O304" s="149"/>
      <c r="P304" s="149"/>
      <c r="Q304" s="149"/>
      <c r="R304" s="149"/>
      <c r="S304" s="149"/>
      <c r="T304" s="149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1:57" x14ac:dyDescent="0.25">
      <c r="A305" s="251"/>
      <c r="B305" s="210" t="s">
        <v>1390</v>
      </c>
      <c r="C305" s="210"/>
      <c r="D305" s="210"/>
      <c r="E305" s="210"/>
      <c r="F305" s="254"/>
      <c r="G305" s="248">
        <v>18.14</v>
      </c>
      <c r="H305" s="249">
        <v>3.1</v>
      </c>
      <c r="I305" s="249">
        <f>(2*1)+(0.8*2.1)</f>
        <v>3.68</v>
      </c>
      <c r="J305" s="258">
        <v>0.15</v>
      </c>
      <c r="K305" s="249">
        <f t="shared" si="12"/>
        <v>7.88</v>
      </c>
      <c r="L305" s="250"/>
      <c r="N305" s="149"/>
      <c r="O305" s="149"/>
      <c r="P305" s="149"/>
      <c r="Q305" s="149"/>
      <c r="R305" s="149"/>
      <c r="S305" s="149"/>
      <c r="T305" s="149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1:57" x14ac:dyDescent="0.25">
      <c r="A306" s="251"/>
      <c r="B306" s="210" t="s">
        <v>810</v>
      </c>
      <c r="C306" s="210"/>
      <c r="D306" s="210"/>
      <c r="E306" s="210"/>
      <c r="F306" s="254"/>
      <c r="G306" s="248">
        <v>11.9</v>
      </c>
      <c r="H306" s="249">
        <v>3.1</v>
      </c>
      <c r="I306" s="249">
        <f>(1*1)+(0.9*2.1)</f>
        <v>2.89</v>
      </c>
      <c r="J306" s="258">
        <v>0.15</v>
      </c>
      <c r="K306" s="249">
        <f t="shared" si="12"/>
        <v>5.0999999999999996</v>
      </c>
      <c r="L306" s="250"/>
      <c r="N306" s="149"/>
      <c r="O306" s="149"/>
      <c r="P306" s="149"/>
      <c r="Q306" s="149"/>
      <c r="R306" s="149"/>
      <c r="S306" s="149"/>
      <c r="T306" s="149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1:57" x14ac:dyDescent="0.25">
      <c r="A307" s="251"/>
      <c r="B307" s="210" t="s">
        <v>1391</v>
      </c>
      <c r="C307" s="210"/>
      <c r="D307" s="210"/>
      <c r="E307" s="210"/>
      <c r="F307" s="254"/>
      <c r="G307" s="248">
        <v>14.92</v>
      </c>
      <c r="H307" s="249">
        <v>3.1</v>
      </c>
      <c r="I307" s="249">
        <f>2*(2*1)+(2*1)</f>
        <v>6</v>
      </c>
      <c r="J307" s="258">
        <v>0.15</v>
      </c>
      <c r="K307" s="249">
        <f t="shared" si="12"/>
        <v>6.03</v>
      </c>
      <c r="L307" s="250"/>
      <c r="N307" s="149"/>
      <c r="O307" s="149"/>
      <c r="P307" s="149"/>
      <c r="Q307" s="149"/>
      <c r="R307" s="149"/>
      <c r="S307" s="149"/>
      <c r="T307" s="149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1:57" x14ac:dyDescent="0.25">
      <c r="A308" s="251"/>
      <c r="B308" s="210" t="s">
        <v>1392</v>
      </c>
      <c r="C308" s="210"/>
      <c r="D308" s="210"/>
      <c r="E308" s="210"/>
      <c r="F308" s="254"/>
      <c r="G308" s="248">
        <v>4.93</v>
      </c>
      <c r="H308" s="249">
        <v>3.1</v>
      </c>
      <c r="I308" s="249">
        <f>(2*2.1)+(1*0.6)</f>
        <v>4.8</v>
      </c>
      <c r="J308" s="258">
        <v>0.15</v>
      </c>
      <c r="K308" s="249">
        <f t="shared" si="12"/>
        <v>1.57</v>
      </c>
      <c r="L308" s="250"/>
      <c r="N308" s="149"/>
      <c r="O308" s="149"/>
      <c r="P308" s="149"/>
      <c r="Q308" s="149"/>
      <c r="R308" s="149"/>
      <c r="S308" s="149"/>
      <c r="T308" s="149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1:57" x14ac:dyDescent="0.25">
      <c r="A309" s="251"/>
      <c r="B309" s="210" t="s">
        <v>1393</v>
      </c>
      <c r="C309" s="210"/>
      <c r="D309" s="210"/>
      <c r="E309" s="210"/>
      <c r="F309" s="254"/>
      <c r="G309" s="248">
        <v>4.9800000000000004</v>
      </c>
      <c r="H309" s="249">
        <v>3.1</v>
      </c>
      <c r="I309" s="249">
        <f>(0.6*0.4)</f>
        <v>0.24</v>
      </c>
      <c r="J309" s="258">
        <v>0.15</v>
      </c>
      <c r="K309" s="249">
        <f t="shared" si="12"/>
        <v>2.27</v>
      </c>
      <c r="L309" s="250"/>
      <c r="N309" s="149"/>
      <c r="O309" s="149"/>
      <c r="P309" s="149"/>
      <c r="Q309" s="149"/>
      <c r="R309" s="149"/>
      <c r="S309" s="149"/>
      <c r="T309" s="149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1:57" x14ac:dyDescent="0.25">
      <c r="A310" s="251"/>
      <c r="B310" s="210" t="s">
        <v>1394</v>
      </c>
      <c r="C310" s="210"/>
      <c r="D310" s="210"/>
      <c r="E310" s="210"/>
      <c r="F310" s="254"/>
      <c r="G310" s="248">
        <v>6.34</v>
      </c>
      <c r="H310" s="249">
        <v>3.1</v>
      </c>
      <c r="I310" s="249">
        <f>(1*0.6)+(2*2.1)</f>
        <v>4.8</v>
      </c>
      <c r="J310" s="258">
        <v>0.15</v>
      </c>
      <c r="K310" s="249">
        <f t="shared" si="12"/>
        <v>2.2200000000000002</v>
      </c>
      <c r="L310" s="250"/>
      <c r="N310" s="149"/>
      <c r="O310" s="149"/>
      <c r="P310" s="149"/>
      <c r="Q310" s="149"/>
      <c r="R310" s="149"/>
      <c r="S310" s="149"/>
      <c r="T310" s="149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1:57" x14ac:dyDescent="0.25">
      <c r="A311" s="251"/>
      <c r="B311" s="210" t="s">
        <v>1395</v>
      </c>
      <c r="C311" s="210"/>
      <c r="D311" s="210"/>
      <c r="E311" s="210"/>
      <c r="F311" s="254"/>
      <c r="G311" s="248">
        <v>5.12</v>
      </c>
      <c r="H311" s="249">
        <v>3.1</v>
      </c>
      <c r="I311" s="249">
        <f>(1*0.6)+(2*2.1)</f>
        <v>4.8</v>
      </c>
      <c r="J311" s="258">
        <v>0.15</v>
      </c>
      <c r="K311" s="249">
        <f t="shared" ref="K311:K317" si="13">TRUNC((G311*H311-I311)*J311,2)</f>
        <v>1.66</v>
      </c>
      <c r="L311" s="250"/>
      <c r="N311" s="149"/>
      <c r="O311" s="149"/>
      <c r="P311" s="149"/>
      <c r="Q311" s="149"/>
      <c r="R311" s="149"/>
      <c r="S311" s="149"/>
      <c r="T311" s="149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1:57" x14ac:dyDescent="0.25">
      <c r="A312" s="251"/>
      <c r="B312" s="210" t="s">
        <v>1396</v>
      </c>
      <c r="C312" s="210"/>
      <c r="D312" s="210"/>
      <c r="E312" s="210"/>
      <c r="F312" s="254"/>
      <c r="G312" s="248">
        <v>8.15</v>
      </c>
      <c r="H312" s="249">
        <v>3.1</v>
      </c>
      <c r="I312" s="249"/>
      <c r="J312" s="258">
        <v>0.15</v>
      </c>
      <c r="K312" s="249">
        <f t="shared" si="13"/>
        <v>3.78</v>
      </c>
      <c r="L312" s="250"/>
      <c r="N312" s="149"/>
      <c r="O312" s="149"/>
      <c r="P312" s="149"/>
      <c r="Q312" s="149"/>
      <c r="R312" s="149"/>
      <c r="S312" s="149"/>
      <c r="T312" s="149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1:57" x14ac:dyDescent="0.25">
      <c r="A313" s="251"/>
      <c r="B313" s="210" t="s">
        <v>1397</v>
      </c>
      <c r="C313" s="210"/>
      <c r="D313" s="210"/>
      <c r="E313" s="210"/>
      <c r="F313" s="254"/>
      <c r="G313" s="248">
        <v>13.04</v>
      </c>
      <c r="H313" s="249">
        <v>3.1</v>
      </c>
      <c r="I313" s="249">
        <f>(2*2.1)</f>
        <v>4.2</v>
      </c>
      <c r="J313" s="258">
        <v>0.15</v>
      </c>
      <c r="K313" s="249">
        <f t="shared" si="13"/>
        <v>5.43</v>
      </c>
      <c r="L313" s="250"/>
      <c r="N313" s="149"/>
      <c r="O313" s="149"/>
      <c r="P313" s="149"/>
      <c r="Q313" s="149"/>
      <c r="R313" s="149"/>
      <c r="S313" s="149"/>
      <c r="T313" s="149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1:57" x14ac:dyDescent="0.25">
      <c r="A314" s="251"/>
      <c r="B314" s="210" t="s">
        <v>1398</v>
      </c>
      <c r="C314" s="210"/>
      <c r="D314" s="210"/>
      <c r="E314" s="210"/>
      <c r="F314" s="254"/>
      <c r="G314" s="248">
        <v>13.09</v>
      </c>
      <c r="H314" s="249">
        <v>3.1</v>
      </c>
      <c r="I314" s="249">
        <f>2*2.1</f>
        <v>4.2</v>
      </c>
      <c r="J314" s="258">
        <v>0.15</v>
      </c>
      <c r="K314" s="249">
        <f t="shared" si="13"/>
        <v>5.45</v>
      </c>
      <c r="L314" s="250"/>
      <c r="N314" s="149"/>
      <c r="O314" s="149"/>
      <c r="P314" s="149"/>
      <c r="Q314" s="149"/>
      <c r="R314" s="149"/>
      <c r="S314" s="149"/>
      <c r="T314" s="149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1:57" x14ac:dyDescent="0.25">
      <c r="A315" s="251"/>
      <c r="B315" s="210" t="s">
        <v>1399</v>
      </c>
      <c r="C315" s="210"/>
      <c r="D315" s="210"/>
      <c r="E315" s="210"/>
      <c r="F315" s="254"/>
      <c r="G315" s="248">
        <v>13.19</v>
      </c>
      <c r="H315" s="249">
        <v>3.1</v>
      </c>
      <c r="I315" s="249">
        <f>2*2.1</f>
        <v>4.2</v>
      </c>
      <c r="J315" s="258">
        <v>0.15</v>
      </c>
      <c r="K315" s="249">
        <f t="shared" si="13"/>
        <v>5.5</v>
      </c>
      <c r="L315" s="250"/>
      <c r="N315" s="149"/>
      <c r="O315" s="149"/>
      <c r="P315" s="149"/>
      <c r="Q315" s="149"/>
      <c r="R315" s="149"/>
      <c r="S315" s="149"/>
      <c r="T315" s="149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1:57" x14ac:dyDescent="0.25">
      <c r="A316" s="251"/>
      <c r="B316" s="210" t="s">
        <v>1400</v>
      </c>
      <c r="C316" s="210"/>
      <c r="D316" s="210"/>
      <c r="E316" s="210"/>
      <c r="F316" s="254"/>
      <c r="G316" s="248">
        <v>12.32</v>
      </c>
      <c r="H316" s="249">
        <v>3.1</v>
      </c>
      <c r="I316" s="249">
        <f>2*2.1</f>
        <v>4.2</v>
      </c>
      <c r="J316" s="258">
        <v>0.15</v>
      </c>
      <c r="K316" s="249">
        <f t="shared" si="13"/>
        <v>5.09</v>
      </c>
      <c r="L316" s="250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1:57" x14ac:dyDescent="0.25">
      <c r="A317" s="251"/>
      <c r="B317" s="210" t="s">
        <v>1401</v>
      </c>
      <c r="C317" s="210"/>
      <c r="D317" s="210"/>
      <c r="E317" s="210"/>
      <c r="F317" s="254"/>
      <c r="G317" s="248">
        <v>16.37</v>
      </c>
      <c r="H317" s="249">
        <v>2.8</v>
      </c>
      <c r="I317" s="249">
        <f>4*(2*1)+(1.2*2.1)</f>
        <v>10.52</v>
      </c>
      <c r="J317" s="258">
        <v>0.15</v>
      </c>
      <c r="K317" s="249">
        <f t="shared" si="13"/>
        <v>5.29</v>
      </c>
      <c r="L317" s="250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1:57" s="154" customFormat="1" ht="20.100000000000001" customHeight="1" x14ac:dyDescent="0.25">
      <c r="A318" s="475" t="s">
        <v>1402</v>
      </c>
      <c r="B318" s="476"/>
      <c r="C318" s="476"/>
      <c r="D318" s="476"/>
      <c r="E318" s="476"/>
      <c r="F318" s="476"/>
      <c r="G318" s="476"/>
      <c r="H318" s="476"/>
      <c r="I318" s="476"/>
      <c r="J318" s="476"/>
      <c r="K318" s="477"/>
      <c r="L318" s="250"/>
      <c r="M318" s="149"/>
      <c r="N318" s="149"/>
      <c r="O318" s="149"/>
      <c r="P318" s="149"/>
      <c r="Q318" s="149"/>
      <c r="R318" s="149"/>
    </row>
    <row r="319" spans="1:57" s="149" customFormat="1" ht="20.100000000000001" customHeight="1" x14ac:dyDescent="0.25">
      <c r="A319" s="255"/>
      <c r="B319" s="253" t="s">
        <v>1522</v>
      </c>
      <c r="C319" s="256"/>
      <c r="D319" s="256"/>
      <c r="E319" s="256"/>
      <c r="F319" s="257"/>
      <c r="G319" s="258"/>
      <c r="H319" s="258"/>
      <c r="J319" s="258"/>
      <c r="K319" s="258">
        <f>TRUNC((6.7+57+2.05)*0.15,2)</f>
        <v>9.86</v>
      </c>
      <c r="L319" s="250"/>
    </row>
    <row r="320" spans="1:57" s="154" customFormat="1" ht="18.75" customHeight="1" x14ac:dyDescent="0.25">
      <c r="A320" s="470" t="s">
        <v>163</v>
      </c>
      <c r="B320" s="471"/>
      <c r="C320" s="471"/>
      <c r="D320" s="471"/>
      <c r="E320" s="471"/>
      <c r="F320" s="472"/>
      <c r="G320" s="472"/>
      <c r="H320" s="472"/>
      <c r="I320" s="472"/>
      <c r="J320" s="472"/>
      <c r="K320" s="252">
        <f>SUM(K245:K319)</f>
        <v>229.95999999999992</v>
      </c>
      <c r="L320" s="250"/>
      <c r="M320" s="149"/>
      <c r="N320" s="149"/>
      <c r="O320" s="149"/>
      <c r="P320" s="149"/>
      <c r="Q320" s="149"/>
      <c r="R320" s="149"/>
    </row>
    <row r="321" spans="1:18" s="154" customFormat="1" ht="20.100000000000001" customHeight="1" x14ac:dyDescent="0.25">
      <c r="A321" s="177" t="s">
        <v>3</v>
      </c>
      <c r="B321" s="171" t="s">
        <v>1526</v>
      </c>
      <c r="C321" s="171"/>
      <c r="D321" s="171"/>
      <c r="E321" s="171"/>
      <c r="F321" s="243" t="s">
        <v>25</v>
      </c>
      <c r="G321" s="244" t="s">
        <v>1416</v>
      </c>
      <c r="H321" s="244" t="s">
        <v>1417</v>
      </c>
      <c r="I321" s="244" t="s">
        <v>1418</v>
      </c>
      <c r="J321" s="244"/>
      <c r="K321" s="244" t="s">
        <v>50</v>
      </c>
      <c r="L321" s="250"/>
      <c r="M321" s="149"/>
      <c r="N321" s="149"/>
      <c r="O321" s="149"/>
      <c r="P321" s="149"/>
      <c r="Q321" s="149"/>
      <c r="R321" s="149"/>
    </row>
    <row r="322" spans="1:18" s="154" customFormat="1" ht="20.100000000000001" customHeight="1" x14ac:dyDescent="0.25">
      <c r="A322" s="475" t="s">
        <v>1384</v>
      </c>
      <c r="B322" s="476"/>
      <c r="C322" s="476"/>
      <c r="D322" s="476"/>
      <c r="E322" s="476"/>
      <c r="F322" s="476"/>
      <c r="G322" s="476"/>
      <c r="H322" s="476"/>
      <c r="I322" s="476"/>
      <c r="J322" s="476"/>
      <c r="K322" s="477"/>
      <c r="L322" s="250"/>
      <c r="M322" s="149"/>
      <c r="N322" s="149"/>
      <c r="O322" s="149"/>
      <c r="P322" s="149"/>
      <c r="Q322" s="149"/>
      <c r="R322" s="149"/>
    </row>
    <row r="323" spans="1:18" s="166" customFormat="1" ht="20.100000000000001" customHeight="1" x14ac:dyDescent="0.25">
      <c r="A323" s="245"/>
      <c r="B323" s="246" t="s">
        <v>1451</v>
      </c>
      <c r="C323" s="246"/>
      <c r="D323" s="246"/>
      <c r="E323" s="246"/>
      <c r="F323" s="247"/>
      <c r="G323" s="248">
        <v>6.7</v>
      </c>
      <c r="H323" s="249">
        <v>3.3</v>
      </c>
      <c r="I323" s="249">
        <f>3*0.9*2.1</f>
        <v>5.6700000000000008</v>
      </c>
      <c r="J323" s="248"/>
      <c r="K323" s="249">
        <f>TRUNC(G323*H323-I323,2)</f>
        <v>16.440000000000001</v>
      </c>
      <c r="L323" s="250"/>
    </row>
    <row r="324" spans="1:18" s="166" customFormat="1" ht="20.100000000000001" customHeight="1" x14ac:dyDescent="0.25">
      <c r="A324" s="245"/>
      <c r="B324" s="246" t="s">
        <v>1451</v>
      </c>
      <c r="C324" s="246"/>
      <c r="D324" s="246"/>
      <c r="E324" s="246"/>
      <c r="F324" s="247"/>
      <c r="G324" s="248">
        <v>2.2000000000000002</v>
      </c>
      <c r="H324" s="249">
        <v>3.3</v>
      </c>
      <c r="I324" s="249">
        <f>0.9*2.1</f>
        <v>1.8900000000000001</v>
      </c>
      <c r="J324" s="248"/>
      <c r="K324" s="249">
        <f>TRUNC(G324*H324-I324,2)</f>
        <v>5.37</v>
      </c>
      <c r="L324" s="250"/>
    </row>
    <row r="325" spans="1:18" s="166" customFormat="1" ht="20.100000000000001" customHeight="1" x14ac:dyDescent="0.25">
      <c r="A325" s="245"/>
      <c r="B325" s="246" t="s">
        <v>812</v>
      </c>
      <c r="C325" s="246"/>
      <c r="D325" s="246"/>
      <c r="E325" s="246"/>
      <c r="F325" s="247"/>
      <c r="G325" s="248">
        <v>2.91</v>
      </c>
      <c r="H325" s="249">
        <v>3.3</v>
      </c>
      <c r="I325" s="249">
        <f>0.9*2.1</f>
        <v>1.8900000000000001</v>
      </c>
      <c r="J325" s="248"/>
      <c r="K325" s="249">
        <f>TRUNC(G325*H325-I325,2)</f>
        <v>7.71</v>
      </c>
      <c r="L325" s="250"/>
    </row>
    <row r="326" spans="1:18" s="154" customFormat="1" ht="20.100000000000001" customHeight="1" x14ac:dyDescent="0.25">
      <c r="A326" s="475" t="s">
        <v>1409</v>
      </c>
      <c r="B326" s="476"/>
      <c r="C326" s="476"/>
      <c r="D326" s="476"/>
      <c r="E326" s="476"/>
      <c r="F326" s="476"/>
      <c r="G326" s="476"/>
      <c r="H326" s="476"/>
      <c r="I326" s="476"/>
      <c r="J326" s="476"/>
      <c r="K326" s="477"/>
      <c r="L326" s="250"/>
      <c r="M326" s="149"/>
      <c r="N326" s="149"/>
      <c r="O326" s="149"/>
      <c r="P326" s="149"/>
      <c r="Q326" s="149"/>
      <c r="R326" s="149"/>
    </row>
    <row r="327" spans="1:18" s="166" customFormat="1" ht="20.100000000000001" customHeight="1" x14ac:dyDescent="0.25">
      <c r="A327" s="245"/>
      <c r="B327" s="246" t="s">
        <v>1460</v>
      </c>
      <c r="C327" s="246"/>
      <c r="D327" s="246"/>
      <c r="E327" s="246"/>
      <c r="F327" s="247"/>
      <c r="G327" s="248">
        <f>2.5*3</f>
        <v>7.5</v>
      </c>
      <c r="H327" s="249">
        <v>3.3</v>
      </c>
      <c r="I327" s="249"/>
      <c r="J327" s="248"/>
      <c r="K327" s="249">
        <f>TRUNC(G327*H327-I327,2)</f>
        <v>24.75</v>
      </c>
      <c r="L327" s="250"/>
    </row>
    <row r="328" spans="1:18" s="166" customFormat="1" ht="20.100000000000001" customHeight="1" x14ac:dyDescent="0.25">
      <c r="A328" s="245"/>
      <c r="B328" s="246" t="s">
        <v>1457</v>
      </c>
      <c r="C328" s="246"/>
      <c r="D328" s="246"/>
      <c r="E328" s="246"/>
      <c r="F328" s="247"/>
      <c r="G328" s="248">
        <v>2.35</v>
      </c>
      <c r="H328" s="249">
        <v>3.3</v>
      </c>
      <c r="I328" s="249">
        <f>0.9*2.1</f>
        <v>1.8900000000000001</v>
      </c>
      <c r="J328" s="248"/>
      <c r="K328" s="249">
        <f>TRUNC(G328*H328-I328,2)</f>
        <v>5.86</v>
      </c>
      <c r="L328" s="250"/>
    </row>
    <row r="329" spans="1:18" s="154" customFormat="1" ht="22.5" customHeight="1" x14ac:dyDescent="0.25">
      <c r="A329" s="475" t="s">
        <v>1413</v>
      </c>
      <c r="B329" s="476"/>
      <c r="C329" s="476"/>
      <c r="D329" s="476"/>
      <c r="E329" s="476"/>
      <c r="F329" s="476"/>
      <c r="G329" s="476"/>
      <c r="H329" s="476"/>
      <c r="I329" s="476"/>
      <c r="J329" s="476"/>
      <c r="K329" s="477"/>
      <c r="L329" s="250"/>
      <c r="M329" s="149"/>
      <c r="N329" s="149"/>
      <c r="O329" s="149"/>
      <c r="P329" s="149"/>
      <c r="Q329" s="149"/>
      <c r="R329" s="149"/>
    </row>
    <row r="330" spans="1:18" s="149" customFormat="1" ht="20.100000000000001" customHeight="1" x14ac:dyDescent="0.25">
      <c r="A330" s="255"/>
      <c r="B330" s="253" t="s">
        <v>1479</v>
      </c>
      <c r="C330" s="256"/>
      <c r="D330" s="256"/>
      <c r="E330" s="256"/>
      <c r="F330" s="257"/>
      <c r="G330" s="258">
        <v>2.15</v>
      </c>
      <c r="H330" s="258">
        <v>3.3</v>
      </c>
      <c r="J330" s="258"/>
      <c r="K330" s="258">
        <f>TRUNC(G330*H330,2)</f>
        <v>7.09</v>
      </c>
      <c r="L330" s="250"/>
    </row>
    <row r="331" spans="1:18" s="149" customFormat="1" ht="20.100000000000001" customHeight="1" x14ac:dyDescent="0.25">
      <c r="A331" s="255"/>
      <c r="B331" s="253" t="s">
        <v>1518</v>
      </c>
      <c r="C331" s="256"/>
      <c r="D331" s="256"/>
      <c r="E331" s="256"/>
      <c r="F331" s="257"/>
      <c r="G331" s="258">
        <f>2.2*2</f>
        <v>4.4000000000000004</v>
      </c>
      <c r="H331" s="258">
        <v>3.3</v>
      </c>
      <c r="J331" s="258"/>
      <c r="K331" s="258">
        <f>TRUNC(G331*H331,2)</f>
        <v>14.52</v>
      </c>
      <c r="L331" s="250"/>
    </row>
    <row r="332" spans="1:18" s="154" customFormat="1" ht="18.75" customHeight="1" x14ac:dyDescent="0.25">
      <c r="A332" s="470" t="s">
        <v>163</v>
      </c>
      <c r="B332" s="471"/>
      <c r="C332" s="471"/>
      <c r="D332" s="471"/>
      <c r="E332" s="471"/>
      <c r="F332" s="472"/>
      <c r="G332" s="472"/>
      <c r="H332" s="472"/>
      <c r="I332" s="472"/>
      <c r="J332" s="472"/>
      <c r="K332" s="252">
        <f>SUM(K323:K331)</f>
        <v>81.739999999999995</v>
      </c>
      <c r="L332" s="250"/>
      <c r="M332" s="149"/>
      <c r="N332" s="149"/>
      <c r="O332" s="149"/>
      <c r="P332" s="149"/>
      <c r="Q332" s="149"/>
      <c r="R332" s="149"/>
    </row>
    <row r="333" spans="1:18" s="154" customFormat="1" ht="20.100000000000001" customHeight="1" x14ac:dyDescent="0.25">
      <c r="A333" s="177" t="s">
        <v>3</v>
      </c>
      <c r="B333" s="171" t="s">
        <v>1527</v>
      </c>
      <c r="C333" s="171"/>
      <c r="D333" s="171"/>
      <c r="E333" s="171"/>
      <c r="F333" s="243" t="s">
        <v>1528</v>
      </c>
      <c r="G333" s="244"/>
      <c r="H333" s="244" t="s">
        <v>61</v>
      </c>
      <c r="I333" s="244"/>
      <c r="J333" s="244"/>
      <c r="K333" s="244" t="s">
        <v>50</v>
      </c>
      <c r="L333" s="250"/>
      <c r="M333" s="149"/>
      <c r="N333" s="149"/>
      <c r="O333" s="149"/>
      <c r="P333" s="149"/>
      <c r="Q333" s="149"/>
      <c r="R333" s="149"/>
    </row>
    <row r="334" spans="1:18" s="154" customFormat="1" ht="20.100000000000001" customHeight="1" x14ac:dyDescent="0.25">
      <c r="A334" s="475" t="s">
        <v>1384</v>
      </c>
      <c r="B334" s="476"/>
      <c r="C334" s="476"/>
      <c r="D334" s="476"/>
      <c r="E334" s="476"/>
      <c r="F334" s="476"/>
      <c r="G334" s="476"/>
      <c r="H334" s="476"/>
      <c r="I334" s="476"/>
      <c r="J334" s="476"/>
      <c r="K334" s="477"/>
      <c r="L334" s="250"/>
      <c r="M334" s="149"/>
      <c r="N334" s="149"/>
      <c r="O334" s="149"/>
      <c r="P334" s="149"/>
      <c r="Q334" s="149"/>
      <c r="R334" s="149"/>
    </row>
    <row r="335" spans="1:18" s="154" customFormat="1" ht="20.100000000000001" customHeight="1" x14ac:dyDescent="0.25">
      <c r="A335" s="245"/>
      <c r="B335" s="246" t="s">
        <v>1529</v>
      </c>
      <c r="C335" s="246"/>
      <c r="D335" s="246"/>
      <c r="E335" s="246"/>
      <c r="F335" s="247"/>
      <c r="G335" s="248"/>
      <c r="H335" s="249">
        <v>8</v>
      </c>
      <c r="I335" s="249"/>
      <c r="J335" s="248"/>
      <c r="K335" s="249">
        <f>H335</f>
        <v>8</v>
      </c>
      <c r="L335" s="250"/>
      <c r="M335" s="149"/>
      <c r="N335" s="149"/>
      <c r="O335" s="149"/>
      <c r="P335" s="149"/>
      <c r="Q335" s="149"/>
      <c r="R335" s="149"/>
    </row>
    <row r="336" spans="1:18" s="166" customFormat="1" ht="20.100000000000001" customHeight="1" x14ac:dyDescent="0.25">
      <c r="A336" s="245"/>
      <c r="B336" s="246" t="s">
        <v>1530</v>
      </c>
      <c r="C336" s="246"/>
      <c r="D336" s="246"/>
      <c r="E336" s="246"/>
      <c r="F336" s="247"/>
      <c r="G336" s="248"/>
      <c r="H336" s="249">
        <v>2</v>
      </c>
      <c r="I336" s="249"/>
      <c r="J336" s="248"/>
      <c r="K336" s="249">
        <f>H336</f>
        <v>2</v>
      </c>
      <c r="L336" s="250"/>
    </row>
    <row r="337" spans="1:248" s="154" customFormat="1" ht="20.100000000000001" customHeight="1" x14ac:dyDescent="0.25">
      <c r="A337" s="475" t="s">
        <v>1409</v>
      </c>
      <c r="B337" s="476"/>
      <c r="C337" s="476"/>
      <c r="D337" s="476"/>
      <c r="E337" s="476"/>
      <c r="F337" s="476"/>
      <c r="G337" s="476"/>
      <c r="H337" s="476"/>
      <c r="I337" s="476"/>
      <c r="J337" s="476"/>
      <c r="K337" s="477"/>
      <c r="L337" s="250"/>
      <c r="M337" s="149"/>
      <c r="N337" s="149"/>
      <c r="O337" s="149"/>
      <c r="P337" s="149"/>
      <c r="Q337" s="149"/>
      <c r="R337" s="149"/>
    </row>
    <row r="338" spans="1:248" s="154" customFormat="1" ht="20.100000000000001" customHeight="1" x14ac:dyDescent="0.25">
      <c r="A338" s="245"/>
      <c r="B338" s="246" t="s">
        <v>1529</v>
      </c>
      <c r="C338" s="246"/>
      <c r="D338" s="246"/>
      <c r="E338" s="246"/>
      <c r="F338" s="247"/>
      <c r="G338" s="248"/>
      <c r="H338" s="249">
        <v>6</v>
      </c>
      <c r="I338" s="249"/>
      <c r="J338" s="248"/>
      <c r="K338" s="249">
        <f>H338</f>
        <v>6</v>
      </c>
      <c r="L338" s="250"/>
      <c r="M338" s="149"/>
      <c r="N338" s="149"/>
      <c r="O338" s="149"/>
      <c r="P338" s="149"/>
      <c r="Q338" s="149"/>
      <c r="R338" s="149"/>
    </row>
    <row r="339" spans="1:248" s="166" customFormat="1" ht="20.100000000000001" customHeight="1" x14ac:dyDescent="0.25">
      <c r="A339" s="245"/>
      <c r="B339" s="246" t="s">
        <v>1530</v>
      </c>
      <c r="C339" s="246"/>
      <c r="D339" s="246"/>
      <c r="E339" s="246"/>
      <c r="F339" s="247"/>
      <c r="G339" s="248"/>
      <c r="H339" s="249">
        <v>5</v>
      </c>
      <c r="I339" s="249"/>
      <c r="J339" s="248"/>
      <c r="K339" s="249">
        <f>H339</f>
        <v>5</v>
      </c>
      <c r="L339" s="250"/>
    </row>
    <row r="340" spans="1:248" s="154" customFormat="1" ht="20.100000000000001" customHeight="1" x14ac:dyDescent="0.25">
      <c r="A340" s="475" t="s">
        <v>1411</v>
      </c>
      <c r="B340" s="476"/>
      <c r="C340" s="476"/>
      <c r="D340" s="476"/>
      <c r="E340" s="476"/>
      <c r="F340" s="476"/>
      <c r="G340" s="476"/>
      <c r="H340" s="476"/>
      <c r="I340" s="476"/>
      <c r="J340" s="476"/>
      <c r="K340" s="477"/>
      <c r="L340" s="250"/>
      <c r="M340" s="149"/>
      <c r="N340" s="149"/>
      <c r="O340" s="149"/>
      <c r="P340" s="149"/>
      <c r="Q340" s="149"/>
      <c r="R340" s="149"/>
    </row>
    <row r="341" spans="1:248" s="149" customFormat="1" ht="20.100000000000001" customHeight="1" x14ac:dyDescent="0.25">
      <c r="A341" s="255"/>
      <c r="B341" s="253" t="s">
        <v>1529</v>
      </c>
      <c r="C341" s="257"/>
      <c r="D341" s="257"/>
      <c r="E341" s="257"/>
      <c r="F341" s="257"/>
      <c r="H341" s="258">
        <v>2</v>
      </c>
      <c r="I341" s="258"/>
      <c r="J341" s="259"/>
      <c r="K341" s="258">
        <v>4</v>
      </c>
      <c r="L341" s="250"/>
    </row>
    <row r="342" spans="1:248" s="149" customFormat="1" ht="20.100000000000001" customHeight="1" x14ac:dyDescent="0.25">
      <c r="A342" s="255"/>
      <c r="B342" s="253" t="s">
        <v>1530</v>
      </c>
      <c r="C342" s="257"/>
      <c r="D342" s="257"/>
      <c r="E342" s="257"/>
      <c r="F342" s="257"/>
      <c r="H342" s="258">
        <v>1</v>
      </c>
      <c r="I342" s="258"/>
      <c r="J342" s="259"/>
      <c r="K342" s="258">
        <v>3</v>
      </c>
      <c r="L342" s="250"/>
    </row>
    <row r="343" spans="1:248" s="154" customFormat="1" ht="20.100000000000001" customHeight="1" x14ac:dyDescent="0.25">
      <c r="A343" s="475" t="s">
        <v>1413</v>
      </c>
      <c r="B343" s="476"/>
      <c r="C343" s="476"/>
      <c r="D343" s="476"/>
      <c r="E343" s="476"/>
      <c r="F343" s="476"/>
      <c r="G343" s="476"/>
      <c r="H343" s="476"/>
      <c r="I343" s="476"/>
      <c r="J343" s="476"/>
      <c r="K343" s="477"/>
      <c r="L343" s="250"/>
      <c r="M343" s="149"/>
      <c r="N343" s="149"/>
      <c r="O343" s="149"/>
      <c r="P343" s="149"/>
      <c r="Q343" s="149"/>
      <c r="R343" s="149"/>
    </row>
    <row r="344" spans="1:248" s="149" customFormat="1" ht="20.100000000000001" customHeight="1" x14ac:dyDescent="0.25">
      <c r="A344" s="255"/>
      <c r="B344" s="253" t="s">
        <v>1529</v>
      </c>
      <c r="C344" s="257"/>
      <c r="D344" s="257"/>
      <c r="E344" s="257"/>
      <c r="F344" s="257"/>
      <c r="H344" s="258">
        <v>11</v>
      </c>
      <c r="I344" s="258"/>
      <c r="J344" s="259"/>
      <c r="K344" s="258">
        <v>4</v>
      </c>
      <c r="L344" s="250"/>
    </row>
    <row r="345" spans="1:248" s="149" customFormat="1" ht="20.100000000000001" customHeight="1" x14ac:dyDescent="0.25">
      <c r="A345" s="255"/>
      <c r="B345" s="253" t="s">
        <v>1530</v>
      </c>
      <c r="C345" s="257"/>
      <c r="D345" s="257"/>
      <c r="E345" s="257"/>
      <c r="F345" s="257"/>
      <c r="H345" s="258">
        <v>9</v>
      </c>
      <c r="I345" s="258"/>
      <c r="J345" s="259"/>
      <c r="K345" s="258">
        <v>3</v>
      </c>
      <c r="L345" s="250"/>
    </row>
    <row r="346" spans="1:248" s="154" customFormat="1" ht="20.100000000000001" customHeight="1" x14ac:dyDescent="0.25">
      <c r="A346" s="475" t="s">
        <v>1388</v>
      </c>
      <c r="B346" s="476"/>
      <c r="C346" s="476"/>
      <c r="D346" s="476"/>
      <c r="E346" s="476"/>
      <c r="F346" s="476"/>
      <c r="G346" s="476"/>
      <c r="H346" s="476"/>
      <c r="I346" s="476"/>
      <c r="J346" s="476"/>
      <c r="K346" s="477"/>
      <c r="L346" s="250"/>
      <c r="M346" s="149"/>
      <c r="N346" s="149"/>
      <c r="O346" s="149"/>
      <c r="P346" s="149"/>
      <c r="Q346" s="149"/>
      <c r="R346" s="149"/>
    </row>
    <row r="347" spans="1:248" s="149" customFormat="1" ht="20.100000000000001" customHeight="1" x14ac:dyDescent="0.25">
      <c r="A347" s="255"/>
      <c r="B347" s="253" t="s">
        <v>1529</v>
      </c>
      <c r="C347" s="257"/>
      <c r="D347" s="257"/>
      <c r="E347" s="257"/>
      <c r="F347" s="257"/>
      <c r="H347" s="258">
        <v>5</v>
      </c>
      <c r="I347" s="258"/>
      <c r="J347" s="259"/>
      <c r="K347" s="258">
        <v>4</v>
      </c>
      <c r="L347" s="250"/>
    </row>
    <row r="348" spans="1:248" s="149" customFormat="1" ht="20.100000000000001" customHeight="1" x14ac:dyDescent="0.25">
      <c r="A348" s="255"/>
      <c r="B348" s="253" t="s">
        <v>1530</v>
      </c>
      <c r="C348" s="257"/>
      <c r="D348" s="257"/>
      <c r="E348" s="257"/>
      <c r="F348" s="257"/>
      <c r="H348" s="258">
        <v>4</v>
      </c>
      <c r="I348" s="258"/>
      <c r="J348" s="259"/>
      <c r="K348" s="258">
        <v>3</v>
      </c>
      <c r="L348" s="250"/>
    </row>
    <row r="349" spans="1:248" s="154" customFormat="1" ht="18.75" customHeight="1" x14ac:dyDescent="0.25">
      <c r="A349" s="470" t="s">
        <v>163</v>
      </c>
      <c r="B349" s="471"/>
      <c r="C349" s="471"/>
      <c r="D349" s="471"/>
      <c r="E349" s="471"/>
      <c r="F349" s="472"/>
      <c r="G349" s="472"/>
      <c r="H349" s="472"/>
      <c r="I349" s="472"/>
      <c r="J349" s="472"/>
      <c r="K349" s="252">
        <f>SUM(K335:K348)</f>
        <v>42</v>
      </c>
      <c r="L349" s="250"/>
      <c r="M349" s="149"/>
      <c r="N349" s="149"/>
      <c r="O349" s="149"/>
      <c r="P349" s="149"/>
      <c r="Q349" s="149"/>
      <c r="R349" s="149"/>
    </row>
    <row r="350" spans="1:248" s="154" customFormat="1" ht="20.100000000000001" customHeight="1" x14ac:dyDescent="0.25">
      <c r="A350" s="260" t="s">
        <v>63</v>
      </c>
      <c r="B350" s="491" t="s">
        <v>1533</v>
      </c>
      <c r="C350" s="491"/>
      <c r="D350" s="491"/>
      <c r="E350" s="491"/>
      <c r="F350" s="261" t="s">
        <v>24</v>
      </c>
      <c r="G350" s="262" t="s">
        <v>748</v>
      </c>
      <c r="H350" s="262" t="s">
        <v>735</v>
      </c>
      <c r="I350" s="262" t="s">
        <v>1534</v>
      </c>
      <c r="J350" s="262"/>
      <c r="K350" s="262" t="s">
        <v>50</v>
      </c>
      <c r="L350" s="250"/>
      <c r="M350" s="149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  <c r="Z350" s="149"/>
      <c r="AA350" s="149"/>
      <c r="AB350" s="149"/>
      <c r="AC350" s="149"/>
      <c r="AD350" s="149"/>
      <c r="AE350" s="149"/>
      <c r="AF350" s="149"/>
      <c r="AG350" s="149"/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  <c r="BI350" s="149"/>
      <c r="BJ350" s="149"/>
      <c r="BK350" s="149"/>
      <c r="BL350" s="149"/>
      <c r="BM350" s="149"/>
      <c r="BN350" s="149"/>
      <c r="BO350" s="149"/>
      <c r="BP350" s="149"/>
      <c r="BQ350" s="149"/>
      <c r="BR350" s="149"/>
      <c r="BS350" s="149"/>
      <c r="BT350" s="149"/>
      <c r="BU350" s="149"/>
      <c r="BV350" s="149"/>
      <c r="BW350" s="149"/>
      <c r="BX350" s="149"/>
      <c r="BY350" s="149"/>
      <c r="BZ350" s="149"/>
      <c r="CA350" s="149"/>
      <c r="CB350" s="149"/>
      <c r="CC350" s="149"/>
      <c r="CD350" s="149"/>
      <c r="CE350" s="149"/>
      <c r="CF350" s="149"/>
      <c r="CG350" s="149"/>
      <c r="CH350" s="149"/>
      <c r="CI350" s="149"/>
      <c r="CJ350" s="149"/>
      <c r="CK350" s="149"/>
      <c r="CL350" s="149"/>
      <c r="CM350" s="149"/>
      <c r="CN350" s="149"/>
      <c r="CO350" s="149"/>
      <c r="CP350" s="149"/>
      <c r="CQ350" s="149"/>
      <c r="CR350" s="149"/>
      <c r="CS350" s="149"/>
      <c r="CT350" s="149"/>
      <c r="CU350" s="149"/>
      <c r="CV350" s="149"/>
      <c r="CW350" s="149"/>
      <c r="CX350" s="149"/>
      <c r="CY350" s="149"/>
      <c r="CZ350" s="149"/>
      <c r="DA350" s="149"/>
      <c r="DB350" s="149"/>
      <c r="DC350" s="149"/>
      <c r="DD350" s="149"/>
      <c r="DE350" s="149"/>
      <c r="DF350" s="149"/>
      <c r="DG350" s="149"/>
      <c r="DH350" s="149"/>
      <c r="DI350" s="149"/>
      <c r="DJ350" s="149"/>
      <c r="DK350" s="149"/>
      <c r="DL350" s="149"/>
      <c r="DM350" s="149"/>
      <c r="DN350" s="149"/>
      <c r="DO350" s="149"/>
      <c r="DP350" s="149"/>
      <c r="DQ350" s="149"/>
      <c r="DR350" s="149"/>
      <c r="DS350" s="149"/>
      <c r="DT350" s="149"/>
      <c r="DU350" s="149"/>
      <c r="DV350" s="149"/>
      <c r="DW350" s="149"/>
      <c r="DX350" s="149"/>
      <c r="DY350" s="149"/>
      <c r="DZ350" s="149"/>
      <c r="EA350" s="149"/>
      <c r="EB350" s="149"/>
      <c r="EC350" s="149"/>
      <c r="ED350" s="149"/>
      <c r="EE350" s="149"/>
      <c r="EF350" s="149"/>
      <c r="EG350" s="149"/>
      <c r="EH350" s="149"/>
      <c r="EI350" s="149"/>
      <c r="EJ350" s="149"/>
      <c r="EK350" s="149"/>
      <c r="EL350" s="149"/>
      <c r="EM350" s="149"/>
      <c r="EN350" s="149"/>
      <c r="EO350" s="149"/>
      <c r="EP350" s="149"/>
      <c r="EQ350" s="149"/>
      <c r="ER350" s="149"/>
      <c r="ES350" s="149"/>
      <c r="ET350" s="149"/>
      <c r="EU350" s="149"/>
      <c r="EV350" s="149"/>
      <c r="EW350" s="149"/>
      <c r="EX350" s="149"/>
      <c r="EY350" s="149"/>
      <c r="EZ350" s="149"/>
      <c r="FA350" s="149"/>
      <c r="FB350" s="149"/>
      <c r="FC350" s="149"/>
      <c r="FD350" s="149"/>
      <c r="FE350" s="149"/>
      <c r="FF350" s="149"/>
      <c r="FG350" s="149"/>
      <c r="FH350" s="149"/>
      <c r="FI350" s="149"/>
      <c r="FJ350" s="149"/>
      <c r="FK350" s="149"/>
      <c r="FL350" s="149"/>
      <c r="FM350" s="149"/>
      <c r="FN350" s="149"/>
      <c r="FO350" s="149"/>
      <c r="FP350" s="149"/>
      <c r="FQ350" s="149"/>
      <c r="FR350" s="149"/>
      <c r="FS350" s="149"/>
      <c r="FT350" s="149"/>
      <c r="FU350" s="149"/>
      <c r="FV350" s="149"/>
      <c r="FW350" s="149"/>
      <c r="FX350" s="149"/>
      <c r="FY350" s="149"/>
      <c r="FZ350" s="149"/>
      <c r="GA350" s="149"/>
      <c r="GB350" s="149"/>
      <c r="GC350" s="149"/>
      <c r="GD350" s="149"/>
      <c r="GE350" s="149"/>
      <c r="GF350" s="149"/>
      <c r="GG350" s="149"/>
      <c r="GH350" s="149"/>
      <c r="GI350" s="149"/>
      <c r="GJ350" s="149"/>
      <c r="GK350" s="149"/>
      <c r="GL350" s="149"/>
      <c r="GM350" s="149"/>
      <c r="GN350" s="149"/>
      <c r="GO350" s="149"/>
      <c r="GP350" s="149"/>
      <c r="GQ350" s="149"/>
      <c r="GR350" s="149"/>
      <c r="GS350" s="149"/>
      <c r="GT350" s="149"/>
      <c r="GU350" s="149"/>
      <c r="GV350" s="149"/>
      <c r="GW350" s="149"/>
      <c r="GX350" s="149"/>
      <c r="GY350" s="149"/>
      <c r="GZ350" s="149"/>
      <c r="HA350" s="149"/>
      <c r="HB350" s="149"/>
      <c r="HC350" s="149"/>
      <c r="HD350" s="149"/>
      <c r="HE350" s="149"/>
      <c r="HF350" s="149"/>
      <c r="HG350" s="149"/>
      <c r="HH350" s="149"/>
      <c r="HI350" s="149"/>
      <c r="HJ350" s="149"/>
      <c r="HK350" s="149"/>
      <c r="HL350" s="149"/>
      <c r="HM350" s="149"/>
      <c r="HN350" s="149"/>
      <c r="HO350" s="149"/>
      <c r="HP350" s="149"/>
      <c r="HQ350" s="149"/>
      <c r="HR350" s="149"/>
      <c r="HS350" s="149"/>
      <c r="HT350" s="149"/>
      <c r="HU350" s="149"/>
      <c r="HV350" s="149"/>
      <c r="HW350" s="149"/>
      <c r="HX350" s="149"/>
      <c r="HY350" s="149"/>
      <c r="HZ350" s="149"/>
      <c r="IA350" s="149"/>
      <c r="IB350" s="149"/>
      <c r="IC350" s="149"/>
      <c r="ID350" s="149"/>
      <c r="IE350" s="149"/>
      <c r="IF350" s="149"/>
      <c r="IG350" s="149"/>
      <c r="IH350" s="149"/>
      <c r="II350" s="149"/>
      <c r="IJ350" s="149"/>
      <c r="IK350" s="149"/>
      <c r="IL350" s="149"/>
      <c r="IM350" s="149"/>
      <c r="IN350" s="149"/>
    </row>
    <row r="351" spans="1:248" s="154" customFormat="1" ht="20.100000000000001" customHeight="1" x14ac:dyDescent="0.25">
      <c r="A351" s="475" t="s">
        <v>1411</v>
      </c>
      <c r="B351" s="476"/>
      <c r="C351" s="476"/>
      <c r="D351" s="476"/>
      <c r="E351" s="476"/>
      <c r="F351" s="476"/>
      <c r="G351" s="476"/>
      <c r="H351" s="476"/>
      <c r="I351" s="476"/>
      <c r="J351" s="476"/>
      <c r="K351" s="477"/>
      <c r="L351" s="250"/>
      <c r="M351" s="149"/>
      <c r="N351" s="149"/>
      <c r="O351" s="149"/>
      <c r="P351" s="149"/>
      <c r="Q351" s="149"/>
      <c r="R351" s="149"/>
    </row>
    <row r="352" spans="1:248" s="149" customFormat="1" ht="20.100000000000001" customHeight="1" x14ac:dyDescent="0.25">
      <c r="A352" s="255"/>
      <c r="B352" s="253" t="s">
        <v>1535</v>
      </c>
      <c r="C352" s="256"/>
      <c r="D352" s="256"/>
      <c r="E352" s="256"/>
      <c r="F352" s="257"/>
      <c r="G352" s="258">
        <v>7.65</v>
      </c>
      <c r="H352" s="258">
        <v>1.5</v>
      </c>
      <c r="J352" s="258"/>
      <c r="K352" s="258">
        <f>TRUNC(G352*H352,2)</f>
        <v>11.47</v>
      </c>
      <c r="L352" s="250"/>
    </row>
    <row r="353" spans="1:248" s="154" customFormat="1" ht="20.100000000000001" customHeight="1" x14ac:dyDescent="0.25">
      <c r="A353" s="475" t="s">
        <v>1413</v>
      </c>
      <c r="B353" s="476"/>
      <c r="C353" s="476"/>
      <c r="D353" s="476"/>
      <c r="E353" s="476"/>
      <c r="F353" s="476"/>
      <c r="G353" s="476"/>
      <c r="H353" s="476"/>
      <c r="I353" s="476"/>
      <c r="J353" s="476"/>
      <c r="K353" s="477"/>
      <c r="L353" s="250"/>
      <c r="M353" s="149"/>
      <c r="N353" s="149"/>
      <c r="O353" s="149"/>
      <c r="P353" s="149"/>
      <c r="Q353" s="149"/>
      <c r="R353" s="149"/>
    </row>
    <row r="354" spans="1:248" s="149" customFormat="1" ht="20.100000000000001" customHeight="1" x14ac:dyDescent="0.25">
      <c r="A354" s="255"/>
      <c r="B354" s="253" t="s">
        <v>1451</v>
      </c>
      <c r="C354" s="256"/>
      <c r="D354" s="256"/>
      <c r="E354" s="256"/>
      <c r="F354" s="257"/>
      <c r="G354" s="258">
        <v>5.16</v>
      </c>
      <c r="H354" s="258">
        <v>1.2</v>
      </c>
      <c r="J354" s="258"/>
      <c r="K354" s="258">
        <f>TRUNC(G354*H354,2)</f>
        <v>6.19</v>
      </c>
      <c r="L354" s="250"/>
    </row>
    <row r="355" spans="1:248" s="154" customFormat="1" ht="20.100000000000001" customHeight="1" x14ac:dyDescent="0.25">
      <c r="A355" s="492" t="s">
        <v>1536</v>
      </c>
      <c r="B355" s="493"/>
      <c r="C355" s="493"/>
      <c r="D355" s="493"/>
      <c r="E355" s="493"/>
      <c r="F355" s="494"/>
      <c r="G355" s="494"/>
      <c r="H355" s="494"/>
      <c r="I355" s="494"/>
      <c r="J355" s="494"/>
      <c r="K355" s="263">
        <f>SUM(K352:K354)</f>
        <v>17.66</v>
      </c>
      <c r="L355" s="250"/>
      <c r="M355" s="149"/>
      <c r="N355" s="149"/>
      <c r="O355" s="149"/>
      <c r="P355" s="149"/>
      <c r="Q355" s="149"/>
      <c r="R355" s="149"/>
      <c r="S355" s="149"/>
      <c r="T355" s="149"/>
      <c r="U355" s="149"/>
      <c r="V355" s="149"/>
      <c r="W355" s="149"/>
      <c r="X355" s="149"/>
      <c r="Y355" s="149"/>
      <c r="Z355" s="149"/>
      <c r="AA355" s="149"/>
      <c r="AB355" s="149"/>
      <c r="AC355" s="149"/>
      <c r="AD355" s="149"/>
      <c r="AE355" s="149"/>
      <c r="AF355" s="149"/>
      <c r="AG355" s="149"/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  <c r="BI355" s="149"/>
      <c r="BJ355" s="149"/>
      <c r="BK355" s="149"/>
      <c r="BL355" s="149"/>
      <c r="BM355" s="149"/>
      <c r="BN355" s="149"/>
      <c r="BO355" s="149"/>
      <c r="BP355" s="149"/>
      <c r="BQ355" s="149"/>
      <c r="BR355" s="149"/>
      <c r="BS355" s="149"/>
      <c r="BT355" s="149"/>
      <c r="BU355" s="149"/>
      <c r="BV355" s="149"/>
      <c r="BW355" s="149"/>
      <c r="BX355" s="149"/>
      <c r="BY355" s="149"/>
      <c r="BZ355" s="149"/>
      <c r="CA355" s="149"/>
      <c r="CB355" s="149"/>
      <c r="CC355" s="149"/>
      <c r="CD355" s="149"/>
      <c r="CE355" s="149"/>
      <c r="CF355" s="149"/>
      <c r="CG355" s="149"/>
      <c r="CH355" s="149"/>
      <c r="CI355" s="149"/>
      <c r="CJ355" s="149"/>
      <c r="CK355" s="149"/>
      <c r="CL355" s="149"/>
      <c r="CM355" s="149"/>
      <c r="CN355" s="149"/>
      <c r="CO355" s="149"/>
      <c r="CP355" s="149"/>
      <c r="CQ355" s="149"/>
      <c r="CR355" s="149"/>
      <c r="CS355" s="149"/>
      <c r="CT355" s="149"/>
      <c r="CU355" s="149"/>
      <c r="CV355" s="149"/>
      <c r="CW355" s="149"/>
      <c r="CX355" s="149"/>
      <c r="CY355" s="149"/>
      <c r="CZ355" s="149"/>
      <c r="DA355" s="149"/>
      <c r="DB355" s="149"/>
      <c r="DC355" s="149"/>
      <c r="DD355" s="149"/>
      <c r="DE355" s="149"/>
      <c r="DF355" s="149"/>
      <c r="DG355" s="149"/>
      <c r="DH355" s="149"/>
      <c r="DI355" s="149"/>
      <c r="DJ355" s="149"/>
      <c r="DK355" s="149"/>
      <c r="DL355" s="149"/>
      <c r="DM355" s="149"/>
      <c r="DN355" s="149"/>
      <c r="DO355" s="149"/>
      <c r="DP355" s="149"/>
      <c r="DQ355" s="149"/>
      <c r="DR355" s="149"/>
      <c r="DS355" s="149"/>
      <c r="DT355" s="149"/>
      <c r="DU355" s="149"/>
      <c r="DV355" s="149"/>
      <c r="DW355" s="149"/>
      <c r="DX355" s="149"/>
      <c r="DY355" s="149"/>
      <c r="DZ355" s="149"/>
      <c r="EA355" s="149"/>
      <c r="EB355" s="149"/>
      <c r="EC355" s="149"/>
      <c r="ED355" s="149"/>
      <c r="EE355" s="149"/>
      <c r="EF355" s="149"/>
      <c r="EG355" s="149"/>
      <c r="EH355" s="149"/>
      <c r="EI355" s="149"/>
      <c r="EJ355" s="149"/>
      <c r="EK355" s="149"/>
      <c r="EL355" s="149"/>
      <c r="EM355" s="149"/>
      <c r="EN355" s="149"/>
      <c r="EO355" s="149"/>
      <c r="EP355" s="149"/>
      <c r="EQ355" s="149"/>
      <c r="ER355" s="149"/>
      <c r="ES355" s="149"/>
      <c r="ET355" s="149"/>
      <c r="EU355" s="149"/>
      <c r="EV355" s="149"/>
      <c r="EW355" s="149"/>
      <c r="EX355" s="149"/>
      <c r="EY355" s="149"/>
      <c r="EZ355" s="149"/>
      <c r="FA355" s="149"/>
      <c r="FB355" s="149"/>
      <c r="FC355" s="149"/>
      <c r="FD355" s="149"/>
      <c r="FE355" s="149"/>
      <c r="FF355" s="149"/>
      <c r="FG355" s="149"/>
      <c r="FH355" s="149"/>
      <c r="FI355" s="149"/>
      <c r="FJ355" s="149"/>
      <c r="FK355" s="149"/>
      <c r="FL355" s="149"/>
      <c r="FM355" s="149"/>
      <c r="FN355" s="149"/>
      <c r="FO355" s="149"/>
      <c r="FP355" s="149"/>
      <c r="FQ355" s="149"/>
      <c r="FR355" s="149"/>
      <c r="FS355" s="149"/>
      <c r="FT355" s="149"/>
      <c r="FU355" s="149"/>
      <c r="FV355" s="149"/>
      <c r="FW355" s="149"/>
      <c r="FX355" s="149"/>
      <c r="FY355" s="149"/>
      <c r="FZ355" s="149"/>
      <c r="GA355" s="149"/>
      <c r="GB355" s="149"/>
      <c r="GC355" s="149"/>
      <c r="GD355" s="149"/>
      <c r="GE355" s="149"/>
      <c r="GF355" s="149"/>
      <c r="GG355" s="149"/>
      <c r="GH355" s="149"/>
      <c r="GI355" s="149"/>
      <c r="GJ355" s="149"/>
      <c r="GK355" s="149"/>
      <c r="GL355" s="149"/>
      <c r="GM355" s="149"/>
      <c r="GN355" s="149"/>
      <c r="GO355" s="149"/>
      <c r="GP355" s="149"/>
      <c r="GQ355" s="149"/>
      <c r="GR355" s="149"/>
      <c r="GS355" s="149"/>
      <c r="GT355" s="149"/>
      <c r="GU355" s="149"/>
      <c r="GV355" s="149"/>
      <c r="GW355" s="149"/>
      <c r="GX355" s="149"/>
      <c r="GY355" s="149"/>
      <c r="GZ355" s="149"/>
      <c r="HA355" s="149"/>
      <c r="HB355" s="149"/>
      <c r="HC355" s="149"/>
      <c r="HD355" s="149"/>
      <c r="HE355" s="149"/>
      <c r="HF355" s="149"/>
      <c r="HG355" s="149"/>
      <c r="HH355" s="149"/>
      <c r="HI355" s="149"/>
      <c r="HJ355" s="149"/>
      <c r="HK355" s="149"/>
      <c r="HL355" s="149"/>
      <c r="HM355" s="149"/>
      <c r="HN355" s="149"/>
      <c r="HO355" s="149"/>
      <c r="HP355" s="149"/>
      <c r="HQ355" s="149"/>
      <c r="HR355" s="149"/>
      <c r="HS355" s="149"/>
      <c r="HT355" s="149"/>
      <c r="HU355" s="149"/>
      <c r="HV355" s="149"/>
      <c r="HW355" s="149"/>
      <c r="HX355" s="149"/>
      <c r="HY355" s="149"/>
      <c r="HZ355" s="149"/>
      <c r="IA355" s="149"/>
      <c r="IB355" s="149"/>
      <c r="IC355" s="149"/>
      <c r="ID355" s="149"/>
      <c r="IE355" s="149"/>
      <c r="IF355" s="149"/>
      <c r="IG355" s="149"/>
      <c r="IH355" s="149"/>
      <c r="II355" s="149"/>
      <c r="IJ355" s="149"/>
      <c r="IK355" s="149"/>
      <c r="IL355" s="149"/>
      <c r="IM355" s="149"/>
      <c r="IN355" s="149"/>
    </row>
    <row r="356" spans="1:248" x14ac:dyDescent="0.25">
      <c r="A356" s="264" t="s">
        <v>1537</v>
      </c>
      <c r="B356" s="211" t="s">
        <v>1538</v>
      </c>
      <c r="C356" s="211"/>
      <c r="D356" s="211"/>
      <c r="E356" s="211"/>
      <c r="F356" s="265" t="s">
        <v>24</v>
      </c>
      <c r="G356" s="152" t="s">
        <v>1539</v>
      </c>
      <c r="H356" s="152" t="s">
        <v>748</v>
      </c>
      <c r="I356" s="152" t="s">
        <v>1540</v>
      </c>
      <c r="J356" s="152"/>
      <c r="K356" s="152" t="s">
        <v>50</v>
      </c>
      <c r="L356" s="250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1:248" s="154" customFormat="1" ht="20.100000000000001" customHeight="1" x14ac:dyDescent="0.25">
      <c r="A357" s="475" t="s">
        <v>1388</v>
      </c>
      <c r="B357" s="476"/>
      <c r="C357" s="476"/>
      <c r="D357" s="476"/>
      <c r="E357" s="476"/>
      <c r="F357" s="476"/>
      <c r="G357" s="476"/>
      <c r="H357" s="476"/>
      <c r="I357" s="476"/>
      <c r="J357" s="476"/>
      <c r="K357" s="477"/>
      <c r="L357" s="250"/>
      <c r="M357" s="149"/>
      <c r="N357" s="149"/>
      <c r="O357" s="149"/>
      <c r="P357" s="149"/>
      <c r="Q357" s="149"/>
      <c r="R357" s="149"/>
    </row>
    <row r="358" spans="1:248" x14ac:dyDescent="0.25">
      <c r="A358" s="251"/>
      <c r="B358" s="210" t="s">
        <v>1541</v>
      </c>
      <c r="C358" s="210"/>
      <c r="D358" s="210"/>
      <c r="E358" s="210"/>
      <c r="F358" s="254"/>
      <c r="G358" s="249">
        <v>0.6</v>
      </c>
      <c r="H358" s="249">
        <v>5.88</v>
      </c>
      <c r="I358" s="249"/>
      <c r="J358" s="249"/>
      <c r="K358" s="249">
        <f>TRUNC(G358*H358,2)</f>
        <v>3.52</v>
      </c>
      <c r="L358" s="250"/>
      <c r="N358" s="149"/>
      <c r="O358" s="149"/>
      <c r="P358" s="149"/>
      <c r="Q358" s="149"/>
      <c r="R358" s="149"/>
      <c r="S358" s="149"/>
      <c r="T358" s="149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1:248" x14ac:dyDescent="0.25">
      <c r="A359" s="251"/>
      <c r="B359" s="210" t="s">
        <v>1541</v>
      </c>
      <c r="C359" s="210"/>
      <c r="D359" s="210"/>
      <c r="E359" s="210"/>
      <c r="F359" s="254"/>
      <c r="G359" s="249">
        <v>0.6</v>
      </c>
      <c r="H359" s="249">
        <v>2.2200000000000002</v>
      </c>
      <c r="I359" s="249"/>
      <c r="J359" s="249"/>
      <c r="K359" s="249">
        <f>TRUNC(G359*H359,2)</f>
        <v>1.33</v>
      </c>
      <c r="L359" s="250"/>
      <c r="N359" s="149"/>
      <c r="O359" s="149"/>
      <c r="P359" s="149"/>
      <c r="Q359" s="149"/>
      <c r="R359" s="149"/>
      <c r="S359" s="149"/>
      <c r="T359" s="149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1:248" x14ac:dyDescent="0.25">
      <c r="A360" s="251"/>
      <c r="B360" s="210"/>
      <c r="C360" s="210"/>
      <c r="D360" s="210"/>
      <c r="E360" s="210"/>
      <c r="F360" s="254"/>
      <c r="G360" s="249"/>
      <c r="H360" s="249"/>
      <c r="I360" s="249"/>
      <c r="J360" s="249"/>
      <c r="K360" s="249"/>
      <c r="L360" s="250"/>
      <c r="N360" s="149"/>
      <c r="O360" s="149"/>
      <c r="P360" s="149"/>
      <c r="Q360" s="149"/>
      <c r="R360" s="149"/>
      <c r="S360" s="149"/>
      <c r="T360" s="149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1:248" x14ac:dyDescent="0.25">
      <c r="A361" s="488" t="s">
        <v>163</v>
      </c>
      <c r="B361" s="489"/>
      <c r="C361" s="489"/>
      <c r="D361" s="489"/>
      <c r="E361" s="489"/>
      <c r="F361" s="490"/>
      <c r="G361" s="490"/>
      <c r="H361" s="490"/>
      <c r="I361" s="490"/>
      <c r="J361" s="490"/>
      <c r="K361" s="266">
        <f>SUM(K358:K360)</f>
        <v>4.8499999999999996</v>
      </c>
      <c r="L361" s="250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1:248" s="150" customFormat="1" ht="20.100000000000001" customHeight="1" x14ac:dyDescent="0.25">
      <c r="A362" s="484" t="s">
        <v>709</v>
      </c>
      <c r="B362" s="484"/>
      <c r="C362" s="484"/>
      <c r="D362" s="484"/>
      <c r="E362" s="485"/>
      <c r="F362" s="485"/>
      <c r="G362" s="485"/>
      <c r="H362" s="485"/>
      <c r="I362" s="485"/>
      <c r="J362" s="485"/>
      <c r="K362" s="485"/>
      <c r="L362" s="250"/>
    </row>
    <row r="363" spans="1:248" s="120" customFormat="1" ht="20.100000000000001" customHeight="1" x14ac:dyDescent="0.25">
      <c r="A363" s="473" t="s">
        <v>710</v>
      </c>
      <c r="B363" s="473"/>
      <c r="C363" s="473"/>
      <c r="D363" s="473"/>
      <c r="F363" s="119" t="s">
        <v>24</v>
      </c>
      <c r="G363" s="152" t="s">
        <v>708</v>
      </c>
      <c r="H363" s="152" t="s">
        <v>706</v>
      </c>
      <c r="J363" s="152" t="s">
        <v>215</v>
      </c>
      <c r="K363" s="153" t="s">
        <v>50</v>
      </c>
      <c r="L363" s="250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</row>
    <row r="364" spans="1:248" s="149" customFormat="1" ht="20.100000000000001" customHeight="1" x14ac:dyDescent="0.25">
      <c r="A364" s="483"/>
      <c r="B364" s="483"/>
      <c r="C364" s="483"/>
      <c r="D364" s="483"/>
      <c r="F364" s="146"/>
      <c r="G364" s="156">
        <v>5</v>
      </c>
      <c r="H364" s="156">
        <v>2.5</v>
      </c>
      <c r="J364" s="156">
        <v>1</v>
      </c>
      <c r="K364" s="157">
        <f>TRUNC(G364*H364*J364,2)</f>
        <v>12.5</v>
      </c>
      <c r="L364" s="250"/>
    </row>
    <row r="365" spans="1:248" s="120" customFormat="1" ht="20.100000000000001" customHeight="1" x14ac:dyDescent="0.25">
      <c r="A365" s="473" t="s">
        <v>711</v>
      </c>
      <c r="B365" s="473"/>
      <c r="C365" s="473"/>
      <c r="D365" s="473"/>
      <c r="F365" s="119" t="s">
        <v>24</v>
      </c>
      <c r="G365" s="152" t="s">
        <v>708</v>
      </c>
      <c r="H365" s="152" t="s">
        <v>706</v>
      </c>
      <c r="J365" s="152" t="s">
        <v>215</v>
      </c>
      <c r="K365" s="153" t="s">
        <v>50</v>
      </c>
      <c r="L365" s="250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</row>
    <row r="366" spans="1:248" s="149" customFormat="1" ht="20.100000000000001" customHeight="1" x14ac:dyDescent="0.25">
      <c r="A366" s="483"/>
      <c r="B366" s="483"/>
      <c r="C366" s="483"/>
      <c r="D366" s="483"/>
      <c r="F366" s="146"/>
      <c r="G366" s="156">
        <v>1.2</v>
      </c>
      <c r="H366" s="156">
        <v>0.6</v>
      </c>
      <c r="J366" s="156">
        <v>1</v>
      </c>
      <c r="K366" s="157">
        <f>TRUNC(G366*H366*J366,2)</f>
        <v>0.72</v>
      </c>
      <c r="L366" s="250"/>
    </row>
    <row r="367" spans="1:248" s="120" customFormat="1" ht="20.100000000000001" customHeight="1" x14ac:dyDescent="0.25">
      <c r="A367" s="473" t="s">
        <v>712</v>
      </c>
      <c r="B367" s="473"/>
      <c r="C367" s="473"/>
      <c r="D367" s="473"/>
      <c r="F367" s="119" t="s">
        <v>713</v>
      </c>
      <c r="G367" s="152" t="s">
        <v>708</v>
      </c>
      <c r="H367" s="152" t="s">
        <v>707</v>
      </c>
      <c r="J367" s="152" t="s">
        <v>215</v>
      </c>
      <c r="K367" s="153" t="s">
        <v>50</v>
      </c>
      <c r="L367" s="250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</row>
    <row r="368" spans="1:248" s="160" customFormat="1" ht="35.25" customHeight="1" x14ac:dyDescent="0.25">
      <c r="A368" s="483" t="s">
        <v>714</v>
      </c>
      <c r="B368" s="483"/>
      <c r="C368" s="483"/>
      <c r="D368" s="483"/>
      <c r="F368" s="158">
        <v>24</v>
      </c>
      <c r="G368" s="159"/>
      <c r="H368" s="159"/>
      <c r="J368" s="159">
        <v>10</v>
      </c>
      <c r="K368" s="157">
        <f>J368</f>
        <v>10</v>
      </c>
      <c r="L368" s="250"/>
    </row>
    <row r="369" spans="1:33" s="120" customFormat="1" ht="20.100000000000001" customHeight="1" x14ac:dyDescent="0.25">
      <c r="A369" s="473" t="s">
        <v>715</v>
      </c>
      <c r="B369" s="473"/>
      <c r="C369" s="473"/>
      <c r="D369" s="473"/>
      <c r="F369" s="119" t="s">
        <v>713</v>
      </c>
      <c r="G369" s="152" t="s">
        <v>708</v>
      </c>
      <c r="H369" s="152" t="s">
        <v>707</v>
      </c>
      <c r="J369" s="152" t="s">
        <v>215</v>
      </c>
      <c r="K369" s="153" t="s">
        <v>50</v>
      </c>
      <c r="L369" s="250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</row>
    <row r="370" spans="1:33" s="160" customFormat="1" x14ac:dyDescent="0.25">
      <c r="A370" s="483" t="s">
        <v>716</v>
      </c>
      <c r="B370" s="483"/>
      <c r="C370" s="483"/>
      <c r="D370" s="483"/>
      <c r="F370" s="158"/>
      <c r="G370" s="159"/>
      <c r="H370" s="159"/>
      <c r="J370" s="159">
        <v>10</v>
      </c>
      <c r="K370" s="157">
        <f>J370</f>
        <v>10</v>
      </c>
      <c r="L370" s="250"/>
    </row>
    <row r="371" spans="1:33" s="120" customFormat="1" ht="20.100000000000001" customHeight="1" x14ac:dyDescent="0.25">
      <c r="A371" s="473" t="s">
        <v>717</v>
      </c>
      <c r="B371" s="473"/>
      <c r="C371" s="473"/>
      <c r="D371" s="473"/>
      <c r="F371" s="119" t="s">
        <v>24</v>
      </c>
      <c r="G371" s="152" t="s">
        <v>708</v>
      </c>
      <c r="H371" s="152" t="s">
        <v>707</v>
      </c>
      <c r="J371" s="152" t="s">
        <v>215</v>
      </c>
      <c r="K371" s="153" t="s">
        <v>50</v>
      </c>
      <c r="L371" s="250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</row>
    <row r="372" spans="1:33" s="149" customFormat="1" x14ac:dyDescent="0.25">
      <c r="A372" s="483" t="s">
        <v>718</v>
      </c>
      <c r="B372" s="483"/>
      <c r="C372" s="483"/>
      <c r="D372" s="483"/>
      <c r="F372" s="146"/>
      <c r="G372" s="156">
        <v>4</v>
      </c>
      <c r="H372" s="156">
        <v>3</v>
      </c>
      <c r="J372" s="156">
        <v>1</v>
      </c>
      <c r="K372" s="157">
        <f>H372*G372</f>
        <v>12</v>
      </c>
      <c r="L372" s="250"/>
    </row>
    <row r="373" spans="1:33" s="120" customFormat="1" ht="20.100000000000001" customHeight="1" x14ac:dyDescent="0.25">
      <c r="A373" s="473" t="s">
        <v>719</v>
      </c>
      <c r="B373" s="473"/>
      <c r="C373" s="473"/>
      <c r="D373" s="473"/>
      <c r="F373" s="119" t="s">
        <v>24</v>
      </c>
      <c r="G373" s="152" t="s">
        <v>708</v>
      </c>
      <c r="H373" s="152" t="s">
        <v>707</v>
      </c>
      <c r="J373" s="152" t="s">
        <v>215</v>
      </c>
      <c r="K373" s="153" t="s">
        <v>50</v>
      </c>
      <c r="L373" s="250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</row>
    <row r="374" spans="1:33" s="149" customFormat="1" x14ac:dyDescent="0.25">
      <c r="A374" s="487" t="s">
        <v>720</v>
      </c>
      <c r="B374" s="487"/>
      <c r="C374" s="487"/>
      <c r="D374" s="487"/>
      <c r="F374" s="161"/>
      <c r="G374" s="141">
        <v>4</v>
      </c>
      <c r="H374" s="141">
        <v>3</v>
      </c>
      <c r="J374" s="141">
        <v>1</v>
      </c>
      <c r="K374" s="162">
        <f>H374*G374</f>
        <v>12</v>
      </c>
      <c r="L374" s="250"/>
    </row>
    <row r="375" spans="1:33" s="120" customFormat="1" ht="20.100000000000001" customHeight="1" x14ac:dyDescent="0.25">
      <c r="A375" s="473" t="s">
        <v>723</v>
      </c>
      <c r="B375" s="473"/>
      <c r="C375" s="473"/>
      <c r="D375" s="473"/>
      <c r="F375" s="119"/>
      <c r="G375" s="152"/>
      <c r="H375" s="152"/>
      <c r="J375" s="152" t="s">
        <v>724</v>
      </c>
      <c r="K375" s="153" t="s">
        <v>50</v>
      </c>
      <c r="L375" s="250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</row>
    <row r="376" spans="1:33" s="149" customFormat="1" ht="20.100000000000001" customHeight="1" x14ac:dyDescent="0.25">
      <c r="A376" s="483" t="s">
        <v>723</v>
      </c>
      <c r="B376" s="483"/>
      <c r="C376" s="483"/>
      <c r="D376" s="483"/>
      <c r="F376" s="163"/>
      <c r="G376" s="156"/>
      <c r="H376" s="156"/>
      <c r="J376" s="156">
        <v>1</v>
      </c>
      <c r="K376" s="157">
        <f>J376</f>
        <v>1</v>
      </c>
      <c r="L376" s="250"/>
    </row>
    <row r="377" spans="1:33" s="120" customFormat="1" ht="20.100000000000001" customHeight="1" x14ac:dyDescent="0.25">
      <c r="A377" s="473" t="s">
        <v>725</v>
      </c>
      <c r="B377" s="473"/>
      <c r="C377" s="473"/>
      <c r="D377" s="473"/>
      <c r="F377" s="119"/>
      <c r="G377" s="152"/>
      <c r="H377" s="152"/>
      <c r="J377" s="152" t="s">
        <v>724</v>
      </c>
      <c r="K377" s="153" t="s">
        <v>50</v>
      </c>
      <c r="L377" s="250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</row>
    <row r="378" spans="1:33" s="149" customFormat="1" ht="20.100000000000001" customHeight="1" x14ac:dyDescent="0.25">
      <c r="A378" s="483" t="s">
        <v>726</v>
      </c>
      <c r="B378" s="483"/>
      <c r="C378" s="483"/>
      <c r="D378" s="483"/>
      <c r="F378" s="163"/>
      <c r="G378" s="156"/>
      <c r="H378" s="156"/>
      <c r="J378" s="156">
        <v>1</v>
      </c>
      <c r="K378" s="157">
        <f>J378</f>
        <v>1</v>
      </c>
      <c r="L378" s="250"/>
    </row>
    <row r="379" spans="1:33" s="120" customFormat="1" ht="20.100000000000001" customHeight="1" x14ac:dyDescent="0.25">
      <c r="A379" s="473" t="s">
        <v>727</v>
      </c>
      <c r="B379" s="473"/>
      <c r="C379" s="473"/>
      <c r="D379" s="473"/>
      <c r="F379" s="119" t="s">
        <v>24</v>
      </c>
      <c r="G379" s="152" t="s">
        <v>708</v>
      </c>
      <c r="H379" s="152" t="s">
        <v>706</v>
      </c>
      <c r="J379" s="152" t="s">
        <v>215</v>
      </c>
      <c r="K379" s="153" t="s">
        <v>50</v>
      </c>
      <c r="L379" s="250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</row>
    <row r="380" spans="1:33" s="149" customFormat="1" x14ac:dyDescent="0.25">
      <c r="A380" s="483" t="s">
        <v>728</v>
      </c>
      <c r="B380" s="483"/>
      <c r="C380" s="483"/>
      <c r="D380" s="483"/>
      <c r="F380" s="146"/>
      <c r="G380" s="156">
        <v>20</v>
      </c>
      <c r="H380" s="156">
        <v>2.2000000000000002</v>
      </c>
      <c r="J380" s="156">
        <v>1</v>
      </c>
      <c r="K380" s="157">
        <f>TRUNC(G380*H380*J380,2)</f>
        <v>44</v>
      </c>
      <c r="L380" s="250"/>
    </row>
    <row r="381" spans="1:33" s="120" customFormat="1" ht="20.100000000000001" customHeight="1" x14ac:dyDescent="0.25">
      <c r="A381" s="473" t="s">
        <v>721</v>
      </c>
      <c r="B381" s="473"/>
      <c r="C381" s="473"/>
      <c r="D381" s="473"/>
      <c r="F381" s="119" t="s">
        <v>24</v>
      </c>
      <c r="G381" s="152"/>
      <c r="H381" s="152" t="s">
        <v>705</v>
      </c>
      <c r="J381" s="152"/>
      <c r="K381" s="153" t="s">
        <v>50</v>
      </c>
      <c r="L381" s="250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</row>
    <row r="382" spans="1:33" s="149" customFormat="1" ht="20.100000000000001" customHeight="1" x14ac:dyDescent="0.25">
      <c r="A382" s="483" t="s">
        <v>722</v>
      </c>
      <c r="B382" s="483"/>
      <c r="C382" s="483"/>
      <c r="D382" s="483"/>
      <c r="G382" s="156"/>
      <c r="H382" s="163">
        <f>5*3+27</f>
        <v>42</v>
      </c>
      <c r="J382" s="156"/>
      <c r="K382" s="157">
        <f>H382</f>
        <v>42</v>
      </c>
      <c r="L382" s="250"/>
    </row>
    <row r="383" spans="1:33" s="150" customFormat="1" ht="20.100000000000001" customHeight="1" x14ac:dyDescent="0.25">
      <c r="A383" s="484" t="s">
        <v>729</v>
      </c>
      <c r="B383" s="484"/>
      <c r="C383" s="484"/>
      <c r="D383" s="484"/>
      <c r="E383" s="485"/>
      <c r="F383" s="485"/>
      <c r="G383" s="485"/>
      <c r="H383" s="485"/>
      <c r="I383" s="485"/>
      <c r="J383" s="485"/>
      <c r="K383" s="485"/>
      <c r="L383" s="250"/>
    </row>
    <row r="384" spans="1:33" s="165" customFormat="1" ht="20.100000000000001" customHeight="1" x14ac:dyDescent="0.25">
      <c r="A384" s="486"/>
      <c r="B384" s="486"/>
      <c r="C384" s="486"/>
      <c r="D384" s="486"/>
      <c r="F384" s="215" t="s">
        <v>214</v>
      </c>
      <c r="G384" s="215"/>
      <c r="H384" s="215"/>
      <c r="I384" s="215"/>
      <c r="J384" s="215"/>
      <c r="K384" s="164"/>
      <c r="L384" s="250"/>
      <c r="M384" s="166"/>
      <c r="N384" s="166"/>
      <c r="O384" s="166"/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  <c r="AA384" s="166"/>
      <c r="AB384" s="166"/>
      <c r="AC384" s="166"/>
      <c r="AD384" s="166"/>
      <c r="AE384" s="166"/>
      <c r="AF384" s="166"/>
      <c r="AG384" s="166"/>
    </row>
    <row r="385" spans="1:33" s="120" customFormat="1" ht="20.100000000000001" customHeight="1" x14ac:dyDescent="0.25">
      <c r="A385" s="473" t="s">
        <v>730</v>
      </c>
      <c r="B385" s="473"/>
      <c r="C385" s="473"/>
      <c r="D385" s="473"/>
      <c r="F385" s="119" t="s">
        <v>701</v>
      </c>
      <c r="G385" s="152" t="s">
        <v>708</v>
      </c>
      <c r="H385" s="152" t="s">
        <v>731</v>
      </c>
      <c r="I385" s="152"/>
      <c r="J385" s="152" t="s">
        <v>732</v>
      </c>
      <c r="K385" s="153" t="s">
        <v>50</v>
      </c>
      <c r="L385" s="250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</row>
    <row r="386" spans="1:33" s="212" customFormat="1" ht="20.100000000000001" customHeight="1" x14ac:dyDescent="0.25">
      <c r="A386" s="483" t="s">
        <v>733</v>
      </c>
      <c r="B386" s="483"/>
      <c r="C386" s="483"/>
      <c r="D386" s="483"/>
      <c r="G386" s="156">
        <v>8</v>
      </c>
      <c r="H386" s="156">
        <v>5</v>
      </c>
      <c r="I386" s="156"/>
      <c r="J386" s="156">
        <v>1</v>
      </c>
      <c r="K386" s="157">
        <f>G386*H386</f>
        <v>40</v>
      </c>
      <c r="L386" s="250"/>
    </row>
    <row r="387" spans="1:33" s="154" customFormat="1" ht="20.100000000000001" customHeight="1" x14ac:dyDescent="0.25">
      <c r="A387" s="478" t="s">
        <v>734</v>
      </c>
      <c r="B387" s="478"/>
      <c r="C387" s="478"/>
      <c r="D387" s="478"/>
      <c r="E387" s="478"/>
      <c r="F387" s="478"/>
      <c r="G387" s="478"/>
      <c r="H387" s="478"/>
      <c r="I387" s="478"/>
      <c r="J387" s="478"/>
      <c r="K387" s="481"/>
      <c r="L387" s="250"/>
      <c r="M387" s="149"/>
      <c r="N387" s="149"/>
      <c r="O387" s="149"/>
      <c r="P387" s="149"/>
      <c r="Q387" s="149"/>
      <c r="R387" s="149"/>
    </row>
    <row r="388" spans="1:33" s="154" customFormat="1" ht="20.100000000000001" customHeight="1" x14ac:dyDescent="0.25">
      <c r="A388" s="177" t="s">
        <v>3</v>
      </c>
      <c r="B388" s="171" t="s">
        <v>52</v>
      </c>
      <c r="C388" s="171"/>
      <c r="D388" s="171"/>
      <c r="E388" s="171"/>
      <c r="F388" s="243" t="s">
        <v>25</v>
      </c>
      <c r="G388" s="244"/>
      <c r="H388" s="244"/>
      <c r="I388" s="244" t="s">
        <v>1542</v>
      </c>
      <c r="J388" s="244"/>
      <c r="K388" s="244" t="s">
        <v>50</v>
      </c>
      <c r="L388" s="250"/>
      <c r="M388" s="149"/>
      <c r="N388" s="149"/>
      <c r="O388" s="149"/>
      <c r="P388" s="149"/>
      <c r="Q388" s="149"/>
      <c r="R388" s="149"/>
    </row>
    <row r="389" spans="1:33" s="149" customFormat="1" ht="20.100000000000001" customHeight="1" x14ac:dyDescent="0.25">
      <c r="A389" s="267"/>
      <c r="B389" s="246" t="s">
        <v>1381</v>
      </c>
      <c r="C389" s="246"/>
      <c r="D389" s="246"/>
      <c r="E389" s="246"/>
      <c r="F389" s="268"/>
      <c r="G389" s="269"/>
      <c r="H389" s="269"/>
      <c r="I389" s="249">
        <f>K30*0.1</f>
        <v>57.68</v>
      </c>
      <c r="J389" s="248"/>
      <c r="K389" s="248">
        <f>TRUNC(I389*1.3,2)</f>
        <v>74.98</v>
      </c>
      <c r="L389" s="250"/>
    </row>
    <row r="390" spans="1:33" s="149" customFormat="1" ht="20.100000000000001" customHeight="1" x14ac:dyDescent="0.25">
      <c r="A390" s="267"/>
      <c r="B390" s="246" t="s">
        <v>1404</v>
      </c>
      <c r="C390" s="246"/>
      <c r="D390" s="246"/>
      <c r="E390" s="246"/>
      <c r="F390" s="268"/>
      <c r="G390" s="269"/>
      <c r="H390" s="269"/>
      <c r="I390" s="249">
        <f>K44*0.05</f>
        <v>45.858500000000006</v>
      </c>
      <c r="J390" s="248"/>
      <c r="K390" s="248">
        <f t="shared" ref="K390:K399" si="14">TRUNC(I390*1.3,2)</f>
        <v>59.61</v>
      </c>
      <c r="L390" s="250"/>
    </row>
    <row r="391" spans="1:33" s="149" customFormat="1" ht="20.100000000000001" customHeight="1" x14ac:dyDescent="0.25">
      <c r="A391" s="267"/>
      <c r="B391" s="246" t="s">
        <v>1415</v>
      </c>
      <c r="C391" s="246"/>
      <c r="D391" s="246"/>
      <c r="E391" s="246"/>
      <c r="F391" s="268"/>
      <c r="G391" s="269"/>
      <c r="H391" s="269"/>
      <c r="I391" s="249">
        <f>K67*0.03</f>
        <v>9.1232999999999986</v>
      </c>
      <c r="J391" s="248"/>
      <c r="K391" s="248">
        <f t="shared" si="14"/>
        <v>11.86</v>
      </c>
      <c r="L391" s="250"/>
    </row>
    <row r="392" spans="1:33" s="149" customFormat="1" ht="20.100000000000001" customHeight="1" x14ac:dyDescent="0.25">
      <c r="A392" s="267"/>
      <c r="B392" s="246" t="s">
        <v>1487</v>
      </c>
      <c r="C392" s="246"/>
      <c r="D392" s="246"/>
      <c r="E392" s="246"/>
      <c r="F392" s="268"/>
      <c r="G392" s="269"/>
      <c r="H392" s="269"/>
      <c r="I392" s="249">
        <f>K191*0.1</f>
        <v>42.288000000000004</v>
      </c>
      <c r="J392" s="248"/>
      <c r="K392" s="248">
        <f t="shared" si="14"/>
        <v>54.97</v>
      </c>
      <c r="L392" s="250"/>
    </row>
    <row r="393" spans="1:33" s="149" customFormat="1" ht="20.100000000000001" customHeight="1" x14ac:dyDescent="0.25">
      <c r="A393" s="267"/>
      <c r="B393" s="246" t="s">
        <v>1493</v>
      </c>
      <c r="C393" s="246"/>
      <c r="D393" s="246"/>
      <c r="E393" s="246"/>
      <c r="F393" s="268"/>
      <c r="G393" s="269"/>
      <c r="H393" s="269"/>
      <c r="I393" s="249">
        <f>K212*0.01</f>
        <v>5.1694000000000004</v>
      </c>
      <c r="J393" s="248"/>
      <c r="K393" s="248">
        <f t="shared" si="14"/>
        <v>6.72</v>
      </c>
      <c r="L393" s="250"/>
    </row>
    <row r="394" spans="1:33" s="149" customFormat="1" ht="20.100000000000001" customHeight="1" x14ac:dyDescent="0.25">
      <c r="A394" s="267"/>
      <c r="B394" s="246" t="s">
        <v>1494</v>
      </c>
      <c r="C394" s="246"/>
      <c r="D394" s="246"/>
      <c r="E394" s="246"/>
      <c r="F394" s="268"/>
      <c r="G394" s="269"/>
      <c r="H394" s="269"/>
      <c r="I394" s="249">
        <f>K242*0.01</f>
        <v>2.7383000000000006</v>
      </c>
      <c r="J394" s="248"/>
      <c r="K394" s="248">
        <f t="shared" si="14"/>
        <v>3.55</v>
      </c>
      <c r="L394" s="250"/>
    </row>
    <row r="395" spans="1:33" s="149" customFormat="1" ht="20.100000000000001" customHeight="1" x14ac:dyDescent="0.25">
      <c r="A395" s="267"/>
      <c r="B395" s="246" t="s">
        <v>1495</v>
      </c>
      <c r="C395" s="246"/>
      <c r="D395" s="246"/>
      <c r="E395" s="246"/>
      <c r="F395" s="268"/>
      <c r="G395" s="269"/>
      <c r="H395" s="269"/>
      <c r="I395" s="249">
        <f>K320</f>
        <v>229.95999999999992</v>
      </c>
      <c r="J395" s="248"/>
      <c r="K395" s="248">
        <f t="shared" si="14"/>
        <v>298.94</v>
      </c>
      <c r="L395" s="250"/>
    </row>
    <row r="396" spans="1:33" s="149" customFormat="1" ht="20.100000000000001" customHeight="1" x14ac:dyDescent="0.25">
      <c r="A396" s="267"/>
      <c r="B396" s="246" t="s">
        <v>1523</v>
      </c>
      <c r="C396" s="246"/>
      <c r="D396" s="246"/>
      <c r="E396" s="246"/>
      <c r="F396" s="268"/>
      <c r="G396" s="269"/>
      <c r="H396" s="269"/>
      <c r="I396" s="249">
        <f>96.8*0.01</f>
        <v>0.96799999999999997</v>
      </c>
      <c r="J396" s="248"/>
      <c r="K396" s="248">
        <f>TRUNC(I396*1.3,2)</f>
        <v>1.25</v>
      </c>
      <c r="L396" s="250"/>
    </row>
    <row r="397" spans="1:33" s="149" customFormat="1" ht="20.100000000000001" customHeight="1" x14ac:dyDescent="0.25">
      <c r="A397" s="267"/>
      <c r="B397" s="246" t="s">
        <v>1526</v>
      </c>
      <c r="C397" s="246"/>
      <c r="D397" s="246"/>
      <c r="E397" s="246"/>
      <c r="F397" s="268"/>
      <c r="G397" s="269"/>
      <c r="H397" s="269"/>
      <c r="I397" s="249">
        <f>K332*0.025</f>
        <v>2.0434999999999999</v>
      </c>
      <c r="J397" s="248"/>
      <c r="K397" s="248">
        <f t="shared" si="14"/>
        <v>2.65</v>
      </c>
      <c r="L397" s="250"/>
    </row>
    <row r="398" spans="1:33" s="166" customFormat="1" ht="20.100000000000001" customHeight="1" x14ac:dyDescent="0.25">
      <c r="A398" s="245"/>
      <c r="B398" s="246" t="s">
        <v>1531</v>
      </c>
      <c r="C398" s="246"/>
      <c r="D398" s="246"/>
      <c r="E398" s="246"/>
      <c r="F398" s="247"/>
      <c r="G398" s="248"/>
      <c r="H398" s="249"/>
      <c r="I398" s="249">
        <f>92.57*0.02</f>
        <v>1.8513999999999999</v>
      </c>
      <c r="J398" s="248"/>
      <c r="K398" s="248">
        <f t="shared" si="14"/>
        <v>2.4</v>
      </c>
      <c r="L398" s="250"/>
    </row>
    <row r="399" spans="1:33" s="166" customFormat="1" ht="20.100000000000001" customHeight="1" x14ac:dyDescent="0.25">
      <c r="A399" s="245"/>
      <c r="B399" s="482" t="s">
        <v>1533</v>
      </c>
      <c r="C399" s="482"/>
      <c r="D399" s="482"/>
      <c r="E399" s="482"/>
      <c r="F399" s="247"/>
      <c r="G399" s="248"/>
      <c r="H399" s="249"/>
      <c r="I399" s="249">
        <f>K355*0.03</f>
        <v>0.52979999999999994</v>
      </c>
      <c r="J399" s="248"/>
      <c r="K399" s="248">
        <f t="shared" si="14"/>
        <v>0.68</v>
      </c>
      <c r="L399" s="250"/>
    </row>
    <row r="400" spans="1:33" s="154" customFormat="1" ht="18.75" customHeight="1" x14ac:dyDescent="0.25">
      <c r="A400" s="470" t="s">
        <v>163</v>
      </c>
      <c r="B400" s="471"/>
      <c r="C400" s="471"/>
      <c r="D400" s="471"/>
      <c r="E400" s="471"/>
      <c r="F400" s="472"/>
      <c r="G400" s="472"/>
      <c r="H400" s="472"/>
      <c r="I400" s="472"/>
      <c r="J400" s="472"/>
      <c r="K400" s="252">
        <f>SUM(K389:K399)</f>
        <v>517.6099999999999</v>
      </c>
      <c r="L400" s="250"/>
      <c r="M400" s="149"/>
      <c r="N400" s="149"/>
      <c r="O400" s="149"/>
      <c r="P400" s="149"/>
      <c r="Q400" s="149"/>
      <c r="R400" s="149"/>
    </row>
    <row r="401" spans="1:18" s="154" customFormat="1" ht="20.100000000000001" customHeight="1" x14ac:dyDescent="0.25">
      <c r="A401" s="177" t="s">
        <v>3</v>
      </c>
      <c r="B401" s="171" t="s">
        <v>1543</v>
      </c>
      <c r="C401" s="171"/>
      <c r="D401" s="171"/>
      <c r="E401" s="171"/>
      <c r="F401" s="243" t="s">
        <v>25</v>
      </c>
      <c r="G401" s="244" t="s">
        <v>1496</v>
      </c>
      <c r="H401" s="244" t="s">
        <v>1417</v>
      </c>
      <c r="I401" s="244" t="s">
        <v>1418</v>
      </c>
      <c r="J401" s="244" t="s">
        <v>1497</v>
      </c>
      <c r="K401" s="244" t="s">
        <v>50</v>
      </c>
      <c r="L401" s="250"/>
      <c r="M401" s="149"/>
      <c r="N401" s="149"/>
      <c r="O401" s="149"/>
      <c r="P401" s="149"/>
      <c r="Q401" s="149"/>
      <c r="R401" s="149"/>
    </row>
    <row r="402" spans="1:18" s="166" customFormat="1" ht="20.100000000000001" customHeight="1" x14ac:dyDescent="0.25">
      <c r="A402" s="245"/>
      <c r="B402" s="246" t="s">
        <v>1544</v>
      </c>
      <c r="C402" s="246"/>
      <c r="D402" s="246"/>
      <c r="E402" s="246"/>
      <c r="F402" s="247"/>
      <c r="G402" s="248"/>
      <c r="H402" s="249"/>
      <c r="I402" s="249"/>
      <c r="J402" s="248"/>
      <c r="K402" s="249">
        <f>K400*10</f>
        <v>5176.0999999999985</v>
      </c>
      <c r="L402" s="250"/>
    </row>
    <row r="403" spans="1:18" s="154" customFormat="1" ht="18.75" customHeight="1" x14ac:dyDescent="0.25">
      <c r="A403" s="470" t="s">
        <v>163</v>
      </c>
      <c r="B403" s="471"/>
      <c r="C403" s="471"/>
      <c r="D403" s="471"/>
      <c r="E403" s="471"/>
      <c r="F403" s="472"/>
      <c r="G403" s="472"/>
      <c r="H403" s="472"/>
      <c r="I403" s="472"/>
      <c r="J403" s="472"/>
      <c r="K403" s="252">
        <f>K402</f>
        <v>5176.0999999999985</v>
      </c>
      <c r="L403" s="250"/>
      <c r="M403" s="149"/>
      <c r="N403" s="149"/>
      <c r="O403" s="149"/>
      <c r="P403" s="149"/>
      <c r="Q403" s="149"/>
      <c r="R403" s="149"/>
    </row>
    <row r="404" spans="1:18" s="154" customFormat="1" ht="20.100000000000001" customHeight="1" x14ac:dyDescent="0.25">
      <c r="A404" s="478" t="s">
        <v>1545</v>
      </c>
      <c r="B404" s="478"/>
      <c r="C404" s="478"/>
      <c r="D404" s="478"/>
      <c r="E404" s="478"/>
      <c r="F404" s="478"/>
      <c r="G404" s="478"/>
      <c r="H404" s="478"/>
      <c r="I404" s="478"/>
      <c r="J404" s="478"/>
      <c r="K404" s="478"/>
      <c r="L404" s="250"/>
      <c r="M404" s="149"/>
      <c r="N404" s="149"/>
      <c r="O404" s="149"/>
      <c r="P404" s="149"/>
      <c r="Q404" s="149"/>
      <c r="R404" s="149"/>
    </row>
    <row r="405" spans="1:18" s="154" customFormat="1" ht="20.100000000000001" customHeight="1" x14ac:dyDescent="0.25">
      <c r="A405" s="177" t="s">
        <v>3</v>
      </c>
      <c r="B405" s="171" t="s">
        <v>1546</v>
      </c>
      <c r="C405" s="171"/>
      <c r="D405" s="171"/>
      <c r="E405" s="171"/>
      <c r="F405" s="243" t="s">
        <v>24</v>
      </c>
      <c r="G405" s="244" t="s">
        <v>1496</v>
      </c>
      <c r="H405" s="244" t="s">
        <v>1417</v>
      </c>
      <c r="I405" s="244" t="s">
        <v>705</v>
      </c>
      <c r="J405" s="244" t="s">
        <v>1547</v>
      </c>
      <c r="K405" s="244" t="s">
        <v>50</v>
      </c>
      <c r="L405" s="250"/>
      <c r="M405" s="149"/>
      <c r="N405" s="149"/>
      <c r="O405" s="149"/>
      <c r="P405" s="149"/>
      <c r="Q405" s="149"/>
      <c r="R405" s="149"/>
    </row>
    <row r="406" spans="1:18" s="154" customFormat="1" ht="20.100000000000001" customHeight="1" x14ac:dyDescent="0.25">
      <c r="A406" s="475" t="s">
        <v>1382</v>
      </c>
      <c r="B406" s="476"/>
      <c r="C406" s="476"/>
      <c r="D406" s="476"/>
      <c r="E406" s="476"/>
      <c r="F406" s="476"/>
      <c r="G406" s="476"/>
      <c r="H406" s="476"/>
      <c r="I406" s="476"/>
      <c r="J406" s="476"/>
      <c r="K406" s="477"/>
      <c r="L406" s="250"/>
      <c r="M406" s="149"/>
      <c r="N406" s="149"/>
      <c r="O406" s="149"/>
      <c r="P406" s="149"/>
      <c r="Q406" s="149"/>
      <c r="R406" s="149"/>
    </row>
    <row r="407" spans="1:18" s="166" customFormat="1" ht="20.100000000000001" customHeight="1" x14ac:dyDescent="0.25">
      <c r="A407" s="245"/>
      <c r="B407" s="246" t="s">
        <v>1501</v>
      </c>
      <c r="C407" s="246"/>
      <c r="D407" s="246"/>
      <c r="E407" s="246"/>
      <c r="F407" s="247"/>
      <c r="G407" s="248">
        <v>0.9</v>
      </c>
      <c r="H407" s="249">
        <v>2.1</v>
      </c>
      <c r="I407" s="249"/>
      <c r="J407" s="248"/>
      <c r="K407" s="249">
        <f>TRUNC(G407*H407,2)</f>
        <v>1.89</v>
      </c>
      <c r="L407" s="250"/>
    </row>
    <row r="408" spans="1:18" s="166" customFormat="1" ht="20.100000000000001" customHeight="1" x14ac:dyDescent="0.25">
      <c r="A408" s="245"/>
      <c r="B408" s="246" t="s">
        <v>1548</v>
      </c>
      <c r="C408" s="246"/>
      <c r="D408" s="246"/>
      <c r="E408" s="246"/>
      <c r="F408" s="247"/>
      <c r="G408" s="248">
        <v>0.6</v>
      </c>
      <c r="H408" s="249">
        <v>0.6</v>
      </c>
      <c r="I408" s="249"/>
      <c r="J408" s="248"/>
      <c r="K408" s="249">
        <f>TRUNC(G408*H408,2)</f>
        <v>0.36</v>
      </c>
      <c r="L408" s="250"/>
    </row>
    <row r="409" spans="1:18" s="166" customFormat="1" ht="20.100000000000001" customHeight="1" x14ac:dyDescent="0.25">
      <c r="A409" s="245"/>
      <c r="B409" s="246" t="s">
        <v>1549</v>
      </c>
      <c r="C409" s="246"/>
      <c r="D409" s="246"/>
      <c r="E409" s="246"/>
      <c r="F409" s="247"/>
      <c r="G409" s="248">
        <v>2.35</v>
      </c>
      <c r="H409" s="249">
        <v>3.3</v>
      </c>
      <c r="I409" s="249"/>
      <c r="J409" s="248"/>
      <c r="K409" s="249">
        <f>TRUNC(G409*H409,2)</f>
        <v>7.75</v>
      </c>
      <c r="L409" s="250"/>
    </row>
    <row r="410" spans="1:18" s="166" customFormat="1" ht="20.100000000000001" customHeight="1" x14ac:dyDescent="0.25">
      <c r="A410" s="245"/>
      <c r="B410" s="246" t="s">
        <v>1550</v>
      </c>
      <c r="C410" s="246"/>
      <c r="D410" s="246"/>
      <c r="E410" s="246"/>
      <c r="F410" s="247"/>
      <c r="G410" s="248">
        <v>0.6</v>
      </c>
      <c r="H410" s="249">
        <v>0.6</v>
      </c>
      <c r="I410" s="249"/>
      <c r="J410" s="248">
        <v>9</v>
      </c>
      <c r="K410" s="249">
        <f>TRUNC(G410*H410*J410,2)</f>
        <v>3.24</v>
      </c>
      <c r="L410" s="250"/>
    </row>
    <row r="411" spans="1:18" s="149" customFormat="1" ht="12.75" customHeight="1" x14ac:dyDescent="0.25">
      <c r="A411" s="245"/>
      <c r="B411" s="246" t="s">
        <v>1551</v>
      </c>
      <c r="C411" s="246"/>
      <c r="D411" s="246"/>
      <c r="E411" s="246"/>
      <c r="F411" s="247"/>
      <c r="G411" s="248"/>
      <c r="H411" s="249"/>
      <c r="I411" s="249">
        <v>9.68</v>
      </c>
      <c r="J411" s="248"/>
      <c r="K411" s="249">
        <f>I411</f>
        <v>9.68</v>
      </c>
      <c r="L411" s="250"/>
    </row>
    <row r="412" spans="1:18" s="154" customFormat="1" ht="20.100000000000001" customHeight="1" x14ac:dyDescent="0.25">
      <c r="A412" s="475" t="s">
        <v>1384</v>
      </c>
      <c r="B412" s="476"/>
      <c r="C412" s="476"/>
      <c r="D412" s="476"/>
      <c r="E412" s="476"/>
      <c r="F412" s="476"/>
      <c r="G412" s="476"/>
      <c r="H412" s="476"/>
      <c r="I412" s="476"/>
      <c r="J412" s="476"/>
      <c r="K412" s="477"/>
      <c r="L412" s="250"/>
      <c r="M412" s="149"/>
      <c r="N412" s="149"/>
      <c r="O412" s="149"/>
      <c r="P412" s="149"/>
      <c r="Q412" s="149"/>
      <c r="R412" s="149"/>
    </row>
    <row r="413" spans="1:18" s="166" customFormat="1" ht="20.100000000000001" customHeight="1" x14ac:dyDescent="0.25">
      <c r="A413" s="245"/>
      <c r="B413" s="246" t="s">
        <v>811</v>
      </c>
      <c r="C413" s="246"/>
      <c r="D413" s="246"/>
      <c r="E413" s="246"/>
      <c r="F413" s="247"/>
      <c r="G413" s="248">
        <f>4.6+1.99</f>
        <v>6.59</v>
      </c>
      <c r="H413" s="249">
        <v>3.3</v>
      </c>
      <c r="I413" s="249">
        <f>0.9*2.1</f>
        <v>1.8900000000000001</v>
      </c>
      <c r="J413" s="248"/>
      <c r="K413" s="249">
        <f>TRUNC(G413*H413-I413,2)</f>
        <v>19.850000000000001</v>
      </c>
      <c r="L413" s="250"/>
    </row>
    <row r="414" spans="1:18" s="166" customFormat="1" ht="20.100000000000001" customHeight="1" x14ac:dyDescent="0.25">
      <c r="A414" s="245"/>
      <c r="B414" s="246" t="s">
        <v>1552</v>
      </c>
      <c r="C414" s="246"/>
      <c r="D414" s="246"/>
      <c r="E414" s="246"/>
      <c r="F414" s="247"/>
      <c r="G414" s="248">
        <f>1+2.05</f>
        <v>3.05</v>
      </c>
      <c r="H414" s="249">
        <v>3.3</v>
      </c>
      <c r="I414" s="249"/>
      <c r="J414" s="248"/>
      <c r="K414" s="249">
        <f>TRUNC(G414*H414,2)</f>
        <v>10.06</v>
      </c>
      <c r="L414" s="250"/>
    </row>
    <row r="415" spans="1:18" s="166" customFormat="1" ht="20.100000000000001" customHeight="1" x14ac:dyDescent="0.25">
      <c r="A415" s="245"/>
      <c r="B415" s="246" t="s">
        <v>1552</v>
      </c>
      <c r="C415" s="246"/>
      <c r="D415" s="246"/>
      <c r="E415" s="246"/>
      <c r="F415" s="247"/>
      <c r="G415" s="248">
        <v>0.9</v>
      </c>
      <c r="H415" s="249">
        <v>2.1</v>
      </c>
      <c r="I415" s="249"/>
      <c r="J415" s="248"/>
      <c r="K415" s="249">
        <f>TRUNC(G415*H415,2)</f>
        <v>1.89</v>
      </c>
      <c r="L415" s="250"/>
    </row>
    <row r="416" spans="1:18" s="166" customFormat="1" ht="20.100000000000001" customHeight="1" x14ac:dyDescent="0.25">
      <c r="A416" s="245"/>
      <c r="B416" s="246" t="s">
        <v>1553</v>
      </c>
      <c r="C416" s="246"/>
      <c r="D416" s="246"/>
      <c r="E416" s="246"/>
      <c r="F416" s="247"/>
      <c r="G416" s="248">
        <v>1.7</v>
      </c>
      <c r="H416" s="249">
        <v>2.1</v>
      </c>
      <c r="I416" s="249"/>
      <c r="J416" s="248"/>
      <c r="K416" s="249">
        <f t="shared" ref="K416:K418" si="15">TRUNC(G416*H416,2)</f>
        <v>3.57</v>
      </c>
      <c r="L416" s="250"/>
    </row>
    <row r="417" spans="1:18" s="149" customFormat="1" ht="18.75" customHeight="1" x14ac:dyDescent="0.25">
      <c r="A417" s="245"/>
      <c r="B417" s="246" t="s">
        <v>1554</v>
      </c>
      <c r="C417" s="246"/>
      <c r="D417" s="246"/>
      <c r="E417" s="246"/>
      <c r="F417" s="247"/>
      <c r="G417" s="248">
        <v>0.9</v>
      </c>
      <c r="H417" s="249">
        <v>2.1</v>
      </c>
      <c r="I417" s="249"/>
      <c r="J417" s="248"/>
      <c r="K417" s="249">
        <f t="shared" si="15"/>
        <v>1.89</v>
      </c>
      <c r="L417" s="250"/>
    </row>
    <row r="418" spans="1:18" s="149" customFormat="1" ht="18.75" customHeight="1" x14ac:dyDescent="0.25">
      <c r="A418" s="245"/>
      <c r="B418" s="246" t="s">
        <v>1555</v>
      </c>
      <c r="C418" s="246"/>
      <c r="D418" s="246"/>
      <c r="E418" s="246"/>
      <c r="F418" s="247"/>
      <c r="G418" s="248">
        <v>2.2999999999999998</v>
      </c>
      <c r="H418" s="249">
        <v>3.3</v>
      </c>
      <c r="I418" s="249"/>
      <c r="J418" s="248"/>
      <c r="K418" s="249">
        <f t="shared" si="15"/>
        <v>7.59</v>
      </c>
      <c r="L418" s="250"/>
    </row>
    <row r="419" spans="1:18" s="149" customFormat="1" ht="18.75" customHeight="1" x14ac:dyDescent="0.25">
      <c r="A419" s="245"/>
      <c r="B419" s="246" t="s">
        <v>1551</v>
      </c>
      <c r="C419" s="246"/>
      <c r="D419" s="246"/>
      <c r="E419" s="246"/>
      <c r="F419" s="247"/>
      <c r="G419" s="248"/>
      <c r="H419" s="249"/>
      <c r="I419" s="249"/>
      <c r="J419" s="248"/>
      <c r="K419" s="249">
        <v>9.68</v>
      </c>
      <c r="L419" s="250"/>
    </row>
    <row r="420" spans="1:18" s="149" customFormat="1" ht="18.75" customHeight="1" x14ac:dyDescent="0.25">
      <c r="A420" s="245"/>
      <c r="B420" s="246" t="s">
        <v>1391</v>
      </c>
      <c r="C420" s="246"/>
      <c r="D420" s="246"/>
      <c r="E420" s="246"/>
      <c r="F420" s="247"/>
      <c r="G420" s="248">
        <f>2*5.05</f>
        <v>10.1</v>
      </c>
      <c r="H420" s="249">
        <v>3.3</v>
      </c>
      <c r="I420" s="249">
        <f>2*1.1</f>
        <v>2.2000000000000002</v>
      </c>
      <c r="J420" s="248"/>
      <c r="K420" s="249">
        <f>TRUNC(G420*H420-I420,2)</f>
        <v>31.13</v>
      </c>
      <c r="L420" s="250"/>
    </row>
    <row r="421" spans="1:18" s="149" customFormat="1" ht="18.75" customHeight="1" x14ac:dyDescent="0.25">
      <c r="A421" s="245"/>
      <c r="B421" s="246" t="s">
        <v>1525</v>
      </c>
      <c r="C421" s="246"/>
      <c r="D421" s="246"/>
      <c r="E421" s="246"/>
      <c r="F421" s="247"/>
      <c r="G421" s="248"/>
      <c r="H421" s="249"/>
      <c r="I421" s="249">
        <v>9.68</v>
      </c>
      <c r="J421" s="248"/>
      <c r="K421" s="249">
        <f>I421</f>
        <v>9.68</v>
      </c>
      <c r="L421" s="250"/>
    </row>
    <row r="422" spans="1:18" s="154" customFormat="1" ht="20.100000000000001" customHeight="1" x14ac:dyDescent="0.25">
      <c r="A422" s="475" t="s">
        <v>1409</v>
      </c>
      <c r="B422" s="476"/>
      <c r="C422" s="476"/>
      <c r="D422" s="476"/>
      <c r="E422" s="476"/>
      <c r="F422" s="476"/>
      <c r="G422" s="476"/>
      <c r="H422" s="476"/>
      <c r="I422" s="476"/>
      <c r="J422" s="476"/>
      <c r="K422" s="477"/>
      <c r="L422" s="250"/>
      <c r="M422" s="149"/>
      <c r="N422" s="149"/>
      <c r="O422" s="149"/>
      <c r="P422" s="149"/>
      <c r="Q422" s="149"/>
      <c r="R422" s="149"/>
    </row>
    <row r="423" spans="1:18" s="166" customFormat="1" ht="20.100000000000001" customHeight="1" x14ac:dyDescent="0.25">
      <c r="A423" s="245"/>
      <c r="B423" s="246" t="s">
        <v>1556</v>
      </c>
      <c r="C423" s="246"/>
      <c r="D423" s="246"/>
      <c r="E423" s="246"/>
      <c r="F423" s="247"/>
      <c r="G423" s="248">
        <v>0.9</v>
      </c>
      <c r="H423" s="249">
        <v>2.1</v>
      </c>
      <c r="I423" s="249"/>
      <c r="J423" s="248"/>
      <c r="K423" s="249">
        <f t="shared" ref="K423:K425" si="16">TRUNC(G423*H423-I423,2)</f>
        <v>1.89</v>
      </c>
      <c r="L423" s="250"/>
    </row>
    <row r="424" spans="1:18" s="166" customFormat="1" ht="20.100000000000001" customHeight="1" x14ac:dyDescent="0.25">
      <c r="A424" s="245"/>
      <c r="B424" s="246" t="s">
        <v>1556</v>
      </c>
      <c r="C424" s="246"/>
      <c r="D424" s="246"/>
      <c r="E424" s="246"/>
      <c r="F424" s="247"/>
      <c r="G424" s="248">
        <v>0.9</v>
      </c>
      <c r="H424" s="249">
        <v>2.1</v>
      </c>
      <c r="I424" s="249"/>
      <c r="J424" s="248"/>
      <c r="K424" s="249">
        <f t="shared" si="16"/>
        <v>1.89</v>
      </c>
      <c r="L424" s="250"/>
    </row>
    <row r="425" spans="1:18" s="166" customFormat="1" ht="20.100000000000001" customHeight="1" x14ac:dyDescent="0.25">
      <c r="A425" s="245"/>
      <c r="B425" s="246" t="s">
        <v>1557</v>
      </c>
      <c r="C425" s="246"/>
      <c r="D425" s="246"/>
      <c r="E425" s="246"/>
      <c r="F425" s="247"/>
      <c r="G425" s="248">
        <v>1.4</v>
      </c>
      <c r="H425" s="249">
        <v>0.7</v>
      </c>
      <c r="I425" s="249"/>
      <c r="J425" s="248"/>
      <c r="K425" s="249">
        <f t="shared" si="16"/>
        <v>0.98</v>
      </c>
      <c r="L425" s="250"/>
    </row>
    <row r="426" spans="1:18" s="166" customFormat="1" ht="20.100000000000001" customHeight="1" x14ac:dyDescent="0.25">
      <c r="A426" s="245"/>
      <c r="B426" s="246" t="s">
        <v>813</v>
      </c>
      <c r="C426" s="246"/>
      <c r="D426" s="246"/>
      <c r="E426" s="246"/>
      <c r="F426" s="247"/>
      <c r="G426" s="248">
        <v>1.3</v>
      </c>
      <c r="H426" s="249">
        <v>3.3</v>
      </c>
      <c r="I426" s="249">
        <f>0.9*2.1</f>
        <v>1.8900000000000001</v>
      </c>
      <c r="J426" s="248"/>
      <c r="K426" s="249">
        <f>TRUNC(G426*H426-I426,2)</f>
        <v>2.4</v>
      </c>
      <c r="L426" s="250"/>
    </row>
    <row r="427" spans="1:18" s="149" customFormat="1" ht="18.75" customHeight="1" x14ac:dyDescent="0.25">
      <c r="A427" s="245"/>
      <c r="B427" s="246" t="s">
        <v>1558</v>
      </c>
      <c r="C427" s="246"/>
      <c r="D427" s="246"/>
      <c r="E427" s="246"/>
      <c r="F427" s="247"/>
      <c r="G427" s="248">
        <f>2*2.3</f>
        <v>4.5999999999999996</v>
      </c>
      <c r="H427" s="249">
        <v>1.3</v>
      </c>
      <c r="I427" s="249">
        <f>2.3*0.75*2</f>
        <v>3.4499999999999997</v>
      </c>
      <c r="J427" s="248"/>
      <c r="K427" s="249">
        <f t="shared" ref="K427:K435" si="17">TRUNC(G427*H427-I427,2)</f>
        <v>2.5299999999999998</v>
      </c>
      <c r="L427" s="250"/>
    </row>
    <row r="428" spans="1:18" s="149" customFormat="1" ht="18.75" customHeight="1" x14ac:dyDescent="0.25">
      <c r="A428" s="245"/>
      <c r="B428" s="246" t="s">
        <v>1558</v>
      </c>
      <c r="C428" s="246"/>
      <c r="D428" s="246"/>
      <c r="E428" s="246"/>
      <c r="F428" s="247"/>
      <c r="G428" s="248">
        <f>5*0.8</f>
        <v>4</v>
      </c>
      <c r="H428" s="249">
        <v>2.1</v>
      </c>
      <c r="I428" s="249"/>
      <c r="J428" s="248"/>
      <c r="K428" s="249">
        <f t="shared" si="17"/>
        <v>8.4</v>
      </c>
      <c r="L428" s="250"/>
    </row>
    <row r="429" spans="1:18" s="149" customFormat="1" ht="18.75" customHeight="1" x14ac:dyDescent="0.25">
      <c r="A429" s="245"/>
      <c r="B429" s="246" t="s">
        <v>1558</v>
      </c>
      <c r="C429" s="246"/>
      <c r="D429" s="246"/>
      <c r="E429" s="246"/>
      <c r="F429" s="247"/>
      <c r="G429" s="248">
        <f>2.3</f>
        <v>2.2999999999999998</v>
      </c>
      <c r="H429" s="249">
        <v>1.3</v>
      </c>
      <c r="I429" s="249"/>
      <c r="J429" s="248"/>
      <c r="K429" s="249">
        <f t="shared" si="17"/>
        <v>2.99</v>
      </c>
      <c r="L429" s="250"/>
    </row>
    <row r="430" spans="1:18" s="166" customFormat="1" ht="20.100000000000001" customHeight="1" x14ac:dyDescent="0.25">
      <c r="A430" s="245"/>
      <c r="B430" s="246" t="s">
        <v>1559</v>
      </c>
      <c r="C430" s="246"/>
      <c r="D430" s="246"/>
      <c r="E430" s="246"/>
      <c r="F430" s="247"/>
      <c r="G430" s="248">
        <v>0.9</v>
      </c>
      <c r="H430" s="249">
        <v>2.1</v>
      </c>
      <c r="I430" s="249"/>
      <c r="J430" s="248"/>
      <c r="K430" s="249">
        <f t="shared" si="17"/>
        <v>1.89</v>
      </c>
      <c r="L430" s="250"/>
    </row>
    <row r="431" spans="1:18" s="166" customFormat="1" ht="20.100000000000001" customHeight="1" x14ac:dyDescent="0.25">
      <c r="A431" s="245"/>
      <c r="B431" s="246" t="s">
        <v>1439</v>
      </c>
      <c r="C431" s="246"/>
      <c r="D431" s="246"/>
      <c r="E431" s="246"/>
      <c r="F431" s="247"/>
      <c r="G431" s="248">
        <v>0.9</v>
      </c>
      <c r="H431" s="249">
        <v>2.1</v>
      </c>
      <c r="I431" s="249"/>
      <c r="J431" s="248"/>
      <c r="K431" s="249">
        <f t="shared" si="17"/>
        <v>1.89</v>
      </c>
      <c r="L431" s="250"/>
    </row>
    <row r="432" spans="1:18" s="149" customFormat="1" ht="18.75" customHeight="1" x14ac:dyDescent="0.25">
      <c r="A432" s="245"/>
      <c r="B432" s="246" t="s">
        <v>1560</v>
      </c>
      <c r="C432" s="246"/>
      <c r="D432" s="246"/>
      <c r="E432" s="246"/>
      <c r="F432" s="247"/>
      <c r="G432" s="248">
        <v>2.35</v>
      </c>
      <c r="H432" s="249">
        <v>3.3</v>
      </c>
      <c r="I432" s="249">
        <f>0.9*2.1</f>
        <v>1.8900000000000001</v>
      </c>
      <c r="J432" s="248"/>
      <c r="K432" s="249">
        <f t="shared" si="17"/>
        <v>5.86</v>
      </c>
      <c r="L432" s="250"/>
    </row>
    <row r="433" spans="1:22" s="149" customFormat="1" ht="18.75" customHeight="1" x14ac:dyDescent="0.25">
      <c r="A433" s="245"/>
      <c r="B433" s="246" t="s">
        <v>1561</v>
      </c>
      <c r="C433" s="246"/>
      <c r="D433" s="246"/>
      <c r="E433" s="246"/>
      <c r="F433" s="247"/>
      <c r="G433" s="248">
        <v>0.9</v>
      </c>
      <c r="H433" s="249">
        <v>2.1</v>
      </c>
      <c r="I433" s="249"/>
      <c r="J433" s="248"/>
      <c r="K433" s="249">
        <f t="shared" si="17"/>
        <v>1.89</v>
      </c>
      <c r="L433" s="250"/>
    </row>
    <row r="434" spans="1:22" s="149" customFormat="1" ht="18.75" customHeight="1" x14ac:dyDescent="0.25">
      <c r="A434" s="245"/>
      <c r="B434" s="246" t="s">
        <v>1562</v>
      </c>
      <c r="C434" s="246"/>
      <c r="D434" s="246"/>
      <c r="E434" s="246"/>
      <c r="F434" s="247"/>
      <c r="G434" s="248">
        <v>2.2999999999999998</v>
      </c>
      <c r="H434" s="249">
        <v>3.3</v>
      </c>
      <c r="I434" s="249"/>
      <c r="J434" s="248"/>
      <c r="K434" s="249">
        <f t="shared" si="17"/>
        <v>7.59</v>
      </c>
      <c r="L434" s="250"/>
    </row>
    <row r="435" spans="1:22" s="149" customFormat="1" ht="18.75" customHeight="1" x14ac:dyDescent="0.25">
      <c r="A435" s="245"/>
      <c r="B435" s="246" t="s">
        <v>1563</v>
      </c>
      <c r="C435" s="246"/>
      <c r="D435" s="246"/>
      <c r="E435" s="246"/>
      <c r="F435" s="247"/>
      <c r="G435" s="248">
        <v>1.75</v>
      </c>
      <c r="H435" s="249">
        <v>3.3</v>
      </c>
      <c r="I435" s="249"/>
      <c r="J435" s="248"/>
      <c r="K435" s="249">
        <f t="shared" si="17"/>
        <v>5.77</v>
      </c>
      <c r="L435" s="250"/>
      <c r="V435" s="149">
        <f>45.97*2</f>
        <v>91.94</v>
      </c>
    </row>
    <row r="436" spans="1:22" s="149" customFormat="1" ht="18.75" customHeight="1" x14ac:dyDescent="0.25">
      <c r="A436" s="245"/>
      <c r="B436" s="246" t="s">
        <v>1525</v>
      </c>
      <c r="C436" s="246"/>
      <c r="D436" s="246"/>
      <c r="E436" s="246"/>
      <c r="F436" s="247"/>
      <c r="G436" s="248"/>
      <c r="H436" s="249"/>
      <c r="I436" s="249">
        <v>9.68</v>
      </c>
      <c r="J436" s="248"/>
      <c r="K436" s="249">
        <f>I436</f>
        <v>9.68</v>
      </c>
      <c r="L436" s="250"/>
    </row>
    <row r="437" spans="1:22" s="154" customFormat="1" ht="20.100000000000001" customHeight="1" x14ac:dyDescent="0.25">
      <c r="A437" s="475" t="s">
        <v>1411</v>
      </c>
      <c r="B437" s="476"/>
      <c r="C437" s="476"/>
      <c r="D437" s="476"/>
      <c r="E437" s="476"/>
      <c r="F437" s="476"/>
      <c r="G437" s="476"/>
      <c r="H437" s="476"/>
      <c r="I437" s="476"/>
      <c r="J437" s="476"/>
      <c r="K437" s="477"/>
      <c r="L437" s="250"/>
      <c r="M437" s="149"/>
      <c r="N437" s="149"/>
      <c r="O437" s="149"/>
      <c r="P437" s="149"/>
      <c r="Q437" s="149"/>
      <c r="R437" s="149"/>
    </row>
    <row r="438" spans="1:22" s="166" customFormat="1" ht="20.100000000000001" customHeight="1" x14ac:dyDescent="0.25">
      <c r="A438" s="245"/>
      <c r="B438" s="246" t="s">
        <v>811</v>
      </c>
      <c r="C438" s="246"/>
      <c r="D438" s="246"/>
      <c r="E438" s="246"/>
      <c r="F438" s="247"/>
      <c r="G438" s="248">
        <v>0.9</v>
      </c>
      <c r="H438" s="249">
        <v>2.1</v>
      </c>
      <c r="I438" s="249"/>
      <c r="J438" s="248"/>
      <c r="K438" s="249">
        <f t="shared" ref="K438:K440" si="18">TRUNC(G438*H438-I438,2)</f>
        <v>1.89</v>
      </c>
      <c r="L438" s="250"/>
    </row>
    <row r="439" spans="1:22" s="166" customFormat="1" ht="20.100000000000001" customHeight="1" x14ac:dyDescent="0.25">
      <c r="A439" s="245"/>
      <c r="B439" s="246" t="s">
        <v>1564</v>
      </c>
      <c r="C439" s="246"/>
      <c r="D439" s="246"/>
      <c r="E439" s="246"/>
      <c r="F439" s="247"/>
      <c r="G439" s="248">
        <v>0.9</v>
      </c>
      <c r="H439" s="249">
        <v>2.1</v>
      </c>
      <c r="I439" s="249"/>
      <c r="J439" s="248"/>
      <c r="K439" s="249">
        <f t="shared" si="18"/>
        <v>1.89</v>
      </c>
      <c r="L439" s="250"/>
    </row>
    <row r="440" spans="1:22" s="166" customFormat="1" ht="20.100000000000001" customHeight="1" x14ac:dyDescent="0.25">
      <c r="A440" s="245"/>
      <c r="B440" s="246" t="s">
        <v>1565</v>
      </c>
      <c r="C440" s="246"/>
      <c r="D440" s="246"/>
      <c r="E440" s="246"/>
      <c r="F440" s="247"/>
      <c r="G440" s="248">
        <v>2.5499999999999998</v>
      </c>
      <c r="H440" s="249">
        <v>3.3</v>
      </c>
      <c r="I440" s="249"/>
      <c r="J440" s="248"/>
      <c r="K440" s="249">
        <f t="shared" si="18"/>
        <v>8.41</v>
      </c>
      <c r="L440" s="250"/>
    </row>
    <row r="441" spans="1:22" s="166" customFormat="1" ht="20.100000000000001" customHeight="1" x14ac:dyDescent="0.25">
      <c r="A441" s="245"/>
      <c r="B441" s="246" t="s">
        <v>1566</v>
      </c>
      <c r="C441" s="246"/>
      <c r="D441" s="246"/>
      <c r="E441" s="246"/>
      <c r="F441" s="247"/>
      <c r="G441" s="248">
        <v>2.2999999999999998</v>
      </c>
      <c r="H441" s="249">
        <v>3.3</v>
      </c>
      <c r="I441" s="249"/>
      <c r="J441" s="248"/>
      <c r="K441" s="249">
        <f>TRUNC(G441*H441-I441,2)</f>
        <v>7.59</v>
      </c>
      <c r="L441" s="250"/>
    </row>
    <row r="442" spans="1:22" s="149" customFormat="1" ht="18.75" customHeight="1" x14ac:dyDescent="0.25">
      <c r="A442" s="245"/>
      <c r="B442" s="246" t="s">
        <v>1525</v>
      </c>
      <c r="C442" s="246"/>
      <c r="D442" s="246"/>
      <c r="E442" s="246"/>
      <c r="F442" s="247"/>
      <c r="G442" s="248"/>
      <c r="H442" s="249"/>
      <c r="I442" s="249">
        <v>9.68</v>
      </c>
      <c r="J442" s="248"/>
      <c r="K442" s="249">
        <f>I442</f>
        <v>9.68</v>
      </c>
      <c r="L442" s="250"/>
    </row>
    <row r="443" spans="1:22" s="154" customFormat="1" ht="20.100000000000001" customHeight="1" x14ac:dyDescent="0.25">
      <c r="A443" s="475" t="s">
        <v>1413</v>
      </c>
      <c r="B443" s="476"/>
      <c r="C443" s="476"/>
      <c r="D443" s="476"/>
      <c r="E443" s="476"/>
      <c r="F443" s="476"/>
      <c r="G443" s="476"/>
      <c r="H443" s="476"/>
      <c r="I443" s="476"/>
      <c r="J443" s="476"/>
      <c r="K443" s="477"/>
      <c r="L443" s="250"/>
      <c r="M443" s="149"/>
      <c r="N443" s="149"/>
      <c r="O443" s="149"/>
      <c r="P443" s="149"/>
      <c r="Q443" s="149"/>
      <c r="R443" s="149"/>
    </row>
    <row r="444" spans="1:22" s="166" customFormat="1" ht="20.100000000000001" customHeight="1" x14ac:dyDescent="0.25">
      <c r="A444" s="245"/>
      <c r="B444" s="246" t="s">
        <v>1567</v>
      </c>
      <c r="C444" s="246"/>
      <c r="D444" s="246"/>
      <c r="E444" s="246"/>
      <c r="F444" s="247"/>
      <c r="G444" s="248">
        <v>0.65</v>
      </c>
      <c r="H444" s="249">
        <v>3.3</v>
      </c>
      <c r="I444" s="249"/>
      <c r="J444" s="248"/>
      <c r="K444" s="249">
        <f t="shared" ref="K444:K453" si="19">TRUNC(G444*H444-I444,2)</f>
        <v>2.14</v>
      </c>
      <c r="L444" s="250"/>
    </row>
    <row r="445" spans="1:22" s="166" customFormat="1" ht="20.100000000000001" customHeight="1" x14ac:dyDescent="0.25">
      <c r="A445" s="245"/>
      <c r="B445" s="246" t="s">
        <v>1568</v>
      </c>
      <c r="C445" s="246"/>
      <c r="D445" s="246"/>
      <c r="E445" s="246"/>
      <c r="F445" s="247"/>
      <c r="G445" s="248">
        <v>0.9</v>
      </c>
      <c r="H445" s="249">
        <v>2.1</v>
      </c>
      <c r="I445" s="249"/>
      <c r="J445" s="248"/>
      <c r="K445" s="249">
        <f t="shared" si="19"/>
        <v>1.89</v>
      </c>
      <c r="L445" s="250"/>
    </row>
    <row r="446" spans="1:22" s="166" customFormat="1" ht="20.100000000000001" customHeight="1" x14ac:dyDescent="0.25">
      <c r="A446" s="245"/>
      <c r="B446" s="246" t="s">
        <v>1568</v>
      </c>
      <c r="C446" s="246"/>
      <c r="D446" s="246"/>
      <c r="E446" s="246"/>
      <c r="F446" s="247"/>
      <c r="G446" s="248">
        <v>1.2</v>
      </c>
      <c r="H446" s="249">
        <v>2.1</v>
      </c>
      <c r="I446" s="249"/>
      <c r="J446" s="248"/>
      <c r="K446" s="249">
        <f t="shared" si="19"/>
        <v>2.52</v>
      </c>
      <c r="L446" s="250"/>
    </row>
    <row r="447" spans="1:22" s="166" customFormat="1" ht="20.100000000000001" customHeight="1" x14ac:dyDescent="0.25">
      <c r="A447" s="245"/>
      <c r="B447" s="246" t="s">
        <v>813</v>
      </c>
      <c r="C447" s="246"/>
      <c r="D447" s="246"/>
      <c r="E447" s="246"/>
      <c r="F447" s="247"/>
      <c r="G447" s="248">
        <v>2.35</v>
      </c>
      <c r="H447" s="249">
        <v>3.3</v>
      </c>
      <c r="I447" s="249">
        <f>2.1*0.9</f>
        <v>1.8900000000000001</v>
      </c>
      <c r="J447" s="248"/>
      <c r="K447" s="249">
        <f t="shared" si="19"/>
        <v>5.86</v>
      </c>
      <c r="L447" s="250"/>
    </row>
    <row r="448" spans="1:22" s="166" customFormat="1" ht="20.100000000000001" customHeight="1" x14ac:dyDescent="0.25">
      <c r="A448" s="245"/>
      <c r="B448" s="246" t="s">
        <v>1568</v>
      </c>
      <c r="C448" s="246"/>
      <c r="D448" s="246"/>
      <c r="E448" s="246"/>
      <c r="F448" s="247"/>
      <c r="G448" s="248">
        <v>0.95</v>
      </c>
      <c r="H448" s="249">
        <v>3.3</v>
      </c>
      <c r="I448" s="249"/>
      <c r="J448" s="248"/>
      <c r="K448" s="249">
        <f t="shared" si="19"/>
        <v>3.13</v>
      </c>
      <c r="L448" s="250"/>
    </row>
    <row r="449" spans="1:23" s="166" customFormat="1" ht="20.100000000000001" customHeight="1" x14ac:dyDescent="0.25">
      <c r="A449" s="245"/>
      <c r="B449" s="246" t="s">
        <v>1511</v>
      </c>
      <c r="C449" s="246"/>
      <c r="D449" s="246"/>
      <c r="E449" s="246"/>
      <c r="F449" s="247"/>
      <c r="G449" s="248">
        <f>2.35+1.75</f>
        <v>4.0999999999999996</v>
      </c>
      <c r="H449" s="249">
        <v>3.3</v>
      </c>
      <c r="I449" s="249">
        <f>2.1*0.9</f>
        <v>1.8900000000000001</v>
      </c>
      <c r="J449" s="248"/>
      <c r="K449" s="249">
        <f t="shared" si="19"/>
        <v>11.64</v>
      </c>
      <c r="L449" s="250"/>
    </row>
    <row r="450" spans="1:23" s="166" customFormat="1" ht="20.100000000000001" customHeight="1" x14ac:dyDescent="0.25">
      <c r="A450" s="245"/>
      <c r="B450" s="246" t="s">
        <v>1568</v>
      </c>
      <c r="C450" s="246"/>
      <c r="D450" s="246"/>
      <c r="E450" s="246"/>
      <c r="F450" s="247"/>
      <c r="G450" s="248">
        <v>0.9</v>
      </c>
      <c r="H450" s="249">
        <v>2.1</v>
      </c>
      <c r="I450" s="249"/>
      <c r="J450" s="248"/>
      <c r="K450" s="249">
        <f t="shared" si="19"/>
        <v>1.89</v>
      </c>
      <c r="L450" s="250"/>
    </row>
    <row r="451" spans="1:23" s="166" customFormat="1" ht="20.100000000000001" customHeight="1" x14ac:dyDescent="0.25">
      <c r="A451" s="245"/>
      <c r="B451" s="246" t="s">
        <v>1569</v>
      </c>
      <c r="C451" s="246"/>
      <c r="D451" s="246"/>
      <c r="E451" s="246"/>
      <c r="F451" s="247"/>
      <c r="G451" s="248">
        <f>2.05+5.35</f>
        <v>7.3999999999999995</v>
      </c>
      <c r="H451" s="249">
        <v>3.3</v>
      </c>
      <c r="I451" s="249"/>
      <c r="J451" s="248"/>
      <c r="K451" s="249">
        <f t="shared" si="19"/>
        <v>24.42</v>
      </c>
      <c r="L451" s="250"/>
    </row>
    <row r="452" spans="1:23" s="166" customFormat="1" ht="20.100000000000001" customHeight="1" x14ac:dyDescent="0.25">
      <c r="A452" s="245"/>
      <c r="B452" s="246" t="s">
        <v>1570</v>
      </c>
      <c r="C452" s="246"/>
      <c r="D452" s="246"/>
      <c r="E452" s="246"/>
      <c r="F452" s="247"/>
      <c r="G452" s="248">
        <f>1.1+1.1</f>
        <v>2.2000000000000002</v>
      </c>
      <c r="H452" s="249">
        <v>3.3</v>
      </c>
      <c r="I452" s="249">
        <f>2.1*0.9</f>
        <v>1.8900000000000001</v>
      </c>
      <c r="J452" s="248"/>
      <c r="K452" s="249">
        <f t="shared" si="19"/>
        <v>5.37</v>
      </c>
      <c r="L452" s="250"/>
    </row>
    <row r="453" spans="1:23" s="166" customFormat="1" ht="20.100000000000001" customHeight="1" x14ac:dyDescent="0.25">
      <c r="A453" s="245"/>
      <c r="B453" s="246" t="s">
        <v>1568</v>
      </c>
      <c r="C453" s="246"/>
      <c r="D453" s="246"/>
      <c r="E453" s="246"/>
      <c r="F453" s="247"/>
      <c r="G453" s="248">
        <v>0.9</v>
      </c>
      <c r="H453" s="249">
        <v>2.1</v>
      </c>
      <c r="I453" s="249"/>
      <c r="J453" s="248"/>
      <c r="K453" s="249">
        <f t="shared" si="19"/>
        <v>1.89</v>
      </c>
      <c r="L453" s="250"/>
    </row>
    <row r="454" spans="1:23" s="149" customFormat="1" ht="18.75" customHeight="1" x14ac:dyDescent="0.25">
      <c r="A454" s="245"/>
      <c r="B454" s="246" t="s">
        <v>1525</v>
      </c>
      <c r="C454" s="246"/>
      <c r="D454" s="246"/>
      <c r="E454" s="246"/>
      <c r="F454" s="247"/>
      <c r="G454" s="248"/>
      <c r="H454" s="249"/>
      <c r="I454" s="249">
        <v>9.68</v>
      </c>
      <c r="J454" s="248"/>
      <c r="K454" s="249">
        <f>I454</f>
        <v>9.68</v>
      </c>
      <c r="L454" s="250"/>
    </row>
    <row r="455" spans="1:23" s="154" customFormat="1" ht="20.100000000000001" customHeight="1" x14ac:dyDescent="0.25">
      <c r="A455" s="475" t="s">
        <v>1402</v>
      </c>
      <c r="B455" s="476"/>
      <c r="C455" s="476"/>
      <c r="D455" s="476"/>
      <c r="E455" s="476"/>
      <c r="F455" s="476"/>
      <c r="G455" s="476"/>
      <c r="H455" s="476"/>
      <c r="I455" s="476"/>
      <c r="J455" s="476"/>
      <c r="K455" s="477"/>
      <c r="L455" s="250"/>
      <c r="M455" s="149"/>
      <c r="N455" s="149"/>
      <c r="O455" s="149"/>
      <c r="P455" s="149"/>
      <c r="Q455" s="149"/>
      <c r="R455" s="149"/>
    </row>
    <row r="456" spans="1:23" s="154" customFormat="1" ht="20.100000000000001" customHeight="1" x14ac:dyDescent="0.25">
      <c r="A456" s="245"/>
      <c r="B456" s="246" t="s">
        <v>1571</v>
      </c>
      <c r="C456" s="246"/>
      <c r="D456" s="246"/>
      <c r="E456" s="246"/>
      <c r="F456" s="247"/>
      <c r="G456" s="248"/>
      <c r="H456" s="249"/>
      <c r="I456" s="249"/>
      <c r="J456" s="248"/>
      <c r="K456" s="249">
        <f>(TRUNC((6.7+57+2.05),2)+TRUNC(2.64*4,2))-TRUNC(2.4*6+5*4,2)</f>
        <v>41.910000000000004</v>
      </c>
      <c r="L456" s="250"/>
      <c r="M456" s="149"/>
      <c r="N456" s="149"/>
      <c r="O456" s="149"/>
      <c r="P456" s="149"/>
      <c r="Q456" s="149"/>
      <c r="R456" s="149"/>
    </row>
    <row r="457" spans="1:23" s="154" customFormat="1" ht="20.100000000000001" customHeight="1" x14ac:dyDescent="0.25">
      <c r="A457" s="245"/>
      <c r="B457" s="246" t="s">
        <v>1572</v>
      </c>
      <c r="C457" s="246"/>
      <c r="D457" s="246"/>
      <c r="E457" s="246"/>
      <c r="F457" s="247"/>
      <c r="G457" s="248"/>
      <c r="H457" s="249"/>
      <c r="I457" s="249"/>
      <c r="J457" s="248"/>
      <c r="K457" s="249">
        <v>71.72</v>
      </c>
      <c r="L457" s="250"/>
      <c r="M457" s="149"/>
      <c r="N457" s="149"/>
      <c r="O457" s="149"/>
      <c r="P457" s="149"/>
      <c r="Q457" s="149"/>
      <c r="R457" s="149"/>
    </row>
    <row r="458" spans="1:23" s="154" customFormat="1" ht="20.100000000000001" customHeight="1" x14ac:dyDescent="0.25">
      <c r="A458" s="245"/>
      <c r="B458" s="246" t="s">
        <v>1573</v>
      </c>
      <c r="C458" s="246"/>
      <c r="D458" s="246"/>
      <c r="E458" s="246"/>
      <c r="F458" s="247"/>
      <c r="G458" s="248"/>
      <c r="H458" s="249"/>
      <c r="I458" s="249"/>
      <c r="J458" s="248"/>
      <c r="K458" s="249">
        <f>(4.4+1.65+1.65)*1.05*4</f>
        <v>32.340000000000003</v>
      </c>
      <c r="L458" s="250"/>
      <c r="M458" s="149"/>
      <c r="N458" s="149"/>
      <c r="O458" s="149"/>
      <c r="P458" s="149"/>
      <c r="Q458" s="149"/>
      <c r="R458" s="149"/>
    </row>
    <row r="459" spans="1:23" s="154" customFormat="1" ht="20.100000000000001" customHeight="1" x14ac:dyDescent="0.25">
      <c r="A459" s="475" t="s">
        <v>1574</v>
      </c>
      <c r="B459" s="476"/>
      <c r="C459" s="476"/>
      <c r="D459" s="476"/>
      <c r="E459" s="476"/>
      <c r="F459" s="476"/>
      <c r="G459" s="476"/>
      <c r="H459" s="476"/>
      <c r="I459" s="476"/>
      <c r="J459" s="476"/>
      <c r="K459" s="477"/>
      <c r="L459" s="250"/>
      <c r="M459" s="149"/>
      <c r="N459" s="149"/>
      <c r="O459" s="149"/>
      <c r="P459" s="149"/>
      <c r="Q459" s="149"/>
      <c r="R459" s="149"/>
    </row>
    <row r="460" spans="1:23" s="154" customFormat="1" ht="20.100000000000001" customHeight="1" x14ac:dyDescent="0.25">
      <c r="A460" s="245"/>
      <c r="B460" s="246" t="s">
        <v>1575</v>
      </c>
      <c r="C460" s="246"/>
      <c r="D460" s="246"/>
      <c r="E460" s="246"/>
      <c r="F460" s="247"/>
      <c r="G460" s="248">
        <f>5.44+2.53*3+0.65</f>
        <v>13.680000000000001</v>
      </c>
      <c r="H460" s="249">
        <v>2.2000000000000002</v>
      </c>
      <c r="I460" s="249"/>
      <c r="J460" s="248"/>
      <c r="K460" s="249">
        <f>TRUNC(G460*H460,2)</f>
        <v>30.09</v>
      </c>
      <c r="L460" s="250"/>
      <c r="M460" s="149"/>
      <c r="N460" s="149"/>
      <c r="O460" s="149"/>
      <c r="P460" s="149"/>
      <c r="Q460" s="149"/>
      <c r="R460" s="149"/>
    </row>
    <row r="461" spans="1:23" s="154" customFormat="1" ht="18.75" customHeight="1" x14ac:dyDescent="0.25">
      <c r="A461" s="470" t="s">
        <v>163</v>
      </c>
      <c r="B461" s="471"/>
      <c r="C461" s="471"/>
      <c r="D461" s="471"/>
      <c r="E461" s="471"/>
      <c r="F461" s="472"/>
      <c r="G461" s="472"/>
      <c r="H461" s="472"/>
      <c r="I461" s="472"/>
      <c r="J461" s="472"/>
      <c r="K461" s="252">
        <f>SUM(K407:K460)</f>
        <v>449.86000000000007</v>
      </c>
      <c r="L461" s="250"/>
      <c r="M461" s="149"/>
      <c r="N461" s="149"/>
      <c r="O461" s="149"/>
      <c r="P461" s="149"/>
      <c r="Q461" s="149"/>
      <c r="R461" s="149"/>
      <c r="V461" s="154" t="s">
        <v>1576</v>
      </c>
      <c r="W461" s="154">
        <f>2.7*8</f>
        <v>21.6</v>
      </c>
    </row>
    <row r="462" spans="1:23" s="154" customFormat="1" ht="20.100000000000001" customHeight="1" x14ac:dyDescent="0.25">
      <c r="A462" s="177" t="s">
        <v>3</v>
      </c>
      <c r="B462" s="171" t="s">
        <v>1577</v>
      </c>
      <c r="C462" s="171"/>
      <c r="D462" s="171"/>
      <c r="E462" s="171"/>
      <c r="F462" s="243" t="s">
        <v>24</v>
      </c>
      <c r="G462" s="244" t="s">
        <v>1496</v>
      </c>
      <c r="H462" s="244" t="s">
        <v>1417</v>
      </c>
      <c r="I462" s="244" t="s">
        <v>1534</v>
      </c>
      <c r="J462" s="244"/>
      <c r="K462" s="244" t="s">
        <v>50</v>
      </c>
      <c r="L462" s="250"/>
      <c r="M462" s="149"/>
      <c r="N462" s="149"/>
      <c r="O462" s="149"/>
      <c r="P462" s="149"/>
      <c r="Q462" s="149"/>
      <c r="R462" s="149"/>
    </row>
    <row r="463" spans="1:23" s="154" customFormat="1" ht="20.100000000000001" customHeight="1" x14ac:dyDescent="0.25">
      <c r="A463" s="475" t="s">
        <v>1384</v>
      </c>
      <c r="B463" s="476"/>
      <c r="C463" s="476"/>
      <c r="D463" s="476"/>
      <c r="E463" s="476"/>
      <c r="F463" s="476"/>
      <c r="G463" s="476"/>
      <c r="H463" s="476"/>
      <c r="I463" s="476"/>
      <c r="J463" s="476"/>
      <c r="K463" s="477"/>
      <c r="L463" s="250"/>
      <c r="M463" s="149"/>
      <c r="N463" s="149"/>
      <c r="O463" s="149"/>
      <c r="P463" s="149"/>
      <c r="Q463" s="149"/>
      <c r="R463" s="149"/>
    </row>
    <row r="464" spans="1:23" s="166" customFormat="1" ht="20.100000000000001" customHeight="1" x14ac:dyDescent="0.25">
      <c r="A464" s="245"/>
      <c r="B464" s="246" t="s">
        <v>1451</v>
      </c>
      <c r="C464" s="246"/>
      <c r="D464" s="246"/>
      <c r="E464" s="246"/>
      <c r="F464" s="247"/>
      <c r="G464" s="248">
        <v>14.2</v>
      </c>
      <c r="H464" s="249">
        <v>3.3</v>
      </c>
      <c r="I464" s="249">
        <f>0.9*2.1*6</f>
        <v>11.34</v>
      </c>
      <c r="J464" s="248"/>
      <c r="K464" s="249">
        <f>TRUNC(G464*H464-I464,2)</f>
        <v>35.520000000000003</v>
      </c>
      <c r="L464" s="250"/>
    </row>
    <row r="465" spans="1:18" s="166" customFormat="1" ht="20.100000000000001" customHeight="1" x14ac:dyDescent="0.25">
      <c r="A465" s="245"/>
      <c r="B465" s="246" t="s">
        <v>1578</v>
      </c>
      <c r="C465" s="246"/>
      <c r="D465" s="246"/>
      <c r="E465" s="246"/>
      <c r="F465" s="247"/>
      <c r="G465" s="248">
        <f>4.18*4</f>
        <v>16.72</v>
      </c>
      <c r="H465" s="249">
        <v>3.3</v>
      </c>
      <c r="I465" s="249"/>
      <c r="J465" s="248"/>
      <c r="K465" s="249">
        <f t="shared" ref="K465:K469" si="20">TRUNC(G465*H465-I465,2)</f>
        <v>55.17</v>
      </c>
      <c r="L465" s="250"/>
    </row>
    <row r="466" spans="1:18" s="166" customFormat="1" ht="20.100000000000001" customHeight="1" x14ac:dyDescent="0.25">
      <c r="A466" s="245"/>
      <c r="B466" s="246" t="s">
        <v>1579</v>
      </c>
      <c r="C466" s="246"/>
      <c r="D466" s="246"/>
      <c r="E466" s="246"/>
      <c r="F466" s="247"/>
      <c r="G466" s="248">
        <v>4.1500000000000004</v>
      </c>
      <c r="H466" s="249">
        <v>3.3</v>
      </c>
      <c r="I466" s="249"/>
      <c r="J466" s="248"/>
      <c r="K466" s="249">
        <f t="shared" si="20"/>
        <v>13.69</v>
      </c>
      <c r="L466" s="250"/>
    </row>
    <row r="467" spans="1:18" s="166" customFormat="1" ht="20.100000000000001" customHeight="1" x14ac:dyDescent="0.25">
      <c r="A467" s="245"/>
      <c r="B467" s="246" t="s">
        <v>1580</v>
      </c>
      <c r="C467" s="246"/>
      <c r="D467" s="246"/>
      <c r="E467" s="246"/>
      <c r="F467" s="247"/>
      <c r="G467" s="248">
        <v>4.1500000000000004</v>
      </c>
      <c r="H467" s="249">
        <v>3.3</v>
      </c>
      <c r="I467" s="249"/>
      <c r="J467" s="248"/>
      <c r="K467" s="249">
        <f t="shared" si="20"/>
        <v>13.69</v>
      </c>
      <c r="L467" s="250"/>
    </row>
    <row r="468" spans="1:18" s="149" customFormat="1" ht="18.75" customHeight="1" x14ac:dyDescent="0.25">
      <c r="A468" s="245"/>
      <c r="B468" s="246" t="s">
        <v>1581</v>
      </c>
      <c r="C468" s="246"/>
      <c r="D468" s="246"/>
      <c r="E468" s="246"/>
      <c r="F468" s="247"/>
      <c r="G468" s="248">
        <v>4.1500000000000004</v>
      </c>
      <c r="H468" s="249">
        <v>3.3</v>
      </c>
      <c r="I468" s="249"/>
      <c r="J468" s="248"/>
      <c r="K468" s="249">
        <f t="shared" si="20"/>
        <v>13.69</v>
      </c>
      <c r="L468" s="250"/>
    </row>
    <row r="469" spans="1:18" s="149" customFormat="1" ht="18.75" customHeight="1" x14ac:dyDescent="0.25">
      <c r="A469" s="245"/>
      <c r="B469" s="246" t="s">
        <v>1451</v>
      </c>
      <c r="C469" s="246"/>
      <c r="D469" s="246"/>
      <c r="E469" s="246"/>
      <c r="F469" s="247"/>
      <c r="G469" s="248">
        <v>9.85</v>
      </c>
      <c r="H469" s="249">
        <v>3.3</v>
      </c>
      <c r="I469" s="249">
        <f>0.9*2.1*3</f>
        <v>5.67</v>
      </c>
      <c r="J469" s="248"/>
      <c r="K469" s="249">
        <f t="shared" si="20"/>
        <v>26.83</v>
      </c>
      <c r="L469" s="250"/>
    </row>
    <row r="470" spans="1:18" s="149" customFormat="1" ht="18.75" customHeight="1" x14ac:dyDescent="0.25">
      <c r="A470" s="245"/>
      <c r="B470" s="246" t="s">
        <v>1391</v>
      </c>
      <c r="C470" s="246"/>
      <c r="D470" s="246"/>
      <c r="E470" s="246"/>
      <c r="F470" s="247"/>
      <c r="G470" s="248">
        <v>2.35</v>
      </c>
      <c r="H470" s="249">
        <v>3.3</v>
      </c>
      <c r="I470" s="249">
        <f>0.9*2.1</f>
        <v>1.8900000000000001</v>
      </c>
      <c r="J470" s="248"/>
      <c r="K470" s="249">
        <f>TRUNC(G470*H470-I470,2)</f>
        <v>5.86</v>
      </c>
      <c r="L470" s="250"/>
    </row>
    <row r="471" spans="1:18" s="154" customFormat="1" ht="20.100000000000001" customHeight="1" x14ac:dyDescent="0.25">
      <c r="A471" s="475" t="s">
        <v>1409</v>
      </c>
      <c r="B471" s="476"/>
      <c r="C471" s="476"/>
      <c r="D471" s="476"/>
      <c r="E471" s="476"/>
      <c r="F471" s="476"/>
      <c r="G471" s="476"/>
      <c r="H471" s="476"/>
      <c r="I471" s="476"/>
      <c r="J471" s="476"/>
      <c r="K471" s="477"/>
      <c r="L471" s="250"/>
      <c r="M471" s="149"/>
      <c r="N471" s="149"/>
      <c r="O471" s="149"/>
      <c r="P471" s="149"/>
      <c r="Q471" s="149"/>
      <c r="R471" s="149"/>
    </row>
    <row r="472" spans="1:18" s="166" customFormat="1" ht="20.100000000000001" customHeight="1" x14ac:dyDescent="0.25">
      <c r="A472" s="245"/>
      <c r="B472" s="246" t="s">
        <v>1582</v>
      </c>
      <c r="C472" s="246"/>
      <c r="D472" s="246"/>
      <c r="E472" s="246"/>
      <c r="F472" s="247"/>
      <c r="G472" s="248">
        <f>2.28+8.25+3.6+1.1</f>
        <v>15.229999999999999</v>
      </c>
      <c r="H472" s="249">
        <v>3.3</v>
      </c>
      <c r="I472" s="249">
        <f>2*0.9*2.1</f>
        <v>3.7800000000000002</v>
      </c>
      <c r="J472" s="248"/>
      <c r="K472" s="249">
        <f>TRUNC(G472*H472-I472,2)</f>
        <v>46.47</v>
      </c>
      <c r="L472" s="250"/>
    </row>
    <row r="473" spans="1:18" s="154" customFormat="1" ht="18.75" customHeight="1" x14ac:dyDescent="0.25">
      <c r="A473" s="470" t="s">
        <v>163</v>
      </c>
      <c r="B473" s="471"/>
      <c r="C473" s="471"/>
      <c r="D473" s="471"/>
      <c r="E473" s="471"/>
      <c r="F473" s="472"/>
      <c r="G473" s="472"/>
      <c r="H473" s="472"/>
      <c r="I473" s="472"/>
      <c r="J473" s="472"/>
      <c r="K473" s="252">
        <f>SUM(K464:K472)</f>
        <v>210.92</v>
      </c>
      <c r="L473" s="250"/>
      <c r="M473" s="149"/>
      <c r="N473" s="149"/>
      <c r="O473" s="149"/>
      <c r="P473" s="149"/>
      <c r="Q473" s="149"/>
      <c r="R473" s="149"/>
    </row>
    <row r="474" spans="1:18" s="154" customFormat="1" ht="20.100000000000001" customHeight="1" x14ac:dyDescent="0.25">
      <c r="A474" s="177" t="s">
        <v>3</v>
      </c>
      <c r="B474" s="171" t="s">
        <v>1583</v>
      </c>
      <c r="C474" s="171"/>
      <c r="D474" s="171"/>
      <c r="E474" s="171"/>
      <c r="F474" s="243" t="s">
        <v>24</v>
      </c>
      <c r="G474" s="244" t="s">
        <v>1496</v>
      </c>
      <c r="H474" s="244" t="s">
        <v>1417</v>
      </c>
      <c r="I474" s="244" t="s">
        <v>1534</v>
      </c>
      <c r="J474" s="244"/>
      <c r="K474" s="244" t="s">
        <v>50</v>
      </c>
      <c r="L474" s="250"/>
      <c r="M474" s="149"/>
      <c r="N474" s="149"/>
      <c r="O474" s="149"/>
      <c r="P474" s="149"/>
      <c r="Q474" s="149"/>
      <c r="R474" s="149"/>
    </row>
    <row r="475" spans="1:18" s="154" customFormat="1" ht="20.100000000000001" customHeight="1" x14ac:dyDescent="0.25">
      <c r="A475" s="475" t="s">
        <v>1413</v>
      </c>
      <c r="B475" s="476"/>
      <c r="C475" s="476"/>
      <c r="D475" s="476"/>
      <c r="E475" s="476"/>
      <c r="F475" s="476"/>
      <c r="G475" s="476"/>
      <c r="H475" s="476"/>
      <c r="I475" s="476"/>
      <c r="J475" s="476"/>
      <c r="K475" s="477"/>
      <c r="L475" s="250"/>
      <c r="M475" s="149"/>
      <c r="N475" s="149"/>
      <c r="O475" s="149"/>
      <c r="P475" s="149"/>
      <c r="Q475" s="149"/>
      <c r="R475" s="149"/>
    </row>
    <row r="476" spans="1:18" s="166" customFormat="1" ht="20.100000000000001" customHeight="1" x14ac:dyDescent="0.25">
      <c r="A476" s="245"/>
      <c r="B476" s="246" t="s">
        <v>1569</v>
      </c>
      <c r="C476" s="246"/>
      <c r="D476" s="246"/>
      <c r="E476" s="246"/>
      <c r="F476" s="247"/>
      <c r="G476" s="248">
        <f>5.5+2*3</f>
        <v>11.5</v>
      </c>
      <c r="H476" s="249">
        <v>1.7</v>
      </c>
      <c r="I476" s="249">
        <f>4*1.7*0.9</f>
        <v>6.12</v>
      </c>
      <c r="J476" s="248"/>
      <c r="K476" s="249">
        <f>TRUNC(G476*H476-I476,2)</f>
        <v>13.43</v>
      </c>
      <c r="L476" s="250"/>
    </row>
    <row r="477" spans="1:18" s="166" customFormat="1" ht="20.100000000000001" customHeight="1" x14ac:dyDescent="0.25">
      <c r="A477" s="245"/>
      <c r="B477" s="246" t="s">
        <v>1584</v>
      </c>
      <c r="C477" s="246"/>
      <c r="D477" s="246"/>
      <c r="E477" s="246"/>
      <c r="F477" s="247"/>
      <c r="G477" s="248">
        <f>5.5+2*3</f>
        <v>11.5</v>
      </c>
      <c r="H477" s="249">
        <v>1.7</v>
      </c>
      <c r="I477" s="249">
        <f>4*1.7*0.9</f>
        <v>6.12</v>
      </c>
      <c r="J477" s="248"/>
      <c r="K477" s="249">
        <f>TRUNC(G477*H477-I477,2)</f>
        <v>13.43</v>
      </c>
      <c r="L477" s="250"/>
    </row>
    <row r="478" spans="1:18" s="154" customFormat="1" ht="18.75" customHeight="1" x14ac:dyDescent="0.25">
      <c r="A478" s="470" t="s">
        <v>163</v>
      </c>
      <c r="B478" s="471"/>
      <c r="C478" s="471"/>
      <c r="D478" s="471"/>
      <c r="E478" s="471"/>
      <c r="F478" s="472"/>
      <c r="G478" s="472"/>
      <c r="H478" s="472"/>
      <c r="I478" s="472"/>
      <c r="J478" s="472"/>
      <c r="K478" s="252">
        <f>SUM(K476:K477)</f>
        <v>26.86</v>
      </c>
      <c r="L478" s="250"/>
      <c r="M478" s="149"/>
      <c r="N478" s="149"/>
      <c r="O478" s="149"/>
      <c r="P478" s="149"/>
      <c r="Q478" s="149"/>
      <c r="R478" s="149"/>
    </row>
    <row r="479" spans="1:18" s="154" customFormat="1" ht="20.100000000000001" customHeight="1" x14ac:dyDescent="0.25">
      <c r="A479" s="177" t="s">
        <v>3</v>
      </c>
      <c r="B479" s="171" t="s">
        <v>1585</v>
      </c>
      <c r="C479" s="171"/>
      <c r="D479" s="171"/>
      <c r="E479" s="171"/>
      <c r="F479" s="243" t="s">
        <v>24</v>
      </c>
      <c r="G479" s="244" t="s">
        <v>1496</v>
      </c>
      <c r="H479" s="244"/>
      <c r="I479" s="244"/>
      <c r="J479" s="244" t="s">
        <v>1547</v>
      </c>
      <c r="K479" s="244" t="s">
        <v>50</v>
      </c>
      <c r="L479" s="250"/>
      <c r="M479" s="149"/>
      <c r="N479" s="149"/>
      <c r="O479" s="149"/>
      <c r="P479" s="149"/>
      <c r="Q479" s="149"/>
      <c r="R479" s="149"/>
    </row>
    <row r="480" spans="1:18" s="166" customFormat="1" ht="20.100000000000001" customHeight="1" x14ac:dyDescent="0.25">
      <c r="A480" s="245"/>
      <c r="B480" s="246" t="s">
        <v>1586</v>
      </c>
      <c r="C480" s="246"/>
      <c r="D480" s="246"/>
      <c r="E480" s="246"/>
      <c r="F480" s="247"/>
      <c r="G480" s="248">
        <f>2.3+0.6</f>
        <v>2.9</v>
      </c>
      <c r="H480" s="249"/>
      <c r="I480" s="249"/>
      <c r="J480" s="248">
        <v>2</v>
      </c>
      <c r="K480" s="249">
        <f>TRUNC(G480*J480,2)</f>
        <v>5.8</v>
      </c>
      <c r="L480" s="250"/>
    </row>
    <row r="481" spans="1:25" s="154" customFormat="1" ht="18.75" customHeight="1" x14ac:dyDescent="0.25">
      <c r="A481" s="470" t="s">
        <v>163</v>
      </c>
      <c r="B481" s="471"/>
      <c r="C481" s="471"/>
      <c r="D481" s="471"/>
      <c r="E481" s="471"/>
      <c r="F481" s="472"/>
      <c r="G481" s="472"/>
      <c r="H481" s="472"/>
      <c r="I481" s="472"/>
      <c r="J481" s="472"/>
      <c r="K481" s="252">
        <f>SUM(K479:K480)</f>
        <v>5.8</v>
      </c>
      <c r="L481" s="250"/>
      <c r="M481" s="149"/>
      <c r="N481" s="149"/>
      <c r="O481" s="149"/>
      <c r="P481" s="149"/>
      <c r="Q481" s="149"/>
      <c r="R481" s="149"/>
    </row>
    <row r="482" spans="1:25" s="154" customFormat="1" ht="20.100000000000001" customHeight="1" x14ac:dyDescent="0.25">
      <c r="A482" s="177" t="s">
        <v>3</v>
      </c>
      <c r="B482" s="171" t="s">
        <v>1587</v>
      </c>
      <c r="C482" s="171"/>
      <c r="D482" s="171"/>
      <c r="E482" s="171"/>
      <c r="F482" s="243" t="s">
        <v>24</v>
      </c>
      <c r="G482" s="244" t="s">
        <v>1496</v>
      </c>
      <c r="H482" s="244"/>
      <c r="I482" s="244"/>
      <c r="J482" s="244" t="s">
        <v>1547</v>
      </c>
      <c r="K482" s="244" t="s">
        <v>50</v>
      </c>
      <c r="L482" s="250"/>
      <c r="M482" s="149"/>
      <c r="N482" s="149"/>
      <c r="O482" s="149"/>
      <c r="P482" s="149"/>
      <c r="Q482" s="149"/>
      <c r="R482" s="149"/>
    </row>
    <row r="483" spans="1:25" s="166" customFormat="1" ht="20.100000000000001" customHeight="1" x14ac:dyDescent="0.25">
      <c r="A483" s="245"/>
      <c r="B483" s="246" t="s">
        <v>1586</v>
      </c>
      <c r="C483" s="246"/>
      <c r="D483" s="246"/>
      <c r="E483" s="246"/>
      <c r="F483" s="247"/>
      <c r="G483" s="248">
        <f>2.3+0.6</f>
        <v>2.9</v>
      </c>
      <c r="H483" s="249"/>
      <c r="I483" s="249"/>
      <c r="J483" s="248">
        <v>2</v>
      </c>
      <c r="K483" s="249">
        <f>TRUNC(G483*J483,2)</f>
        <v>5.8</v>
      </c>
      <c r="L483" s="250"/>
    </row>
    <row r="484" spans="1:25" s="154" customFormat="1" ht="18.75" customHeight="1" x14ac:dyDescent="0.25">
      <c r="A484" s="470" t="s">
        <v>163</v>
      </c>
      <c r="B484" s="471"/>
      <c r="C484" s="471"/>
      <c r="D484" s="471"/>
      <c r="E484" s="471"/>
      <c r="F484" s="472"/>
      <c r="G484" s="472"/>
      <c r="H484" s="472"/>
      <c r="I484" s="472"/>
      <c r="J484" s="472"/>
      <c r="K484" s="252">
        <f>SUM(K482:K483)</f>
        <v>5.8</v>
      </c>
      <c r="L484" s="250"/>
      <c r="M484" s="149"/>
      <c r="N484" s="149"/>
      <c r="O484" s="149"/>
      <c r="P484" s="149"/>
      <c r="Q484" s="149"/>
      <c r="R484" s="149"/>
    </row>
    <row r="485" spans="1:25" s="154" customFormat="1" ht="20.100000000000001" customHeight="1" x14ac:dyDescent="0.25">
      <c r="A485" s="177" t="s">
        <v>3</v>
      </c>
      <c r="B485" s="171" t="s">
        <v>1588</v>
      </c>
      <c r="C485" s="171"/>
      <c r="D485" s="171"/>
      <c r="E485" s="171"/>
      <c r="F485" s="243" t="s">
        <v>24</v>
      </c>
      <c r="G485" s="244" t="s">
        <v>1496</v>
      </c>
      <c r="H485" s="244"/>
      <c r="I485" s="244"/>
      <c r="J485" s="244" t="s">
        <v>1547</v>
      </c>
      <c r="K485" s="244" t="s">
        <v>50</v>
      </c>
      <c r="L485" s="250"/>
      <c r="M485" s="149"/>
      <c r="N485" s="149"/>
      <c r="O485" s="149"/>
      <c r="P485" s="149"/>
      <c r="Q485" s="149"/>
      <c r="R485" s="149"/>
    </row>
    <row r="486" spans="1:25" s="166" customFormat="1" ht="20.100000000000001" customHeight="1" x14ac:dyDescent="0.25">
      <c r="A486" s="245"/>
      <c r="B486" s="246" t="s">
        <v>1589</v>
      </c>
      <c r="C486" s="246"/>
      <c r="D486" s="246"/>
      <c r="E486" s="246"/>
      <c r="F486" s="247"/>
      <c r="G486" s="248">
        <f>2.4+0.6</f>
        <v>3</v>
      </c>
      <c r="H486" s="249"/>
      <c r="I486" s="249"/>
      <c r="J486" s="248">
        <v>5</v>
      </c>
      <c r="K486" s="249">
        <f>TRUNC(G486*J486,2)</f>
        <v>15</v>
      </c>
      <c r="L486" s="250"/>
    </row>
    <row r="487" spans="1:25" s="166" customFormat="1" ht="20.100000000000001" customHeight="1" x14ac:dyDescent="0.25">
      <c r="A487" s="245"/>
      <c r="B487" s="246" t="s">
        <v>1590</v>
      </c>
      <c r="C487" s="246"/>
      <c r="D487" s="246"/>
      <c r="E487" s="246"/>
      <c r="F487" s="247"/>
      <c r="G487" s="248">
        <v>2.6</v>
      </c>
      <c r="H487" s="249"/>
      <c r="I487" s="249"/>
      <c r="J487" s="248">
        <v>1</v>
      </c>
      <c r="K487" s="249">
        <f>TRUNC(G487*J487,2)</f>
        <v>2.6</v>
      </c>
      <c r="L487" s="250"/>
    </row>
    <row r="488" spans="1:25" s="154" customFormat="1" ht="18.75" customHeight="1" x14ac:dyDescent="0.25">
      <c r="A488" s="470" t="s">
        <v>163</v>
      </c>
      <c r="B488" s="471"/>
      <c r="C488" s="471"/>
      <c r="D488" s="471"/>
      <c r="E488" s="471"/>
      <c r="F488" s="472"/>
      <c r="G488" s="472"/>
      <c r="H488" s="472"/>
      <c r="I488" s="472"/>
      <c r="J488" s="472"/>
      <c r="K488" s="252">
        <f>SUM(K486:K487)</f>
        <v>17.600000000000001</v>
      </c>
      <c r="L488" s="250"/>
      <c r="M488" s="149"/>
      <c r="N488" s="149"/>
      <c r="O488" s="149"/>
      <c r="P488" s="149"/>
      <c r="Q488" s="149"/>
      <c r="R488" s="149"/>
    </row>
    <row r="489" spans="1:25" s="154" customFormat="1" ht="20.100000000000001" customHeight="1" x14ac:dyDescent="0.25">
      <c r="A489" s="177" t="s">
        <v>3</v>
      </c>
      <c r="B489" s="171" t="s">
        <v>1591</v>
      </c>
      <c r="C489" s="171"/>
      <c r="D489" s="171"/>
      <c r="E489" s="171"/>
      <c r="F489" s="243" t="s">
        <v>24</v>
      </c>
      <c r="G489" s="244" t="s">
        <v>1496</v>
      </c>
      <c r="H489" s="244"/>
      <c r="I489" s="244"/>
      <c r="J489" s="244" t="s">
        <v>1547</v>
      </c>
      <c r="K489" s="244" t="s">
        <v>50</v>
      </c>
      <c r="L489" s="250"/>
      <c r="M489" s="149"/>
      <c r="N489" s="149"/>
      <c r="O489" s="149"/>
      <c r="P489" s="149"/>
      <c r="Q489" s="149"/>
      <c r="R489" s="149"/>
    </row>
    <row r="490" spans="1:25" s="166" customFormat="1" ht="20.100000000000001" customHeight="1" x14ac:dyDescent="0.25">
      <c r="A490" s="245"/>
      <c r="B490" s="246" t="s">
        <v>740</v>
      </c>
      <c r="C490" s="246"/>
      <c r="D490" s="246"/>
      <c r="E490" s="246"/>
      <c r="F490" s="247"/>
      <c r="G490" s="248">
        <f>0.9+0.6</f>
        <v>1.5</v>
      </c>
      <c r="H490" s="249"/>
      <c r="I490" s="249"/>
      <c r="J490" s="248">
        <v>22</v>
      </c>
      <c r="K490" s="249">
        <f>TRUNC(G490*J490,2)</f>
        <v>33</v>
      </c>
      <c r="L490" s="250"/>
    </row>
    <row r="491" spans="1:25" s="154" customFormat="1" ht="18.75" customHeight="1" x14ac:dyDescent="0.25">
      <c r="A491" s="470" t="s">
        <v>163</v>
      </c>
      <c r="B491" s="471"/>
      <c r="C491" s="471"/>
      <c r="D491" s="471"/>
      <c r="E491" s="471"/>
      <c r="F491" s="472"/>
      <c r="G491" s="472"/>
      <c r="H491" s="472"/>
      <c r="I491" s="472"/>
      <c r="J491" s="472"/>
      <c r="K491" s="252">
        <f>SUM(K489:K490)</f>
        <v>33</v>
      </c>
      <c r="L491" s="250"/>
      <c r="M491" s="149"/>
      <c r="N491" s="149"/>
      <c r="O491" s="149"/>
      <c r="P491" s="149"/>
      <c r="Q491" s="149"/>
      <c r="R491" s="149"/>
    </row>
    <row r="492" spans="1:25" s="154" customFormat="1" ht="20.100000000000001" customHeight="1" x14ac:dyDescent="0.25">
      <c r="A492" s="478" t="s">
        <v>1592</v>
      </c>
      <c r="B492" s="478"/>
      <c r="C492" s="478"/>
      <c r="D492" s="478"/>
      <c r="E492" s="478"/>
      <c r="F492" s="478"/>
      <c r="G492" s="478"/>
      <c r="H492" s="478"/>
      <c r="I492" s="478"/>
      <c r="J492" s="478"/>
      <c r="K492" s="478"/>
      <c r="L492" s="250"/>
      <c r="M492" s="149"/>
      <c r="N492" s="149"/>
      <c r="O492" s="149"/>
      <c r="P492" s="149"/>
      <c r="Q492" s="149"/>
      <c r="R492" s="149"/>
      <c r="V492" s="154" t="s">
        <v>1593</v>
      </c>
      <c r="W492" s="154">
        <f>2.7*9.86</f>
        <v>26.622</v>
      </c>
    </row>
    <row r="493" spans="1:25" s="154" customFormat="1" ht="20.100000000000001" customHeight="1" x14ac:dyDescent="0.25">
      <c r="A493" s="177" t="s">
        <v>3</v>
      </c>
      <c r="B493" s="171" t="s">
        <v>1594</v>
      </c>
      <c r="C493" s="171"/>
      <c r="D493" s="171"/>
      <c r="E493" s="171"/>
      <c r="F493" s="243" t="s">
        <v>26</v>
      </c>
      <c r="G493" s="244"/>
      <c r="H493" s="244"/>
      <c r="I493" s="244" t="s">
        <v>61</v>
      </c>
      <c r="J493" s="244"/>
      <c r="K493" s="244" t="s">
        <v>50</v>
      </c>
      <c r="L493" s="250"/>
      <c r="M493" s="149"/>
      <c r="N493" s="149"/>
      <c r="O493" s="149"/>
      <c r="P493" s="149"/>
      <c r="Q493" s="149"/>
      <c r="R493" s="149"/>
      <c r="V493" s="154" t="s">
        <v>1595</v>
      </c>
      <c r="W493" s="154">
        <f>2.7*8.7</f>
        <v>23.49</v>
      </c>
    </row>
    <row r="494" spans="1:25" s="154" customFormat="1" ht="20.100000000000001" customHeight="1" x14ac:dyDescent="0.25">
      <c r="A494" s="475" t="s">
        <v>1382</v>
      </c>
      <c r="B494" s="476"/>
      <c r="C494" s="476"/>
      <c r="D494" s="476"/>
      <c r="E494" s="476"/>
      <c r="F494" s="476"/>
      <c r="G494" s="476"/>
      <c r="H494" s="476"/>
      <c r="I494" s="476"/>
      <c r="J494" s="476"/>
      <c r="K494" s="477"/>
      <c r="L494" s="250"/>
      <c r="M494" s="149"/>
      <c r="N494" s="149"/>
      <c r="O494" s="149"/>
      <c r="P494" s="149"/>
      <c r="Q494" s="149"/>
      <c r="R494" s="149"/>
    </row>
    <row r="495" spans="1:25" s="149" customFormat="1" ht="20.100000000000001" customHeight="1" x14ac:dyDescent="0.25">
      <c r="A495" s="267"/>
      <c r="B495" s="246" t="s">
        <v>812</v>
      </c>
      <c r="C495" s="246"/>
      <c r="D495" s="246"/>
      <c r="E495" s="246"/>
      <c r="F495" s="247"/>
      <c r="G495" s="248"/>
      <c r="H495" s="249"/>
      <c r="I495" s="249">
        <v>1</v>
      </c>
      <c r="J495" s="248"/>
      <c r="K495" s="269">
        <f>I495</f>
        <v>1</v>
      </c>
      <c r="L495" s="250"/>
      <c r="V495" s="149" t="s">
        <v>1596</v>
      </c>
      <c r="W495" s="149">
        <f>2.7*10.5</f>
        <v>28.35</v>
      </c>
    </row>
    <row r="496" spans="1:25" s="149" customFormat="1" ht="20.100000000000001" customHeight="1" x14ac:dyDescent="0.25">
      <c r="A496" s="267"/>
      <c r="B496" s="246" t="s">
        <v>1597</v>
      </c>
      <c r="C496" s="246"/>
      <c r="D496" s="246"/>
      <c r="E496" s="246"/>
      <c r="F496" s="247"/>
      <c r="G496" s="248"/>
      <c r="H496" s="249"/>
      <c r="I496" s="249">
        <v>2</v>
      </c>
      <c r="J496" s="248"/>
      <c r="K496" s="269">
        <f t="shared" ref="K496:K502" si="21">I496</f>
        <v>2</v>
      </c>
      <c r="L496" s="250"/>
      <c r="W496" s="149">
        <f>SUM(W461:W495)</f>
        <v>100.06200000000001</v>
      </c>
      <c r="Y496" s="149">
        <f>W496*20</f>
        <v>2001.2400000000002</v>
      </c>
    </row>
    <row r="497" spans="1:26" s="166" customFormat="1" ht="20.100000000000001" customHeight="1" x14ac:dyDescent="0.25">
      <c r="A497" s="245"/>
      <c r="B497" s="246" t="s">
        <v>1598</v>
      </c>
      <c r="C497" s="246"/>
      <c r="D497" s="246"/>
      <c r="E497" s="246"/>
      <c r="F497" s="247"/>
      <c r="G497" s="248"/>
      <c r="H497" s="249"/>
      <c r="I497" s="249">
        <v>1</v>
      </c>
      <c r="J497" s="248"/>
      <c r="K497" s="269">
        <f t="shared" si="21"/>
        <v>1</v>
      </c>
      <c r="L497" s="250"/>
    </row>
    <row r="498" spans="1:26" s="166" customFormat="1" ht="20.100000000000001" customHeight="1" x14ac:dyDescent="0.25">
      <c r="A498" s="245"/>
      <c r="B498" s="246" t="s">
        <v>1599</v>
      </c>
      <c r="C498" s="246"/>
      <c r="D498" s="246"/>
      <c r="E498" s="246"/>
      <c r="F498" s="247"/>
      <c r="G498" s="248"/>
      <c r="H498" s="249"/>
      <c r="I498" s="249">
        <v>1</v>
      </c>
      <c r="J498" s="248"/>
      <c r="K498" s="269">
        <f t="shared" si="21"/>
        <v>1</v>
      </c>
      <c r="L498" s="250"/>
      <c r="V498" s="166" t="s">
        <v>1600</v>
      </c>
      <c r="W498" s="166">
        <f>2.7*3.7</f>
        <v>9.990000000000002</v>
      </c>
      <c r="Z498" s="166">
        <f>Y496+Y500</f>
        <v>2399.9400000000005</v>
      </c>
    </row>
    <row r="499" spans="1:26" s="149" customFormat="1" ht="20.100000000000001" customHeight="1" x14ac:dyDescent="0.25">
      <c r="A499" s="267"/>
      <c r="B499" s="246" t="s">
        <v>1601</v>
      </c>
      <c r="C499" s="246"/>
      <c r="D499" s="246"/>
      <c r="E499" s="246"/>
      <c r="F499" s="247"/>
      <c r="G499" s="248"/>
      <c r="H499" s="249"/>
      <c r="I499" s="249">
        <v>1</v>
      </c>
      <c r="J499" s="248"/>
      <c r="K499" s="269">
        <f t="shared" si="21"/>
        <v>1</v>
      </c>
      <c r="L499" s="250"/>
      <c r="W499" s="149">
        <f>1.2*2.75</f>
        <v>3.3</v>
      </c>
    </row>
    <row r="500" spans="1:26" s="149" customFormat="1" ht="20.100000000000001" customHeight="1" x14ac:dyDescent="0.25">
      <c r="A500" s="267"/>
      <c r="B500" s="246" t="s">
        <v>736</v>
      </c>
      <c r="C500" s="246"/>
      <c r="D500" s="246"/>
      <c r="E500" s="246"/>
      <c r="F500" s="247"/>
      <c r="G500" s="248"/>
      <c r="H500" s="249"/>
      <c r="I500" s="249">
        <v>1</v>
      </c>
      <c r="J500" s="248"/>
      <c r="K500" s="269">
        <f t="shared" si="21"/>
        <v>1</v>
      </c>
      <c r="L500" s="250"/>
      <c r="W500" s="149">
        <f>SUM(W498:W499)</f>
        <v>13.290000000000003</v>
      </c>
      <c r="Y500" s="149">
        <f>W500*30</f>
        <v>398.7000000000001</v>
      </c>
    </row>
    <row r="501" spans="1:26" s="166" customFormat="1" ht="20.100000000000001" customHeight="1" x14ac:dyDescent="0.25">
      <c r="A501" s="245"/>
      <c r="B501" s="246" t="s">
        <v>1440</v>
      </c>
      <c r="C501" s="246"/>
      <c r="D501" s="246"/>
      <c r="E501" s="246"/>
      <c r="F501" s="247"/>
      <c r="G501" s="248"/>
      <c r="H501" s="249"/>
      <c r="I501" s="249">
        <v>3</v>
      </c>
      <c r="J501" s="248"/>
      <c r="K501" s="269">
        <f t="shared" si="21"/>
        <v>3</v>
      </c>
      <c r="L501" s="250"/>
    </row>
    <row r="502" spans="1:26" s="166" customFormat="1" ht="20.100000000000001" customHeight="1" x14ac:dyDescent="0.25">
      <c r="A502" s="245"/>
      <c r="B502" s="246" t="s">
        <v>1441</v>
      </c>
      <c r="C502" s="246"/>
      <c r="D502" s="246"/>
      <c r="E502" s="246"/>
      <c r="F502" s="247"/>
      <c r="G502" s="248"/>
      <c r="H502" s="249"/>
      <c r="I502" s="249">
        <v>1</v>
      </c>
      <c r="J502" s="248"/>
      <c r="K502" s="269">
        <f t="shared" si="21"/>
        <v>1</v>
      </c>
      <c r="L502" s="250"/>
    </row>
    <row r="503" spans="1:26" s="154" customFormat="1" ht="20.100000000000001" customHeight="1" x14ac:dyDescent="0.25">
      <c r="A503" s="475" t="s">
        <v>1384</v>
      </c>
      <c r="B503" s="476"/>
      <c r="C503" s="476"/>
      <c r="D503" s="476"/>
      <c r="E503" s="476"/>
      <c r="F503" s="476"/>
      <c r="G503" s="476"/>
      <c r="H503" s="476"/>
      <c r="I503" s="476"/>
      <c r="J503" s="476"/>
      <c r="K503" s="477"/>
      <c r="L503" s="250"/>
      <c r="M503" s="149"/>
      <c r="N503" s="149"/>
      <c r="O503" s="149"/>
      <c r="P503" s="149"/>
      <c r="Q503" s="149"/>
      <c r="R503" s="149"/>
    </row>
    <row r="504" spans="1:26" s="149" customFormat="1" ht="20.100000000000001" customHeight="1" x14ac:dyDescent="0.25">
      <c r="A504" s="267"/>
      <c r="B504" s="246" t="s">
        <v>1602</v>
      </c>
      <c r="C504" s="246"/>
      <c r="D504" s="246"/>
      <c r="E504" s="246"/>
      <c r="F504" s="247"/>
      <c r="G504" s="248"/>
      <c r="H504" s="249"/>
      <c r="I504" s="249"/>
      <c r="J504" s="248"/>
      <c r="K504" s="269">
        <v>1</v>
      </c>
      <c r="L504" s="250"/>
    </row>
    <row r="505" spans="1:26" s="149" customFormat="1" ht="20.100000000000001" customHeight="1" x14ac:dyDescent="0.25">
      <c r="A505" s="267"/>
      <c r="B505" s="246" t="s">
        <v>810</v>
      </c>
      <c r="C505" s="246"/>
      <c r="D505" s="246"/>
      <c r="E505" s="246"/>
      <c r="F505" s="247"/>
      <c r="G505" s="248"/>
      <c r="H505" s="249"/>
      <c r="I505" s="249"/>
      <c r="J505" s="248"/>
      <c r="K505" s="269">
        <v>1</v>
      </c>
      <c r="L505" s="250"/>
    </row>
    <row r="506" spans="1:26" s="166" customFormat="1" ht="20.100000000000001" customHeight="1" x14ac:dyDescent="0.25">
      <c r="A506" s="245"/>
      <c r="B506" s="246" t="s">
        <v>1552</v>
      </c>
      <c r="C506" s="246"/>
      <c r="D506" s="246"/>
      <c r="E506" s="246"/>
      <c r="F506" s="247"/>
      <c r="G506" s="248"/>
      <c r="H506" s="249"/>
      <c r="I506" s="249"/>
      <c r="J506" s="248"/>
      <c r="K506" s="269">
        <v>1</v>
      </c>
      <c r="L506" s="250"/>
    </row>
    <row r="507" spans="1:26" s="166" customFormat="1" ht="20.100000000000001" customHeight="1" x14ac:dyDescent="0.25">
      <c r="A507" s="245"/>
      <c r="B507" s="246" t="s">
        <v>1553</v>
      </c>
      <c r="C507" s="246"/>
      <c r="D507" s="246"/>
      <c r="E507" s="246"/>
      <c r="F507" s="247"/>
      <c r="G507" s="248"/>
      <c r="H507" s="249"/>
      <c r="I507" s="249"/>
      <c r="J507" s="248"/>
      <c r="K507" s="269">
        <v>1</v>
      </c>
      <c r="L507" s="250"/>
    </row>
    <row r="508" spans="1:26" s="149" customFormat="1" ht="20.100000000000001" customHeight="1" x14ac:dyDescent="0.25">
      <c r="A508" s="267"/>
      <c r="B508" s="246" t="s">
        <v>1603</v>
      </c>
      <c r="C508" s="246"/>
      <c r="D508" s="246"/>
      <c r="E508" s="246"/>
      <c r="F508" s="247"/>
      <c r="G508" s="248"/>
      <c r="H508" s="249"/>
      <c r="I508" s="249"/>
      <c r="J508" s="248"/>
      <c r="K508" s="269">
        <v>1</v>
      </c>
      <c r="L508" s="250"/>
    </row>
    <row r="509" spans="1:26" s="149" customFormat="1" ht="20.100000000000001" customHeight="1" x14ac:dyDescent="0.25">
      <c r="A509" s="267"/>
      <c r="B509" s="246" t="s">
        <v>1604</v>
      </c>
      <c r="C509" s="246"/>
      <c r="D509" s="246"/>
      <c r="E509" s="246"/>
      <c r="F509" s="247"/>
      <c r="G509" s="248"/>
      <c r="H509" s="249"/>
      <c r="I509" s="249"/>
      <c r="J509" s="248"/>
      <c r="K509" s="269">
        <v>1</v>
      </c>
      <c r="L509" s="250"/>
    </row>
    <row r="510" spans="1:26" s="166" customFormat="1" ht="20.100000000000001" customHeight="1" x14ac:dyDescent="0.25">
      <c r="A510" s="245"/>
      <c r="B510" s="246" t="s">
        <v>1605</v>
      </c>
      <c r="C510" s="246"/>
      <c r="D510" s="246"/>
      <c r="E510" s="246"/>
      <c r="F510" s="247"/>
      <c r="G510" s="248"/>
      <c r="H510" s="249"/>
      <c r="I510" s="249"/>
      <c r="J510" s="248"/>
      <c r="K510" s="269">
        <v>1</v>
      </c>
      <c r="L510" s="250"/>
    </row>
    <row r="511" spans="1:26" s="166" customFormat="1" ht="20.100000000000001" customHeight="1" x14ac:dyDescent="0.25">
      <c r="A511" s="245"/>
      <c r="B511" s="246" t="s">
        <v>1606</v>
      </c>
      <c r="C511" s="246"/>
      <c r="D511" s="246"/>
      <c r="E511" s="246"/>
      <c r="F511" s="247"/>
      <c r="G511" s="248"/>
      <c r="H511" s="249"/>
      <c r="I511" s="249"/>
      <c r="J511" s="248"/>
      <c r="K511" s="269">
        <v>1</v>
      </c>
      <c r="L511" s="250"/>
    </row>
    <row r="512" spans="1:26" s="149" customFormat="1" ht="20.100000000000001" customHeight="1" x14ac:dyDescent="0.25">
      <c r="A512" s="267"/>
      <c r="B512" s="246" t="s">
        <v>1607</v>
      </c>
      <c r="C512" s="246"/>
      <c r="D512" s="246"/>
      <c r="E512" s="246"/>
      <c r="F512" s="247"/>
      <c r="G512" s="248"/>
      <c r="H512" s="249"/>
      <c r="I512" s="249"/>
      <c r="J512" s="248"/>
      <c r="K512" s="269">
        <v>1</v>
      </c>
      <c r="L512" s="250"/>
    </row>
    <row r="513" spans="1:18" s="149" customFormat="1" ht="20.100000000000001" customHeight="1" x14ac:dyDescent="0.25">
      <c r="A513" s="267"/>
      <c r="B513" s="246" t="s">
        <v>1608</v>
      </c>
      <c r="C513" s="246"/>
      <c r="D513" s="246"/>
      <c r="E513" s="246"/>
      <c r="F513" s="247"/>
      <c r="G513" s="248"/>
      <c r="H513" s="249"/>
      <c r="I513" s="249"/>
      <c r="J513" s="248"/>
      <c r="K513" s="269">
        <v>1</v>
      </c>
      <c r="L513" s="250"/>
    </row>
    <row r="514" spans="1:18" s="166" customFormat="1" ht="20.100000000000001" customHeight="1" x14ac:dyDescent="0.25">
      <c r="A514" s="245"/>
      <c r="B514" s="246" t="s">
        <v>1609</v>
      </c>
      <c r="C514" s="246"/>
      <c r="D514" s="246"/>
      <c r="E514" s="246"/>
      <c r="F514" s="247"/>
      <c r="G514" s="248"/>
      <c r="H514" s="249"/>
      <c r="I514" s="249"/>
      <c r="J514" s="248"/>
      <c r="K514" s="269">
        <v>1</v>
      </c>
      <c r="L514" s="250"/>
    </row>
    <row r="515" spans="1:18" s="166" customFormat="1" ht="20.100000000000001" customHeight="1" x14ac:dyDescent="0.25">
      <c r="A515" s="245"/>
      <c r="B515" s="246" t="s">
        <v>1580</v>
      </c>
      <c r="C515" s="246"/>
      <c r="D515" s="246"/>
      <c r="E515" s="246"/>
      <c r="F515" s="247"/>
      <c r="G515" s="248"/>
      <c r="H515" s="249"/>
      <c r="I515" s="249"/>
      <c r="J515" s="248"/>
      <c r="K515" s="269">
        <v>1</v>
      </c>
      <c r="L515" s="250"/>
    </row>
    <row r="516" spans="1:18" s="149" customFormat="1" ht="20.100000000000001" customHeight="1" x14ac:dyDescent="0.25">
      <c r="A516" s="267"/>
      <c r="B516" s="246" t="s">
        <v>1610</v>
      </c>
      <c r="C516" s="246"/>
      <c r="D516" s="246"/>
      <c r="E516" s="246"/>
      <c r="F516" s="247"/>
      <c r="G516" s="248"/>
      <c r="H516" s="249"/>
      <c r="I516" s="249"/>
      <c r="J516" s="248"/>
      <c r="K516" s="269">
        <v>1</v>
      </c>
      <c r="L516" s="250"/>
    </row>
    <row r="517" spans="1:18" s="149" customFormat="1" ht="20.100000000000001" customHeight="1" x14ac:dyDescent="0.25">
      <c r="A517" s="267"/>
      <c r="B517" s="246" t="s">
        <v>1453</v>
      </c>
      <c r="C517" s="246"/>
      <c r="D517" s="246"/>
      <c r="E517" s="246"/>
      <c r="F517" s="247"/>
      <c r="G517" s="248"/>
      <c r="H517" s="249"/>
      <c r="I517" s="249"/>
      <c r="J517" s="248"/>
      <c r="K517" s="269">
        <v>1</v>
      </c>
      <c r="L517" s="250"/>
    </row>
    <row r="518" spans="1:18" s="166" customFormat="1" ht="20.100000000000001" customHeight="1" x14ac:dyDescent="0.25">
      <c r="A518" s="245"/>
      <c r="B518" s="246" t="s">
        <v>1611</v>
      </c>
      <c r="C518" s="246"/>
      <c r="D518" s="246"/>
      <c r="E518" s="246"/>
      <c r="F518" s="247"/>
      <c r="G518" s="248"/>
      <c r="H518" s="249"/>
      <c r="I518" s="249"/>
      <c r="J518" s="248"/>
      <c r="K518" s="269">
        <v>1</v>
      </c>
      <c r="L518" s="250"/>
    </row>
    <row r="519" spans="1:18" s="166" customFormat="1" ht="20.100000000000001" customHeight="1" x14ac:dyDescent="0.25">
      <c r="A519" s="245"/>
      <c r="B519" s="246" t="s">
        <v>1612</v>
      </c>
      <c r="C519" s="246"/>
      <c r="D519" s="246"/>
      <c r="E519" s="246"/>
      <c r="F519" s="247"/>
      <c r="G519" s="248"/>
      <c r="H519" s="249"/>
      <c r="I519" s="249"/>
      <c r="J519" s="248"/>
      <c r="K519" s="269">
        <v>1</v>
      </c>
      <c r="L519" s="250"/>
    </row>
    <row r="520" spans="1:18" s="166" customFormat="1" ht="20.100000000000001" customHeight="1" x14ac:dyDescent="0.25">
      <c r="A520" s="245"/>
      <c r="B520" s="246" t="s">
        <v>1613</v>
      </c>
      <c r="C520" s="246"/>
      <c r="D520" s="246"/>
      <c r="E520" s="246"/>
      <c r="F520" s="247"/>
      <c r="G520" s="248"/>
      <c r="H520" s="249"/>
      <c r="I520" s="249"/>
      <c r="J520" s="248"/>
      <c r="K520" s="269">
        <v>1</v>
      </c>
      <c r="L520" s="250"/>
    </row>
    <row r="521" spans="1:18" s="166" customFormat="1" ht="20.100000000000001" customHeight="1" x14ac:dyDescent="0.25">
      <c r="A521" s="245"/>
      <c r="B521" s="246" t="s">
        <v>1614</v>
      </c>
      <c r="C521" s="246"/>
      <c r="D521" s="246"/>
      <c r="E521" s="246"/>
      <c r="F521" s="247"/>
      <c r="G521" s="248"/>
      <c r="H521" s="249"/>
      <c r="I521" s="249"/>
      <c r="J521" s="248"/>
      <c r="K521" s="269">
        <v>1</v>
      </c>
      <c r="L521" s="250"/>
    </row>
    <row r="522" spans="1:18" s="166" customFormat="1" ht="20.100000000000001" customHeight="1" x14ac:dyDescent="0.25">
      <c r="A522" s="245"/>
      <c r="B522" s="246" t="s">
        <v>1615</v>
      </c>
      <c r="C522" s="246"/>
      <c r="D522" s="246"/>
      <c r="E522" s="246"/>
      <c r="F522" s="247"/>
      <c r="G522" s="248"/>
      <c r="H522" s="249"/>
      <c r="I522" s="249"/>
      <c r="J522" s="248"/>
      <c r="K522" s="269">
        <v>1</v>
      </c>
      <c r="L522" s="250"/>
    </row>
    <row r="523" spans="1:18" s="154" customFormat="1" ht="20.100000000000001" customHeight="1" x14ac:dyDescent="0.25">
      <c r="A523" s="475" t="s">
        <v>1409</v>
      </c>
      <c r="B523" s="476"/>
      <c r="C523" s="476"/>
      <c r="D523" s="476"/>
      <c r="E523" s="476"/>
      <c r="F523" s="476"/>
      <c r="G523" s="476"/>
      <c r="H523" s="476"/>
      <c r="I523" s="476"/>
      <c r="J523" s="476"/>
      <c r="K523" s="477"/>
      <c r="L523" s="250"/>
      <c r="M523" s="149"/>
      <c r="N523" s="149"/>
      <c r="O523" s="149"/>
      <c r="P523" s="149"/>
      <c r="Q523" s="149"/>
      <c r="R523" s="149"/>
    </row>
    <row r="524" spans="1:18" s="149" customFormat="1" ht="20.100000000000001" customHeight="1" x14ac:dyDescent="0.25">
      <c r="A524" s="267"/>
      <c r="B524" s="246" t="s">
        <v>1616</v>
      </c>
      <c r="C524" s="246"/>
      <c r="D524" s="246"/>
      <c r="E524" s="246"/>
      <c r="F524" s="247"/>
      <c r="G524" s="248"/>
      <c r="H524" s="249"/>
      <c r="I524" s="249">
        <v>7</v>
      </c>
      <c r="J524" s="248"/>
      <c r="K524" s="270">
        <f>I524</f>
        <v>7</v>
      </c>
      <c r="L524" s="250"/>
    </row>
    <row r="525" spans="1:18" s="154" customFormat="1" ht="20.100000000000001" customHeight="1" x14ac:dyDescent="0.25">
      <c r="A525" s="475" t="s">
        <v>1411</v>
      </c>
      <c r="B525" s="476"/>
      <c r="C525" s="476"/>
      <c r="D525" s="476"/>
      <c r="E525" s="476"/>
      <c r="F525" s="476"/>
      <c r="G525" s="476"/>
      <c r="H525" s="476"/>
      <c r="I525" s="476"/>
      <c r="J525" s="476"/>
      <c r="K525" s="477"/>
      <c r="L525" s="250"/>
      <c r="M525" s="149"/>
      <c r="N525" s="149"/>
      <c r="O525" s="149"/>
      <c r="P525" s="149"/>
      <c r="Q525" s="149"/>
      <c r="R525" s="149"/>
    </row>
    <row r="526" spans="1:18" s="149" customFormat="1" ht="20.100000000000001" customHeight="1" x14ac:dyDescent="0.25">
      <c r="A526" s="267"/>
      <c r="B526" s="246" t="s">
        <v>1617</v>
      </c>
      <c r="C526" s="246"/>
      <c r="D526" s="246"/>
      <c r="E526" s="246"/>
      <c r="F526" s="247"/>
      <c r="G526" s="248"/>
      <c r="H526" s="249"/>
      <c r="I526" s="249">
        <v>4</v>
      </c>
      <c r="J526" s="248"/>
      <c r="K526" s="270">
        <f>I526</f>
        <v>4</v>
      </c>
      <c r="L526" s="250"/>
    </row>
    <row r="527" spans="1:18" s="154" customFormat="1" ht="20.100000000000001" customHeight="1" x14ac:dyDescent="0.25">
      <c r="A527" s="475" t="s">
        <v>1413</v>
      </c>
      <c r="B527" s="476"/>
      <c r="C527" s="476"/>
      <c r="D527" s="476"/>
      <c r="E527" s="476"/>
      <c r="F527" s="476"/>
      <c r="G527" s="476"/>
      <c r="H527" s="476"/>
      <c r="I527" s="476"/>
      <c r="J527" s="476"/>
      <c r="K527" s="477"/>
      <c r="L527" s="250"/>
      <c r="M527" s="149"/>
      <c r="N527" s="149"/>
      <c r="O527" s="149"/>
      <c r="P527" s="149"/>
      <c r="Q527" s="149"/>
      <c r="R527" s="149"/>
    </row>
    <row r="528" spans="1:18" s="149" customFormat="1" ht="20.100000000000001" customHeight="1" x14ac:dyDescent="0.25">
      <c r="A528" s="267"/>
      <c r="B528" s="246" t="s">
        <v>1618</v>
      </c>
      <c r="C528" s="246"/>
      <c r="D528" s="246"/>
      <c r="E528" s="246"/>
      <c r="F528" s="247"/>
      <c r="G528" s="248"/>
      <c r="H528" s="249"/>
      <c r="I528" s="249">
        <v>8</v>
      </c>
      <c r="J528" s="248"/>
      <c r="K528" s="270">
        <f>I528</f>
        <v>8</v>
      </c>
      <c r="L528" s="250"/>
    </row>
    <row r="529" spans="1:18" s="154" customFormat="1" ht="18.75" customHeight="1" x14ac:dyDescent="0.25">
      <c r="A529" s="470" t="s">
        <v>163</v>
      </c>
      <c r="B529" s="471"/>
      <c r="C529" s="471"/>
      <c r="D529" s="471"/>
      <c r="E529" s="471"/>
      <c r="F529" s="472"/>
      <c r="G529" s="472"/>
      <c r="H529" s="472"/>
      <c r="I529" s="472"/>
      <c r="J529" s="472"/>
      <c r="K529" s="252">
        <f>SUM(K495:K528)</f>
        <v>49</v>
      </c>
      <c r="L529" s="250"/>
      <c r="M529" s="149"/>
      <c r="N529" s="149"/>
      <c r="O529" s="149"/>
      <c r="P529" s="149"/>
      <c r="Q529" s="149"/>
      <c r="R529" s="149"/>
    </row>
    <row r="530" spans="1:18" s="154" customFormat="1" ht="20.100000000000001" customHeight="1" x14ac:dyDescent="0.25">
      <c r="A530" s="177" t="s">
        <v>3</v>
      </c>
      <c r="B530" s="171" t="s">
        <v>1619</v>
      </c>
      <c r="C530" s="171"/>
      <c r="D530" s="171"/>
      <c r="E530" s="171"/>
      <c r="F530" s="243" t="s">
        <v>24</v>
      </c>
      <c r="G530" s="244" t="s">
        <v>1496</v>
      </c>
      <c r="H530" s="244" t="s">
        <v>1417</v>
      </c>
      <c r="I530" s="244" t="s">
        <v>61</v>
      </c>
      <c r="J530" s="244"/>
      <c r="K530" s="244" t="s">
        <v>50</v>
      </c>
      <c r="L530" s="250"/>
      <c r="M530" s="149"/>
      <c r="N530" s="149"/>
      <c r="O530" s="149"/>
      <c r="P530" s="149"/>
      <c r="Q530" s="149"/>
      <c r="R530" s="149"/>
    </row>
    <row r="531" spans="1:18" s="154" customFormat="1" ht="20.100000000000001" customHeight="1" x14ac:dyDescent="0.25">
      <c r="A531" s="475" t="s">
        <v>1382</v>
      </c>
      <c r="B531" s="476"/>
      <c r="C531" s="476"/>
      <c r="D531" s="476"/>
      <c r="E531" s="476"/>
      <c r="F531" s="476"/>
      <c r="G531" s="476"/>
      <c r="H531" s="476"/>
      <c r="I531" s="476"/>
      <c r="J531" s="476"/>
      <c r="K531" s="477"/>
      <c r="L531" s="250"/>
      <c r="M531" s="149"/>
      <c r="N531" s="149"/>
      <c r="O531" s="149"/>
      <c r="P531" s="149"/>
      <c r="Q531" s="149"/>
      <c r="R531" s="149"/>
    </row>
    <row r="532" spans="1:18" s="149" customFormat="1" ht="20.100000000000001" customHeight="1" x14ac:dyDescent="0.25">
      <c r="A532" s="267"/>
      <c r="B532" s="246" t="s">
        <v>1599</v>
      </c>
      <c r="C532" s="246"/>
      <c r="D532" s="246"/>
      <c r="E532" s="246"/>
      <c r="F532" s="247"/>
      <c r="G532" s="248">
        <v>0.9</v>
      </c>
      <c r="H532" s="249">
        <v>1.7</v>
      </c>
      <c r="I532" s="249">
        <v>2</v>
      </c>
      <c r="J532" s="248"/>
      <c r="K532" s="249">
        <f>TRUNC(G532*H532*I532,2)</f>
        <v>3.06</v>
      </c>
      <c r="L532" s="250"/>
    </row>
    <row r="533" spans="1:18" s="149" customFormat="1" ht="20.100000000000001" customHeight="1" x14ac:dyDescent="0.25">
      <c r="A533" s="267"/>
      <c r="B533" s="246" t="s">
        <v>1407</v>
      </c>
      <c r="C533" s="246"/>
      <c r="D533" s="246"/>
      <c r="E533" s="246"/>
      <c r="F533" s="247"/>
      <c r="G533" s="248">
        <v>0.9</v>
      </c>
      <c r="H533" s="249">
        <v>1.7</v>
      </c>
      <c r="I533" s="249">
        <v>2</v>
      </c>
      <c r="J533" s="248"/>
      <c r="K533" s="249">
        <f t="shared" ref="K533" si="22">TRUNC(G533*H533*I533,2)</f>
        <v>3.06</v>
      </c>
      <c r="L533" s="250"/>
    </row>
    <row r="534" spans="1:18" s="154" customFormat="1" ht="20.100000000000001" customHeight="1" x14ac:dyDescent="0.25">
      <c r="A534" s="475" t="s">
        <v>1384</v>
      </c>
      <c r="B534" s="476"/>
      <c r="C534" s="476"/>
      <c r="D534" s="476"/>
      <c r="E534" s="476"/>
      <c r="F534" s="476"/>
      <c r="G534" s="476"/>
      <c r="H534" s="476"/>
      <c r="I534" s="476"/>
      <c r="J534" s="476"/>
      <c r="K534" s="477"/>
      <c r="L534" s="250"/>
      <c r="M534" s="149"/>
      <c r="N534" s="149"/>
      <c r="O534" s="149"/>
      <c r="P534" s="149"/>
      <c r="Q534" s="149"/>
      <c r="R534" s="149"/>
    </row>
    <row r="535" spans="1:18" s="149" customFormat="1" ht="20.100000000000001" customHeight="1" x14ac:dyDescent="0.25">
      <c r="A535" s="267"/>
      <c r="B535" s="246" t="s">
        <v>1613</v>
      </c>
      <c r="C535" s="246"/>
      <c r="D535" s="246"/>
      <c r="E535" s="246"/>
      <c r="F535" s="247"/>
      <c r="G535" s="248">
        <v>0.8</v>
      </c>
      <c r="H535" s="249">
        <v>1.7</v>
      </c>
      <c r="I535" s="249"/>
      <c r="J535" s="248"/>
      <c r="K535" s="249">
        <f t="shared" ref="K535:K536" si="23">TRUNC(G535*H535,2)</f>
        <v>1.36</v>
      </c>
      <c r="L535" s="250"/>
    </row>
    <row r="536" spans="1:18" s="149" customFormat="1" ht="20.100000000000001" customHeight="1" x14ac:dyDescent="0.25">
      <c r="A536" s="267"/>
      <c r="B536" s="246" t="s">
        <v>1615</v>
      </c>
      <c r="C536" s="246"/>
      <c r="D536" s="246"/>
      <c r="E536" s="246"/>
      <c r="F536" s="247"/>
      <c r="G536" s="248">
        <v>0.8</v>
      </c>
      <c r="H536" s="249">
        <v>1.7</v>
      </c>
      <c r="I536" s="249"/>
      <c r="J536" s="248"/>
      <c r="K536" s="249">
        <f t="shared" si="23"/>
        <v>1.36</v>
      </c>
      <c r="L536" s="250"/>
    </row>
    <row r="537" spans="1:18" s="154" customFormat="1" ht="20.100000000000001" customHeight="1" x14ac:dyDescent="0.25">
      <c r="A537" s="475" t="s">
        <v>1409</v>
      </c>
      <c r="B537" s="476"/>
      <c r="C537" s="476"/>
      <c r="D537" s="476"/>
      <c r="E537" s="476"/>
      <c r="F537" s="476"/>
      <c r="G537" s="476"/>
      <c r="H537" s="476"/>
      <c r="I537" s="476"/>
      <c r="J537" s="476"/>
      <c r="K537" s="477"/>
      <c r="L537" s="250"/>
      <c r="M537" s="149"/>
      <c r="N537" s="149"/>
      <c r="O537" s="149"/>
      <c r="P537" s="149"/>
      <c r="Q537" s="149"/>
      <c r="R537" s="149"/>
    </row>
    <row r="538" spans="1:18" s="149" customFormat="1" ht="20.100000000000001" customHeight="1" x14ac:dyDescent="0.25">
      <c r="A538" s="267"/>
      <c r="B538" s="246" t="s">
        <v>1584</v>
      </c>
      <c r="C538" s="246"/>
      <c r="D538" s="246"/>
      <c r="E538" s="246"/>
      <c r="F538" s="247"/>
      <c r="G538" s="248">
        <v>0.9</v>
      </c>
      <c r="H538" s="249">
        <v>2.1</v>
      </c>
      <c r="I538" s="249"/>
      <c r="J538" s="248"/>
      <c r="K538" s="249">
        <f>TRUNC(G538*H538,2)</f>
        <v>1.89</v>
      </c>
      <c r="L538" s="250"/>
    </row>
    <row r="539" spans="1:18" s="149" customFormat="1" ht="20.100000000000001" customHeight="1" x14ac:dyDescent="0.25">
      <c r="A539" s="267"/>
      <c r="B539" s="246" t="s">
        <v>1620</v>
      </c>
      <c r="C539" s="246"/>
      <c r="D539" s="246"/>
      <c r="E539" s="246"/>
      <c r="F539" s="247"/>
      <c r="G539" s="248">
        <v>0.9</v>
      </c>
      <c r="H539" s="249">
        <v>2.1</v>
      </c>
      <c r="I539" s="249"/>
      <c r="J539" s="248"/>
      <c r="K539" s="249">
        <f>TRUNC(G539*H539,2)</f>
        <v>1.89</v>
      </c>
      <c r="L539" s="250"/>
    </row>
    <row r="540" spans="1:18" s="154" customFormat="1" ht="20.100000000000001" customHeight="1" x14ac:dyDescent="0.25">
      <c r="A540" s="475" t="s">
        <v>1411</v>
      </c>
      <c r="B540" s="476"/>
      <c r="C540" s="476"/>
      <c r="D540" s="476"/>
      <c r="E540" s="476"/>
      <c r="F540" s="476"/>
      <c r="G540" s="476"/>
      <c r="H540" s="476"/>
      <c r="I540" s="476"/>
      <c r="J540" s="476"/>
      <c r="K540" s="477"/>
      <c r="L540" s="250"/>
      <c r="M540" s="149"/>
      <c r="N540" s="149"/>
      <c r="O540" s="149"/>
      <c r="P540" s="149"/>
      <c r="Q540" s="149"/>
      <c r="R540" s="149"/>
    </row>
    <row r="541" spans="1:18" s="149" customFormat="1" ht="20.100000000000001" customHeight="1" x14ac:dyDescent="0.25">
      <c r="A541" s="267"/>
      <c r="B541" s="246" t="s">
        <v>1601</v>
      </c>
      <c r="C541" s="246"/>
      <c r="D541" s="246"/>
      <c r="E541" s="246"/>
      <c r="F541" s="247"/>
      <c r="G541" s="248">
        <v>0.9</v>
      </c>
      <c r="H541" s="249">
        <v>2.1</v>
      </c>
      <c r="I541" s="249"/>
      <c r="J541" s="248"/>
      <c r="K541" s="249">
        <f>TRUNC(G541*H541,2)</f>
        <v>1.89</v>
      </c>
      <c r="L541" s="250"/>
    </row>
    <row r="542" spans="1:18" s="149" customFormat="1" ht="20.100000000000001" customHeight="1" x14ac:dyDescent="0.25">
      <c r="A542" s="267"/>
      <c r="B542" s="246" t="s">
        <v>1599</v>
      </c>
      <c r="C542" s="246"/>
      <c r="D542" s="246"/>
      <c r="E542" s="246"/>
      <c r="F542" s="247"/>
      <c r="G542" s="248">
        <v>0.9</v>
      </c>
      <c r="H542" s="249">
        <v>2.1</v>
      </c>
      <c r="I542" s="249"/>
      <c r="J542" s="248"/>
      <c r="K542" s="249">
        <f>TRUNC(G542*H542,2)</f>
        <v>1.89</v>
      </c>
      <c r="L542" s="250"/>
    </row>
    <row r="543" spans="1:18" s="154" customFormat="1" ht="20.100000000000001" customHeight="1" x14ac:dyDescent="0.25">
      <c r="A543" s="475" t="s">
        <v>1413</v>
      </c>
      <c r="B543" s="476"/>
      <c r="C543" s="476"/>
      <c r="D543" s="476"/>
      <c r="E543" s="476"/>
      <c r="F543" s="476"/>
      <c r="G543" s="476"/>
      <c r="H543" s="476"/>
      <c r="I543" s="476"/>
      <c r="J543" s="476"/>
      <c r="K543" s="477"/>
      <c r="L543" s="250"/>
      <c r="M543" s="149"/>
      <c r="N543" s="149"/>
      <c r="O543" s="149"/>
      <c r="P543" s="149"/>
      <c r="Q543" s="149"/>
      <c r="R543" s="149"/>
    </row>
    <row r="544" spans="1:18" s="149" customFormat="1" ht="20.100000000000001" customHeight="1" x14ac:dyDescent="0.25">
      <c r="A544" s="267"/>
      <c r="B544" s="246" t="s">
        <v>1475</v>
      </c>
      <c r="C544" s="246"/>
      <c r="D544" s="246"/>
      <c r="E544" s="246"/>
      <c r="F544" s="247"/>
      <c r="G544" s="248">
        <v>0.9</v>
      </c>
      <c r="H544" s="249">
        <v>1.7</v>
      </c>
      <c r="I544" s="249">
        <v>6</v>
      </c>
      <c r="J544" s="248"/>
      <c r="K544" s="249">
        <f>TRUNC(G544*H544*I544,2)</f>
        <v>9.18</v>
      </c>
      <c r="L544" s="250"/>
    </row>
    <row r="545" spans="1:18" s="154" customFormat="1" ht="18.75" customHeight="1" x14ac:dyDescent="0.25">
      <c r="A545" s="470" t="s">
        <v>163</v>
      </c>
      <c r="B545" s="471"/>
      <c r="C545" s="471"/>
      <c r="D545" s="471"/>
      <c r="E545" s="471"/>
      <c r="F545" s="472"/>
      <c r="G545" s="472"/>
      <c r="H545" s="472"/>
      <c r="I545" s="472"/>
      <c r="J545" s="472"/>
      <c r="K545" s="252">
        <f>SUM(K532:K544)</f>
        <v>25.580000000000002</v>
      </c>
      <c r="L545" s="250"/>
      <c r="M545" s="149"/>
      <c r="N545" s="149"/>
      <c r="O545" s="149"/>
      <c r="P545" s="149"/>
      <c r="Q545" s="149"/>
      <c r="R545" s="149"/>
    </row>
    <row r="546" spans="1:18" s="154" customFormat="1" ht="20.100000000000001" customHeight="1" x14ac:dyDescent="0.25">
      <c r="A546" s="177" t="s">
        <v>3</v>
      </c>
      <c r="B546" s="171" t="s">
        <v>1621</v>
      </c>
      <c r="C546" s="171"/>
      <c r="D546" s="171"/>
      <c r="E546" s="171"/>
      <c r="F546" s="243" t="s">
        <v>24</v>
      </c>
      <c r="G546" s="244" t="s">
        <v>1428</v>
      </c>
      <c r="H546" s="244" t="s">
        <v>1417</v>
      </c>
      <c r="I546" s="244" t="s">
        <v>61</v>
      </c>
      <c r="J546" s="244"/>
      <c r="K546" s="244" t="s">
        <v>50</v>
      </c>
      <c r="L546" s="250"/>
      <c r="M546" s="149"/>
      <c r="N546" s="149"/>
      <c r="O546" s="149"/>
      <c r="P546" s="149"/>
      <c r="Q546" s="149"/>
      <c r="R546" s="149"/>
    </row>
    <row r="547" spans="1:18" s="154" customFormat="1" ht="20.100000000000001" customHeight="1" x14ac:dyDescent="0.25">
      <c r="A547" s="475" t="s">
        <v>1384</v>
      </c>
      <c r="B547" s="476"/>
      <c r="C547" s="476"/>
      <c r="D547" s="476"/>
      <c r="E547" s="476"/>
      <c r="F547" s="476"/>
      <c r="G547" s="476"/>
      <c r="H547" s="476"/>
      <c r="I547" s="476"/>
      <c r="J547" s="476"/>
      <c r="K547" s="477"/>
      <c r="L547" s="250"/>
      <c r="M547" s="149"/>
      <c r="N547" s="149"/>
      <c r="O547" s="149"/>
      <c r="P547" s="149"/>
      <c r="Q547" s="149"/>
      <c r="R547" s="149"/>
    </row>
    <row r="548" spans="1:18" s="149" customFormat="1" ht="20.100000000000001" customHeight="1" x14ac:dyDescent="0.25">
      <c r="A548" s="267"/>
      <c r="B548" s="246" t="s">
        <v>811</v>
      </c>
      <c r="C548" s="246"/>
      <c r="D548" s="246"/>
      <c r="E548" s="246"/>
      <c r="F548" s="247"/>
      <c r="G548" s="248">
        <v>0.8</v>
      </c>
      <c r="H548" s="249">
        <v>2.1</v>
      </c>
      <c r="I548" s="249"/>
      <c r="J548" s="248"/>
      <c r="K548" s="249">
        <f>TRUNC(G548*H548,2)</f>
        <v>1.68</v>
      </c>
      <c r="L548" s="250"/>
    </row>
    <row r="549" spans="1:18" s="149" customFormat="1" ht="20.100000000000001" customHeight="1" x14ac:dyDescent="0.25">
      <c r="A549" s="267"/>
      <c r="B549" s="246" t="s">
        <v>1622</v>
      </c>
      <c r="C549" s="246"/>
      <c r="D549" s="246"/>
      <c r="E549" s="246"/>
      <c r="F549" s="247"/>
      <c r="G549" s="248">
        <v>1</v>
      </c>
      <c r="H549" s="249">
        <v>2.1</v>
      </c>
      <c r="I549" s="249"/>
      <c r="J549" s="248"/>
      <c r="K549" s="249">
        <f>TRUNC(G549*H549,2)</f>
        <v>2.1</v>
      </c>
      <c r="L549" s="250"/>
    </row>
    <row r="550" spans="1:18" s="154" customFormat="1" ht="18.75" customHeight="1" x14ac:dyDescent="0.25">
      <c r="A550" s="470" t="s">
        <v>163</v>
      </c>
      <c r="B550" s="471"/>
      <c r="C550" s="471"/>
      <c r="D550" s="471"/>
      <c r="E550" s="471"/>
      <c r="F550" s="472"/>
      <c r="G550" s="472"/>
      <c r="H550" s="472"/>
      <c r="I550" s="472"/>
      <c r="J550" s="472"/>
      <c r="K550" s="252">
        <f>SUM(K548:K549)</f>
        <v>3.7800000000000002</v>
      </c>
      <c r="L550" s="250"/>
      <c r="M550" s="149"/>
      <c r="N550" s="149"/>
      <c r="O550" s="149"/>
      <c r="P550" s="149"/>
      <c r="Q550" s="149"/>
      <c r="R550" s="149"/>
    </row>
    <row r="551" spans="1:18" s="154" customFormat="1" ht="20.100000000000001" customHeight="1" x14ac:dyDescent="0.25">
      <c r="A551" s="177" t="s">
        <v>3</v>
      </c>
      <c r="B551" s="171" t="s">
        <v>1623</v>
      </c>
      <c r="C551" s="171"/>
      <c r="D551" s="171"/>
      <c r="E551" s="171"/>
      <c r="F551" s="243" t="s">
        <v>24</v>
      </c>
      <c r="G551" s="244" t="s">
        <v>1428</v>
      </c>
      <c r="H551" s="244" t="s">
        <v>1417</v>
      </c>
      <c r="I551" s="244" t="s">
        <v>61</v>
      </c>
      <c r="J551" s="244"/>
      <c r="K551" s="244" t="s">
        <v>50</v>
      </c>
      <c r="L551" s="250"/>
      <c r="M551" s="149"/>
      <c r="N551" s="149"/>
      <c r="O551" s="149"/>
      <c r="P551" s="149"/>
      <c r="Q551" s="149"/>
      <c r="R551" s="149"/>
    </row>
    <row r="552" spans="1:18" s="154" customFormat="1" ht="20.100000000000001" customHeight="1" x14ac:dyDescent="0.25">
      <c r="A552" s="475" t="s">
        <v>1574</v>
      </c>
      <c r="B552" s="476"/>
      <c r="C552" s="476"/>
      <c r="D552" s="476"/>
      <c r="E552" s="476"/>
      <c r="F552" s="476"/>
      <c r="G552" s="476"/>
      <c r="H552" s="476"/>
      <c r="I552" s="476"/>
      <c r="J552" s="476"/>
      <c r="K552" s="477"/>
      <c r="L552" s="250"/>
      <c r="M552" s="149"/>
      <c r="N552" s="149"/>
      <c r="O552" s="149"/>
      <c r="P552" s="149"/>
      <c r="Q552" s="149"/>
      <c r="R552" s="149"/>
    </row>
    <row r="553" spans="1:18" s="149" customFormat="1" ht="20.100000000000001" customHeight="1" x14ac:dyDescent="0.25">
      <c r="A553" s="267"/>
      <c r="B553" s="246" t="s">
        <v>1623</v>
      </c>
      <c r="C553" s="246"/>
      <c r="D553" s="246"/>
      <c r="E553" s="246"/>
      <c r="F553" s="247"/>
      <c r="G553" s="248">
        <v>0.8</v>
      </c>
      <c r="H553" s="249">
        <v>2.1</v>
      </c>
      <c r="I553" s="249"/>
      <c r="J553" s="248"/>
      <c r="K553" s="249">
        <f>TRUNC(G553*H553,2)</f>
        <v>1.68</v>
      </c>
      <c r="L553" s="250"/>
    </row>
    <row r="554" spans="1:18" s="154" customFormat="1" ht="18.75" customHeight="1" x14ac:dyDescent="0.25">
      <c r="A554" s="470" t="s">
        <v>163</v>
      </c>
      <c r="B554" s="471"/>
      <c r="C554" s="471"/>
      <c r="D554" s="471"/>
      <c r="E554" s="471"/>
      <c r="F554" s="472"/>
      <c r="G554" s="472"/>
      <c r="H554" s="472"/>
      <c r="I554" s="472"/>
      <c r="J554" s="472"/>
      <c r="K554" s="252">
        <f>SUM(K552:K553)</f>
        <v>1.68</v>
      </c>
      <c r="L554" s="250"/>
      <c r="M554" s="149"/>
      <c r="N554" s="149"/>
      <c r="O554" s="149"/>
      <c r="P554" s="149"/>
      <c r="Q554" s="149"/>
      <c r="R554" s="149"/>
    </row>
    <row r="555" spans="1:18" s="154" customFormat="1" ht="20.100000000000001" customHeight="1" x14ac:dyDescent="0.25">
      <c r="A555" s="177" t="s">
        <v>3</v>
      </c>
      <c r="B555" s="171" t="s">
        <v>1624</v>
      </c>
      <c r="C555" s="171"/>
      <c r="D555" s="171"/>
      <c r="E555" s="171"/>
      <c r="F555" s="243" t="s">
        <v>24</v>
      </c>
      <c r="G555" s="244" t="s">
        <v>1428</v>
      </c>
      <c r="H555" s="244" t="s">
        <v>1417</v>
      </c>
      <c r="I555" s="244" t="s">
        <v>61</v>
      </c>
      <c r="J555" s="244"/>
      <c r="K555" s="244" t="s">
        <v>50</v>
      </c>
      <c r="L555" s="250"/>
      <c r="M555" s="149"/>
      <c r="N555" s="149"/>
      <c r="O555" s="149"/>
      <c r="P555" s="149"/>
      <c r="Q555" s="149"/>
      <c r="R555" s="149"/>
    </row>
    <row r="556" spans="1:18" s="154" customFormat="1" ht="20.100000000000001" customHeight="1" x14ac:dyDescent="0.25">
      <c r="A556" s="475" t="s">
        <v>1382</v>
      </c>
      <c r="B556" s="476"/>
      <c r="C556" s="476"/>
      <c r="D556" s="476"/>
      <c r="E556" s="476"/>
      <c r="F556" s="476"/>
      <c r="G556" s="476"/>
      <c r="H556" s="476"/>
      <c r="I556" s="476"/>
      <c r="J556" s="476"/>
      <c r="K556" s="477"/>
      <c r="L556" s="250"/>
      <c r="M556" s="149"/>
      <c r="N556" s="149"/>
      <c r="O556" s="149"/>
      <c r="P556" s="149"/>
      <c r="Q556" s="149"/>
      <c r="R556" s="149"/>
    </row>
    <row r="557" spans="1:18" s="149" customFormat="1" ht="20.100000000000001" customHeight="1" x14ac:dyDescent="0.25">
      <c r="A557" s="267"/>
      <c r="B557" s="246" t="s">
        <v>1625</v>
      </c>
      <c r="C557" s="246"/>
      <c r="D557" s="246"/>
      <c r="E557" s="246"/>
      <c r="F557" s="247"/>
      <c r="G557" s="248">
        <v>2.4</v>
      </c>
      <c r="H557" s="249">
        <v>2.1</v>
      </c>
      <c r="I557" s="249">
        <v>1</v>
      </c>
      <c r="J557" s="248"/>
      <c r="K557" s="249">
        <f>I557</f>
        <v>1</v>
      </c>
      <c r="L557" s="250"/>
    </row>
    <row r="558" spans="1:18" s="154" customFormat="1" ht="20.100000000000001" customHeight="1" x14ac:dyDescent="0.25">
      <c r="A558" s="475" t="s">
        <v>1384</v>
      </c>
      <c r="B558" s="476"/>
      <c r="C558" s="476"/>
      <c r="D558" s="476"/>
      <c r="E558" s="476"/>
      <c r="F558" s="476"/>
      <c r="G558" s="476"/>
      <c r="H558" s="476"/>
      <c r="I558" s="476"/>
      <c r="J558" s="476"/>
      <c r="K558" s="477"/>
      <c r="L558" s="250"/>
      <c r="M558" s="149"/>
      <c r="N558" s="149"/>
      <c r="O558" s="149"/>
      <c r="P558" s="149"/>
      <c r="Q558" s="149"/>
      <c r="R558" s="149"/>
    </row>
    <row r="559" spans="1:18" s="149" customFormat="1" ht="20.100000000000001" customHeight="1" x14ac:dyDescent="0.25">
      <c r="A559" s="267"/>
      <c r="B559" s="246" t="s">
        <v>1625</v>
      </c>
      <c r="C559" s="246"/>
      <c r="D559" s="246"/>
      <c r="E559" s="246"/>
      <c r="F559" s="247"/>
      <c r="G559" s="248">
        <v>2.4</v>
      </c>
      <c r="H559" s="249">
        <v>2.1</v>
      </c>
      <c r="I559" s="249">
        <v>1</v>
      </c>
      <c r="J559" s="248"/>
      <c r="K559" s="249">
        <f>I559</f>
        <v>1</v>
      </c>
      <c r="L559" s="250"/>
    </row>
    <row r="560" spans="1:18" s="154" customFormat="1" ht="20.100000000000001" customHeight="1" x14ac:dyDescent="0.25">
      <c r="A560" s="475" t="s">
        <v>1409</v>
      </c>
      <c r="B560" s="476"/>
      <c r="C560" s="476"/>
      <c r="D560" s="476"/>
      <c r="E560" s="476"/>
      <c r="F560" s="476"/>
      <c r="G560" s="476"/>
      <c r="H560" s="476"/>
      <c r="I560" s="476"/>
      <c r="J560" s="476"/>
      <c r="K560" s="477"/>
      <c r="L560" s="250"/>
      <c r="M560" s="149"/>
      <c r="N560" s="149"/>
      <c r="O560" s="149"/>
      <c r="P560" s="149"/>
      <c r="Q560" s="149"/>
      <c r="R560" s="149"/>
    </row>
    <row r="561" spans="1:18" s="149" customFormat="1" ht="20.100000000000001" customHeight="1" x14ac:dyDescent="0.25">
      <c r="A561" s="267"/>
      <c r="B561" s="246" t="s">
        <v>1625</v>
      </c>
      <c r="C561" s="246"/>
      <c r="D561" s="246"/>
      <c r="E561" s="246"/>
      <c r="F561" s="247"/>
      <c r="G561" s="248">
        <v>2.4</v>
      </c>
      <c r="H561" s="249">
        <v>2.1</v>
      </c>
      <c r="I561" s="249">
        <v>2</v>
      </c>
      <c r="J561" s="248"/>
      <c r="K561" s="249">
        <f>I561</f>
        <v>2</v>
      </c>
      <c r="L561" s="250"/>
    </row>
    <row r="562" spans="1:18" s="154" customFormat="1" ht="20.100000000000001" customHeight="1" x14ac:dyDescent="0.25">
      <c r="A562" s="475" t="s">
        <v>1411</v>
      </c>
      <c r="B562" s="476"/>
      <c r="C562" s="476"/>
      <c r="D562" s="476"/>
      <c r="E562" s="476"/>
      <c r="F562" s="476"/>
      <c r="G562" s="476"/>
      <c r="H562" s="476"/>
      <c r="I562" s="476"/>
      <c r="J562" s="476"/>
      <c r="K562" s="477"/>
      <c r="L562" s="250"/>
      <c r="M562" s="149"/>
      <c r="N562" s="149"/>
      <c r="O562" s="149"/>
      <c r="P562" s="149"/>
      <c r="Q562" s="149"/>
      <c r="R562" s="149"/>
    </row>
    <row r="563" spans="1:18" s="149" customFormat="1" ht="20.100000000000001" customHeight="1" x14ac:dyDescent="0.25">
      <c r="A563" s="267"/>
      <c r="B563" s="246" t="s">
        <v>1625</v>
      </c>
      <c r="C563" s="246"/>
      <c r="D563" s="246"/>
      <c r="E563" s="246"/>
      <c r="F563" s="247"/>
      <c r="G563" s="248">
        <v>2.4</v>
      </c>
      <c r="H563" s="249">
        <v>2.1</v>
      </c>
      <c r="I563" s="249">
        <v>1</v>
      </c>
      <c r="J563" s="248"/>
      <c r="K563" s="249">
        <f>I563</f>
        <v>1</v>
      </c>
      <c r="L563" s="250"/>
    </row>
    <row r="564" spans="1:18" s="154" customFormat="1" ht="18.75" customHeight="1" x14ac:dyDescent="0.25">
      <c r="A564" s="470" t="s">
        <v>163</v>
      </c>
      <c r="B564" s="471"/>
      <c r="C564" s="471"/>
      <c r="D564" s="471"/>
      <c r="E564" s="471"/>
      <c r="F564" s="472"/>
      <c r="G564" s="472"/>
      <c r="H564" s="472"/>
      <c r="I564" s="472"/>
      <c r="J564" s="472"/>
      <c r="K564" s="252">
        <f>SUM(K557:K563)</f>
        <v>5</v>
      </c>
      <c r="L564" s="250"/>
      <c r="M564" s="149"/>
      <c r="N564" s="149"/>
      <c r="O564" s="149"/>
      <c r="P564" s="149"/>
      <c r="Q564" s="149"/>
      <c r="R564" s="149"/>
    </row>
    <row r="565" spans="1:18" s="154" customFormat="1" ht="20.100000000000001" customHeight="1" x14ac:dyDescent="0.25">
      <c r="A565" s="177" t="s">
        <v>3</v>
      </c>
      <c r="B565" s="171" t="s">
        <v>1626</v>
      </c>
      <c r="C565" s="171"/>
      <c r="D565" s="171"/>
      <c r="E565" s="171"/>
      <c r="F565" s="243" t="s">
        <v>24</v>
      </c>
      <c r="G565" s="244" t="s">
        <v>1428</v>
      </c>
      <c r="H565" s="244" t="s">
        <v>1417</v>
      </c>
      <c r="I565" s="244" t="s">
        <v>61</v>
      </c>
      <c r="J565" s="244"/>
      <c r="K565" s="244" t="s">
        <v>50</v>
      </c>
      <c r="L565" s="250"/>
      <c r="M565" s="149"/>
      <c r="N565" s="149"/>
      <c r="O565" s="149"/>
      <c r="P565" s="149"/>
      <c r="Q565" s="149"/>
      <c r="R565" s="149"/>
    </row>
    <row r="566" spans="1:18" s="149" customFormat="1" ht="20.100000000000001" customHeight="1" x14ac:dyDescent="0.25">
      <c r="A566" s="267"/>
      <c r="B566" s="246" t="s">
        <v>1625</v>
      </c>
      <c r="C566" s="246"/>
      <c r="D566" s="246"/>
      <c r="E566" s="246"/>
      <c r="F566" s="247"/>
      <c r="G566" s="248">
        <v>2</v>
      </c>
      <c r="H566" s="249">
        <v>2.1</v>
      </c>
      <c r="I566" s="249">
        <v>1</v>
      </c>
      <c r="J566" s="248"/>
      <c r="K566" s="249">
        <f>I566</f>
        <v>1</v>
      </c>
      <c r="L566" s="250"/>
    </row>
    <row r="567" spans="1:18" s="154" customFormat="1" ht="18.75" customHeight="1" x14ac:dyDescent="0.25">
      <c r="A567" s="470" t="s">
        <v>163</v>
      </c>
      <c r="B567" s="471"/>
      <c r="C567" s="471"/>
      <c r="D567" s="471"/>
      <c r="E567" s="471"/>
      <c r="F567" s="472"/>
      <c r="G567" s="472"/>
      <c r="H567" s="472"/>
      <c r="I567" s="472"/>
      <c r="J567" s="472"/>
      <c r="K567" s="252">
        <f>K566</f>
        <v>1</v>
      </c>
      <c r="L567" s="250"/>
      <c r="M567" s="149"/>
      <c r="N567" s="149"/>
      <c r="O567" s="149"/>
      <c r="P567" s="149"/>
      <c r="Q567" s="149"/>
      <c r="R567" s="149"/>
    </row>
    <row r="568" spans="1:18" s="154" customFormat="1" ht="20.100000000000001" customHeight="1" x14ac:dyDescent="0.25">
      <c r="A568" s="177" t="s">
        <v>3</v>
      </c>
      <c r="B568" s="171" t="s">
        <v>1627</v>
      </c>
      <c r="C568" s="171"/>
      <c r="D568" s="171"/>
      <c r="E568" s="171"/>
      <c r="F568" s="243" t="s">
        <v>24</v>
      </c>
      <c r="G568" s="244" t="s">
        <v>1428</v>
      </c>
      <c r="H568" s="244" t="s">
        <v>1417</v>
      </c>
      <c r="I568" s="244" t="s">
        <v>61</v>
      </c>
      <c r="J568" s="244"/>
      <c r="K568" s="244" t="s">
        <v>50</v>
      </c>
      <c r="L568" s="250"/>
      <c r="M568" s="149"/>
      <c r="N568" s="149"/>
      <c r="O568" s="149"/>
      <c r="P568" s="149"/>
      <c r="Q568" s="149"/>
      <c r="R568" s="149"/>
    </row>
    <row r="569" spans="1:18" s="154" customFormat="1" ht="20.100000000000001" customHeight="1" x14ac:dyDescent="0.25">
      <c r="A569" s="475" t="s">
        <v>1384</v>
      </c>
      <c r="B569" s="476"/>
      <c r="C569" s="476"/>
      <c r="D569" s="476"/>
      <c r="E569" s="476"/>
      <c r="F569" s="476"/>
      <c r="G569" s="476"/>
      <c r="H569" s="476"/>
      <c r="I569" s="476"/>
      <c r="J569" s="476"/>
      <c r="K569" s="477"/>
      <c r="L569" s="250"/>
      <c r="M569" s="149"/>
      <c r="N569" s="149"/>
      <c r="O569" s="149"/>
      <c r="P569" s="149"/>
      <c r="Q569" s="149"/>
      <c r="R569" s="149"/>
    </row>
    <row r="570" spans="1:18" s="149" customFormat="1" ht="20.100000000000001" customHeight="1" x14ac:dyDescent="0.25">
      <c r="A570" s="267"/>
      <c r="B570" s="246" t="s">
        <v>1455</v>
      </c>
      <c r="C570" s="246"/>
      <c r="D570" s="246"/>
      <c r="E570" s="246"/>
      <c r="F570" s="247"/>
      <c r="G570" s="248">
        <v>1.2</v>
      </c>
      <c r="H570" s="249">
        <v>2.1</v>
      </c>
      <c r="I570" s="249"/>
      <c r="J570" s="248"/>
      <c r="K570" s="249">
        <f>TRUNC(G570*H570,2)</f>
        <v>2.52</v>
      </c>
      <c r="L570" s="250"/>
    </row>
    <row r="571" spans="1:18" s="149" customFormat="1" ht="20.100000000000001" customHeight="1" x14ac:dyDescent="0.25">
      <c r="A571" s="267"/>
      <c r="B571" s="246" t="s">
        <v>1628</v>
      </c>
      <c r="C571" s="246"/>
      <c r="D571" s="246"/>
      <c r="E571" s="246"/>
      <c r="F571" s="247"/>
      <c r="G571" s="248">
        <v>1.2</v>
      </c>
      <c r="H571" s="249">
        <v>2.1</v>
      </c>
      <c r="I571" s="249"/>
      <c r="J571" s="248"/>
      <c r="K571" s="249">
        <f>TRUNC(G571*H571,2)</f>
        <v>2.52</v>
      </c>
      <c r="L571" s="250"/>
    </row>
    <row r="572" spans="1:18" s="154" customFormat="1" ht="20.100000000000001" customHeight="1" x14ac:dyDescent="0.25">
      <c r="A572" s="475" t="s">
        <v>1411</v>
      </c>
      <c r="B572" s="476"/>
      <c r="C572" s="476"/>
      <c r="D572" s="476"/>
      <c r="E572" s="476"/>
      <c r="F572" s="476"/>
      <c r="G572" s="476"/>
      <c r="H572" s="476"/>
      <c r="I572" s="476"/>
      <c r="J572" s="476"/>
      <c r="K572" s="477"/>
      <c r="L572" s="250"/>
      <c r="M572" s="149"/>
      <c r="N572" s="149"/>
      <c r="O572" s="149"/>
      <c r="P572" s="149"/>
      <c r="Q572" s="149"/>
      <c r="R572" s="149"/>
    </row>
    <row r="573" spans="1:18" s="149" customFormat="1" ht="20.100000000000001" customHeight="1" x14ac:dyDescent="0.25">
      <c r="A573" s="267"/>
      <c r="B573" s="246" t="s">
        <v>1455</v>
      </c>
      <c r="C573" s="246"/>
      <c r="D573" s="246"/>
      <c r="E573" s="246"/>
      <c r="F573" s="247"/>
      <c r="G573" s="248">
        <v>1.5</v>
      </c>
      <c r="H573" s="249">
        <v>2.1</v>
      </c>
      <c r="I573" s="249"/>
      <c r="J573" s="248"/>
      <c r="K573" s="249">
        <f>TRUNC(G573*H573,2)</f>
        <v>3.15</v>
      </c>
      <c r="L573" s="250"/>
    </row>
    <row r="574" spans="1:18" s="154" customFormat="1" ht="18.75" customHeight="1" x14ac:dyDescent="0.25">
      <c r="A574" s="470" t="s">
        <v>163</v>
      </c>
      <c r="B574" s="471"/>
      <c r="C574" s="471"/>
      <c r="D574" s="471"/>
      <c r="E574" s="471"/>
      <c r="F574" s="472"/>
      <c r="G574" s="472"/>
      <c r="H574" s="472"/>
      <c r="I574" s="472"/>
      <c r="J574" s="472"/>
      <c r="K574" s="252">
        <f>SUM(K570:K573)</f>
        <v>8.19</v>
      </c>
      <c r="L574" s="250"/>
      <c r="M574" s="149"/>
      <c r="N574" s="149"/>
      <c r="O574" s="149"/>
      <c r="P574" s="149"/>
      <c r="Q574" s="149"/>
      <c r="R574" s="149"/>
    </row>
    <row r="575" spans="1:18" s="154" customFormat="1" ht="20.100000000000001" customHeight="1" x14ac:dyDescent="0.25">
      <c r="A575" s="177" t="s">
        <v>3</v>
      </c>
      <c r="B575" s="171" t="s">
        <v>1629</v>
      </c>
      <c r="C575" s="171"/>
      <c r="D575" s="171"/>
      <c r="E575" s="171"/>
      <c r="F575" s="243" t="s">
        <v>24</v>
      </c>
      <c r="G575" s="244" t="s">
        <v>1428</v>
      </c>
      <c r="H575" s="244" t="s">
        <v>1417</v>
      </c>
      <c r="I575" s="244" t="s">
        <v>61</v>
      </c>
      <c r="J575" s="244"/>
      <c r="K575" s="244" t="s">
        <v>50</v>
      </c>
      <c r="L575" s="250"/>
      <c r="M575" s="149"/>
      <c r="N575" s="149"/>
      <c r="O575" s="149"/>
      <c r="P575" s="149"/>
      <c r="Q575" s="149"/>
      <c r="R575" s="149"/>
    </row>
    <row r="576" spans="1:18" s="149" customFormat="1" ht="20.100000000000001" customHeight="1" x14ac:dyDescent="0.25">
      <c r="A576" s="267"/>
      <c r="B576" s="246" t="s">
        <v>1630</v>
      </c>
      <c r="C576" s="246"/>
      <c r="D576" s="246"/>
      <c r="E576" s="246"/>
      <c r="F576" s="247"/>
      <c r="G576" s="248">
        <v>2.2999999999999998</v>
      </c>
      <c r="H576" s="249">
        <v>0.75</v>
      </c>
      <c r="I576" s="249">
        <v>2</v>
      </c>
      <c r="J576" s="248"/>
      <c r="K576" s="249">
        <f>TRUNC(G576*H576*I576,2)</f>
        <v>3.45</v>
      </c>
      <c r="L576" s="250"/>
    </row>
    <row r="577" spans="1:18" s="154" customFormat="1" ht="18.75" customHeight="1" x14ac:dyDescent="0.25">
      <c r="A577" s="470" t="s">
        <v>163</v>
      </c>
      <c r="B577" s="471"/>
      <c r="C577" s="471"/>
      <c r="D577" s="471"/>
      <c r="E577" s="471"/>
      <c r="F577" s="472"/>
      <c r="G577" s="472"/>
      <c r="H577" s="472"/>
      <c r="I577" s="472"/>
      <c r="J577" s="472"/>
      <c r="K577" s="252">
        <f>SUM(K576)</f>
        <v>3.45</v>
      </c>
      <c r="L577" s="250"/>
      <c r="M577" s="149"/>
      <c r="N577" s="149"/>
      <c r="O577" s="149"/>
      <c r="P577" s="149"/>
      <c r="Q577" s="149"/>
      <c r="R577" s="149"/>
    </row>
    <row r="578" spans="1:18" s="154" customFormat="1" ht="20.100000000000001" customHeight="1" x14ac:dyDescent="0.25">
      <c r="A578" s="478" t="s">
        <v>219</v>
      </c>
      <c r="B578" s="478"/>
      <c r="C578" s="478"/>
      <c r="D578" s="478"/>
      <c r="E578" s="478"/>
      <c r="F578" s="478"/>
      <c r="G578" s="478"/>
      <c r="H578" s="478"/>
      <c r="I578" s="478"/>
      <c r="J578" s="478"/>
      <c r="K578" s="478"/>
      <c r="L578" s="250"/>
      <c r="M578" s="149"/>
      <c r="N578" s="149"/>
      <c r="O578" s="149"/>
      <c r="P578" s="149"/>
      <c r="Q578" s="149"/>
      <c r="R578" s="149"/>
    </row>
    <row r="579" spans="1:18" s="154" customFormat="1" ht="20.100000000000001" customHeight="1" x14ac:dyDescent="0.25">
      <c r="A579" s="177" t="s">
        <v>3</v>
      </c>
      <c r="B579" s="171" t="s">
        <v>741</v>
      </c>
      <c r="C579" s="171"/>
      <c r="D579" s="171"/>
      <c r="E579" s="171"/>
      <c r="F579" s="243" t="s">
        <v>701</v>
      </c>
      <c r="G579" s="244" t="s">
        <v>1496</v>
      </c>
      <c r="H579" s="244"/>
      <c r="I579" s="244"/>
      <c r="J579" s="244"/>
      <c r="K579" s="244" t="s">
        <v>50</v>
      </c>
      <c r="L579" s="250"/>
      <c r="M579" s="149"/>
      <c r="N579" s="149"/>
      <c r="O579" s="149"/>
      <c r="P579" s="149"/>
      <c r="Q579" s="149"/>
      <c r="R579" s="149"/>
    </row>
    <row r="580" spans="1:18" s="149" customFormat="1" ht="20.100000000000001" customHeight="1" x14ac:dyDescent="0.25">
      <c r="A580" s="267"/>
      <c r="B580" s="246" t="s">
        <v>1631</v>
      </c>
      <c r="C580" s="246"/>
      <c r="D580" s="246"/>
      <c r="E580" s="246"/>
      <c r="F580" s="247"/>
      <c r="G580" s="248">
        <v>150</v>
      </c>
      <c r="H580" s="249"/>
      <c r="I580" s="249"/>
      <c r="J580" s="248"/>
      <c r="K580" s="249">
        <f>G580</f>
        <v>150</v>
      </c>
      <c r="L580" s="250"/>
    </row>
    <row r="581" spans="1:18" s="154" customFormat="1" ht="18.75" customHeight="1" x14ac:dyDescent="0.25">
      <c r="A581" s="470" t="s">
        <v>163</v>
      </c>
      <c r="B581" s="471"/>
      <c r="C581" s="471"/>
      <c r="D581" s="471"/>
      <c r="E581" s="471"/>
      <c r="F581" s="472"/>
      <c r="G581" s="472"/>
      <c r="H581" s="472"/>
      <c r="I581" s="472"/>
      <c r="J581" s="472"/>
      <c r="K581" s="252">
        <f>SUM(K580)</f>
        <v>150</v>
      </c>
      <c r="L581" s="250"/>
      <c r="M581" s="149"/>
      <c r="N581" s="149"/>
      <c r="O581" s="149"/>
      <c r="P581" s="149"/>
      <c r="Q581" s="149"/>
      <c r="R581" s="149"/>
    </row>
    <row r="582" spans="1:18" s="154" customFormat="1" ht="20.100000000000001" customHeight="1" x14ac:dyDescent="0.25">
      <c r="A582" s="177" t="s">
        <v>3</v>
      </c>
      <c r="B582" s="171" t="s">
        <v>1632</v>
      </c>
      <c r="C582" s="171"/>
      <c r="D582" s="171"/>
      <c r="E582" s="171"/>
      <c r="F582" s="243" t="s">
        <v>701</v>
      </c>
      <c r="G582" s="244" t="s">
        <v>1496</v>
      </c>
      <c r="H582" s="244"/>
      <c r="I582" s="244"/>
      <c r="J582" s="244"/>
      <c r="K582" s="244" t="s">
        <v>50</v>
      </c>
      <c r="L582" s="250"/>
      <c r="M582" s="149"/>
      <c r="N582" s="149"/>
      <c r="O582" s="149"/>
      <c r="P582" s="149"/>
      <c r="Q582" s="149"/>
      <c r="R582" s="149"/>
    </row>
    <row r="583" spans="1:18" s="149" customFormat="1" ht="20.100000000000001" customHeight="1" x14ac:dyDescent="0.25">
      <c r="A583" s="267"/>
      <c r="B583" s="246" t="s">
        <v>1631</v>
      </c>
      <c r="C583" s="246"/>
      <c r="D583" s="246"/>
      <c r="E583" s="246"/>
      <c r="F583" s="247"/>
      <c r="G583" s="248">
        <v>70.7</v>
      </c>
      <c r="H583" s="249"/>
      <c r="I583" s="249"/>
      <c r="J583" s="248"/>
      <c r="K583" s="249">
        <f>G583</f>
        <v>70.7</v>
      </c>
      <c r="L583" s="250"/>
    </row>
    <row r="584" spans="1:18" s="154" customFormat="1" ht="18.75" customHeight="1" x14ac:dyDescent="0.25">
      <c r="A584" s="470" t="s">
        <v>163</v>
      </c>
      <c r="B584" s="471"/>
      <c r="C584" s="471"/>
      <c r="D584" s="471"/>
      <c r="E584" s="471"/>
      <c r="F584" s="472"/>
      <c r="G584" s="472"/>
      <c r="H584" s="472"/>
      <c r="I584" s="472"/>
      <c r="J584" s="472"/>
      <c r="K584" s="252">
        <f>SUM(K583)</f>
        <v>70.7</v>
      </c>
      <c r="L584" s="250"/>
      <c r="M584" s="149"/>
      <c r="N584" s="149"/>
      <c r="O584" s="149"/>
      <c r="P584" s="149"/>
      <c r="Q584" s="149"/>
      <c r="R584" s="149"/>
    </row>
    <row r="585" spans="1:18" s="154" customFormat="1" ht="20.100000000000001" customHeight="1" x14ac:dyDescent="0.25">
      <c r="A585" s="177" t="s">
        <v>3</v>
      </c>
      <c r="B585" s="171" t="s">
        <v>1633</v>
      </c>
      <c r="C585" s="171"/>
      <c r="D585" s="171"/>
      <c r="E585" s="171"/>
      <c r="F585" s="243" t="s">
        <v>701</v>
      </c>
      <c r="G585" s="244" t="s">
        <v>1496</v>
      </c>
      <c r="H585" s="244"/>
      <c r="I585" s="244"/>
      <c r="J585" s="244"/>
      <c r="K585" s="244" t="s">
        <v>50</v>
      </c>
      <c r="L585" s="250"/>
      <c r="M585" s="149"/>
      <c r="N585" s="149"/>
      <c r="O585" s="149"/>
      <c r="P585" s="149"/>
      <c r="Q585" s="149"/>
      <c r="R585" s="149"/>
    </row>
    <row r="586" spans="1:18" s="149" customFormat="1" ht="20.100000000000001" customHeight="1" x14ac:dyDescent="0.25">
      <c r="A586" s="267"/>
      <c r="B586" s="246" t="s">
        <v>1631</v>
      </c>
      <c r="C586" s="246"/>
      <c r="D586" s="246"/>
      <c r="E586" s="246"/>
      <c r="F586" s="247"/>
      <c r="G586" s="248">
        <v>253</v>
      </c>
      <c r="H586" s="249"/>
      <c r="I586" s="249"/>
      <c r="J586" s="248"/>
      <c r="K586" s="249">
        <f>G586</f>
        <v>253</v>
      </c>
      <c r="L586" s="250"/>
    </row>
    <row r="587" spans="1:18" s="154" customFormat="1" ht="18.75" customHeight="1" x14ac:dyDescent="0.25">
      <c r="A587" s="470" t="s">
        <v>163</v>
      </c>
      <c r="B587" s="471"/>
      <c r="C587" s="471"/>
      <c r="D587" s="471"/>
      <c r="E587" s="471"/>
      <c r="F587" s="472"/>
      <c r="G587" s="472"/>
      <c r="H587" s="472"/>
      <c r="I587" s="472"/>
      <c r="J587" s="472"/>
      <c r="K587" s="252">
        <f>SUM(K586)</f>
        <v>253</v>
      </c>
      <c r="L587" s="250"/>
      <c r="M587" s="149"/>
      <c r="N587" s="149"/>
      <c r="O587" s="149"/>
      <c r="P587" s="149"/>
      <c r="Q587" s="149"/>
      <c r="R587" s="149"/>
    </row>
    <row r="588" spans="1:18" s="154" customFormat="1" ht="20.100000000000001" customHeight="1" x14ac:dyDescent="0.25">
      <c r="A588" s="177" t="s">
        <v>3</v>
      </c>
      <c r="B588" s="171" t="s">
        <v>742</v>
      </c>
      <c r="C588" s="171"/>
      <c r="D588" s="171"/>
      <c r="E588" s="171"/>
      <c r="F588" s="243" t="s">
        <v>701</v>
      </c>
      <c r="G588" s="244" t="s">
        <v>1496</v>
      </c>
      <c r="H588" s="244"/>
      <c r="I588" s="244"/>
      <c r="J588" s="244"/>
      <c r="K588" s="244" t="s">
        <v>50</v>
      </c>
      <c r="L588" s="250"/>
      <c r="M588" s="149"/>
      <c r="N588" s="149"/>
      <c r="O588" s="149"/>
      <c r="P588" s="149"/>
      <c r="Q588" s="149"/>
      <c r="R588" s="149"/>
    </row>
    <row r="589" spans="1:18" s="149" customFormat="1" ht="20.100000000000001" customHeight="1" x14ac:dyDescent="0.25">
      <c r="A589" s="267"/>
      <c r="B589" s="246" t="s">
        <v>1631</v>
      </c>
      <c r="C589" s="246"/>
      <c r="D589" s="246"/>
      <c r="E589" s="246"/>
      <c r="F589" s="247"/>
      <c r="G589" s="248">
        <v>215.05</v>
      </c>
      <c r="H589" s="249"/>
      <c r="I589" s="249"/>
      <c r="J589" s="248"/>
      <c r="K589" s="249">
        <f>G589</f>
        <v>215.05</v>
      </c>
      <c r="L589" s="250"/>
    </row>
    <row r="590" spans="1:18" s="154" customFormat="1" ht="18.75" customHeight="1" x14ac:dyDescent="0.25">
      <c r="A590" s="470" t="s">
        <v>163</v>
      </c>
      <c r="B590" s="471"/>
      <c r="C590" s="471"/>
      <c r="D590" s="471"/>
      <c r="E590" s="471"/>
      <c r="F590" s="472"/>
      <c r="G590" s="472"/>
      <c r="H590" s="472"/>
      <c r="I590" s="472"/>
      <c r="J590" s="472"/>
      <c r="K590" s="252">
        <f>SUM(K589)</f>
        <v>215.05</v>
      </c>
      <c r="L590" s="250"/>
      <c r="M590" s="149"/>
      <c r="N590" s="149"/>
      <c r="O590" s="149"/>
      <c r="P590" s="149"/>
      <c r="Q590" s="149"/>
      <c r="R590" s="149"/>
    </row>
    <row r="591" spans="1:18" s="154" customFormat="1" ht="20.100000000000001" customHeight="1" x14ac:dyDescent="0.25">
      <c r="A591" s="478" t="s">
        <v>252</v>
      </c>
      <c r="B591" s="478"/>
      <c r="C591" s="478"/>
      <c r="D591" s="478"/>
      <c r="E591" s="478"/>
      <c r="F591" s="478"/>
      <c r="G591" s="478"/>
      <c r="H591" s="478"/>
      <c r="I591" s="478"/>
      <c r="J591" s="478"/>
      <c r="K591" s="478"/>
      <c r="L591" s="250"/>
      <c r="M591" s="149"/>
      <c r="N591" s="149"/>
      <c r="O591" s="149"/>
      <c r="P591" s="149"/>
      <c r="Q591" s="149"/>
      <c r="R591" s="149"/>
    </row>
    <row r="592" spans="1:18" s="154" customFormat="1" ht="20.100000000000001" customHeight="1" x14ac:dyDescent="0.25">
      <c r="A592" s="177" t="s">
        <v>3</v>
      </c>
      <c r="B592" s="171" t="s">
        <v>1634</v>
      </c>
      <c r="C592" s="171"/>
      <c r="D592" s="171"/>
      <c r="E592" s="171"/>
      <c r="F592" s="243" t="s">
        <v>26</v>
      </c>
      <c r="G592" s="244"/>
      <c r="H592" s="244" t="s">
        <v>705</v>
      </c>
      <c r="I592" s="244"/>
      <c r="J592" s="244"/>
      <c r="K592" s="244" t="s">
        <v>50</v>
      </c>
      <c r="L592" s="250"/>
      <c r="M592" s="149"/>
      <c r="N592" s="149"/>
      <c r="O592" s="149"/>
      <c r="P592" s="149"/>
      <c r="Q592" s="149"/>
      <c r="R592" s="149"/>
    </row>
    <row r="593" spans="1:18" s="154" customFormat="1" ht="20.100000000000001" customHeight="1" x14ac:dyDescent="0.25">
      <c r="A593" s="475" t="s">
        <v>1382</v>
      </c>
      <c r="B593" s="476"/>
      <c r="C593" s="476"/>
      <c r="D593" s="476"/>
      <c r="E593" s="476"/>
      <c r="F593" s="476"/>
      <c r="G593" s="476"/>
      <c r="H593" s="476"/>
      <c r="I593" s="476"/>
      <c r="J593" s="476"/>
      <c r="K593" s="477"/>
      <c r="L593" s="250"/>
      <c r="M593" s="149"/>
      <c r="N593" s="149"/>
      <c r="O593" s="149"/>
      <c r="P593" s="149"/>
      <c r="Q593" s="149"/>
      <c r="R593" s="149"/>
    </row>
    <row r="594" spans="1:18" s="154" customFormat="1" ht="20.100000000000001" customHeight="1" x14ac:dyDescent="0.25">
      <c r="A594" s="267"/>
      <c r="B594" s="246" t="s">
        <v>1635</v>
      </c>
      <c r="C594" s="246"/>
      <c r="D594" s="246"/>
      <c r="E594" s="246"/>
      <c r="F594" s="247"/>
      <c r="G594" s="248"/>
      <c r="H594" s="249">
        <v>297.56</v>
      </c>
      <c r="I594" s="249"/>
      <c r="J594" s="248"/>
      <c r="K594" s="249">
        <f>H594</f>
        <v>297.56</v>
      </c>
      <c r="L594" s="250"/>
      <c r="M594" s="149"/>
      <c r="N594" s="149"/>
      <c r="O594" s="149"/>
      <c r="P594" s="149"/>
      <c r="Q594" s="149"/>
      <c r="R594" s="149"/>
    </row>
    <row r="595" spans="1:18" s="154" customFormat="1" ht="20.100000000000001" customHeight="1" x14ac:dyDescent="0.25">
      <c r="A595" s="475" t="s">
        <v>1384</v>
      </c>
      <c r="B595" s="476"/>
      <c r="C595" s="476"/>
      <c r="D595" s="476"/>
      <c r="E595" s="476"/>
      <c r="F595" s="476"/>
      <c r="G595" s="476"/>
      <c r="H595" s="476"/>
      <c r="I595" s="476"/>
      <c r="J595" s="476"/>
      <c r="K595" s="477"/>
      <c r="L595" s="250"/>
      <c r="M595" s="149"/>
      <c r="N595" s="149"/>
      <c r="O595" s="149"/>
      <c r="P595" s="149"/>
      <c r="Q595" s="149"/>
      <c r="R595" s="149"/>
    </row>
    <row r="596" spans="1:18" s="154" customFormat="1" ht="20.100000000000001" customHeight="1" x14ac:dyDescent="0.25">
      <c r="A596" s="267"/>
      <c r="B596" s="246" t="s">
        <v>1635</v>
      </c>
      <c r="C596" s="246"/>
      <c r="D596" s="246"/>
      <c r="E596" s="246"/>
      <c r="F596" s="247"/>
      <c r="G596" s="248"/>
      <c r="H596" s="249">
        <v>351.14</v>
      </c>
      <c r="I596" s="249"/>
      <c r="J596" s="248"/>
      <c r="K596" s="249">
        <f>H596</f>
        <v>351.14</v>
      </c>
      <c r="L596" s="250"/>
      <c r="M596" s="149"/>
      <c r="N596" s="149"/>
      <c r="O596" s="149"/>
      <c r="P596" s="149"/>
      <c r="Q596" s="149"/>
      <c r="R596" s="149"/>
    </row>
    <row r="597" spans="1:18" s="154" customFormat="1" ht="20.100000000000001" customHeight="1" x14ac:dyDescent="0.25">
      <c r="A597" s="475" t="s">
        <v>1409</v>
      </c>
      <c r="B597" s="476"/>
      <c r="C597" s="476"/>
      <c r="D597" s="476"/>
      <c r="E597" s="476"/>
      <c r="F597" s="476"/>
      <c r="G597" s="476"/>
      <c r="H597" s="476"/>
      <c r="I597" s="476"/>
      <c r="J597" s="476"/>
      <c r="K597" s="477"/>
      <c r="L597" s="250"/>
      <c r="M597" s="149"/>
      <c r="N597" s="149"/>
      <c r="O597" s="149"/>
      <c r="P597" s="149"/>
      <c r="Q597" s="149"/>
      <c r="R597" s="149"/>
    </row>
    <row r="598" spans="1:18" s="154" customFormat="1" ht="20.100000000000001" customHeight="1" x14ac:dyDescent="0.25">
      <c r="A598" s="267"/>
      <c r="B598" s="246" t="s">
        <v>1635</v>
      </c>
      <c r="C598" s="246"/>
      <c r="D598" s="246"/>
      <c r="E598" s="246"/>
      <c r="F598" s="247"/>
      <c r="G598" s="248"/>
      <c r="H598" s="249">
        <v>372.06</v>
      </c>
      <c r="I598" s="249"/>
      <c r="J598" s="248"/>
      <c r="K598" s="249">
        <f>H598</f>
        <v>372.06</v>
      </c>
      <c r="L598" s="250"/>
      <c r="M598" s="149"/>
      <c r="N598" s="149"/>
      <c r="O598" s="149"/>
      <c r="P598" s="149"/>
      <c r="Q598" s="149"/>
      <c r="R598" s="149"/>
    </row>
    <row r="599" spans="1:18" s="154" customFormat="1" ht="20.100000000000001" customHeight="1" x14ac:dyDescent="0.25">
      <c r="A599" s="475" t="s">
        <v>1411</v>
      </c>
      <c r="B599" s="476"/>
      <c r="C599" s="476"/>
      <c r="D599" s="476"/>
      <c r="E599" s="476"/>
      <c r="F599" s="476"/>
      <c r="G599" s="476"/>
      <c r="H599" s="476"/>
      <c r="I599" s="476"/>
      <c r="J599" s="476"/>
      <c r="K599" s="477"/>
      <c r="L599" s="250"/>
      <c r="M599" s="149"/>
      <c r="N599" s="149"/>
      <c r="O599" s="149"/>
      <c r="P599" s="149"/>
      <c r="Q599" s="149"/>
      <c r="R599" s="149"/>
    </row>
    <row r="600" spans="1:18" s="154" customFormat="1" ht="20.100000000000001" customHeight="1" x14ac:dyDescent="0.25">
      <c r="A600" s="267"/>
      <c r="B600" s="246" t="s">
        <v>1635</v>
      </c>
      <c r="C600" s="246"/>
      <c r="D600" s="246"/>
      <c r="E600" s="246"/>
      <c r="F600" s="247"/>
      <c r="G600" s="248"/>
      <c r="H600" s="249">
        <v>362.72</v>
      </c>
      <c r="I600" s="249"/>
      <c r="J600" s="248"/>
      <c r="K600" s="249">
        <f>H600</f>
        <v>362.72</v>
      </c>
      <c r="L600" s="250"/>
      <c r="M600" s="149"/>
      <c r="N600" s="149"/>
      <c r="O600" s="149"/>
      <c r="P600" s="149"/>
      <c r="Q600" s="149"/>
      <c r="R600" s="149"/>
    </row>
    <row r="601" spans="1:18" s="154" customFormat="1" ht="20.100000000000001" customHeight="1" x14ac:dyDescent="0.25">
      <c r="A601" s="475" t="s">
        <v>1413</v>
      </c>
      <c r="B601" s="476"/>
      <c r="C601" s="476"/>
      <c r="D601" s="476"/>
      <c r="E601" s="476"/>
      <c r="F601" s="476"/>
      <c r="G601" s="476"/>
      <c r="H601" s="476"/>
      <c r="I601" s="476"/>
      <c r="J601" s="476"/>
      <c r="K601" s="477"/>
      <c r="L601" s="250"/>
      <c r="M601" s="149"/>
      <c r="N601" s="149"/>
      <c r="O601" s="149"/>
      <c r="P601" s="149"/>
      <c r="Q601" s="149"/>
      <c r="R601" s="149"/>
    </row>
    <row r="602" spans="1:18" s="154" customFormat="1" ht="20.100000000000001" customHeight="1" x14ac:dyDescent="0.25">
      <c r="A602" s="267"/>
      <c r="B602" s="246" t="s">
        <v>1635</v>
      </c>
      <c r="C602" s="246"/>
      <c r="D602" s="246"/>
      <c r="E602" s="246"/>
      <c r="F602" s="247"/>
      <c r="G602" s="248"/>
      <c r="H602" s="249">
        <v>350.43</v>
      </c>
      <c r="I602" s="249"/>
      <c r="J602" s="248"/>
      <c r="K602" s="249">
        <f>H602</f>
        <v>350.43</v>
      </c>
      <c r="L602" s="250"/>
      <c r="M602" s="149"/>
      <c r="N602" s="149"/>
      <c r="O602" s="149"/>
      <c r="P602" s="149"/>
      <c r="Q602" s="149"/>
      <c r="R602" s="149"/>
    </row>
    <row r="603" spans="1:18" s="154" customFormat="1" ht="20.100000000000001" customHeight="1" x14ac:dyDescent="0.25">
      <c r="A603" s="475" t="s">
        <v>1402</v>
      </c>
      <c r="B603" s="476"/>
      <c r="C603" s="476"/>
      <c r="D603" s="476"/>
      <c r="E603" s="476"/>
      <c r="F603" s="476"/>
      <c r="G603" s="476"/>
      <c r="H603" s="476"/>
      <c r="I603" s="476"/>
      <c r="J603" s="476"/>
      <c r="K603" s="477"/>
      <c r="L603" s="250"/>
      <c r="M603" s="149"/>
      <c r="N603" s="149"/>
      <c r="O603" s="149"/>
      <c r="P603" s="149"/>
      <c r="Q603" s="149"/>
      <c r="R603" s="149"/>
    </row>
    <row r="604" spans="1:18" s="149" customFormat="1" ht="20.100000000000001" customHeight="1" x14ac:dyDescent="0.25">
      <c r="A604" s="267"/>
      <c r="B604" s="246" t="s">
        <v>1636</v>
      </c>
      <c r="C604" s="246"/>
      <c r="D604" s="246"/>
      <c r="E604" s="246"/>
      <c r="F604" s="247"/>
      <c r="G604" s="248"/>
      <c r="H604" s="249">
        <f>73.37*4</f>
        <v>293.48</v>
      </c>
      <c r="I604" s="249"/>
      <c r="J604" s="248"/>
      <c r="K604" s="249">
        <f>TRUNC(H604,2)</f>
        <v>293.48</v>
      </c>
      <c r="L604" s="250"/>
    </row>
    <row r="605" spans="1:18" s="149" customFormat="1" ht="20.100000000000001" customHeight="1" x14ac:dyDescent="0.25">
      <c r="A605" s="267"/>
      <c r="B605" s="246"/>
      <c r="C605" s="246"/>
      <c r="D605" s="246"/>
      <c r="E605" s="246"/>
      <c r="F605" s="247"/>
      <c r="G605" s="248"/>
      <c r="H605" s="249"/>
      <c r="I605" s="249"/>
      <c r="J605" s="248"/>
      <c r="K605" s="249"/>
      <c r="L605" s="250"/>
    </row>
    <row r="606" spans="1:18" s="154" customFormat="1" ht="18.75" customHeight="1" x14ac:dyDescent="0.25">
      <c r="A606" s="470" t="s">
        <v>163</v>
      </c>
      <c r="B606" s="471"/>
      <c r="C606" s="471"/>
      <c r="D606" s="471"/>
      <c r="E606" s="471"/>
      <c r="F606" s="472"/>
      <c r="G606" s="472"/>
      <c r="H606" s="472"/>
      <c r="I606" s="472"/>
      <c r="J606" s="472"/>
      <c r="K606" s="252">
        <f>SUM(K593:K605)</f>
        <v>2027.39</v>
      </c>
      <c r="L606" s="250"/>
      <c r="M606" s="149"/>
      <c r="N606" s="149"/>
      <c r="O606" s="149"/>
      <c r="P606" s="149"/>
      <c r="Q606" s="149"/>
      <c r="R606" s="149"/>
    </row>
    <row r="607" spans="1:18" s="154" customFormat="1" ht="20.100000000000001" customHeight="1" x14ac:dyDescent="0.25">
      <c r="A607" s="478" t="s">
        <v>55</v>
      </c>
      <c r="B607" s="478"/>
      <c r="C607" s="478"/>
      <c r="D607" s="478"/>
      <c r="E607" s="478"/>
      <c r="F607" s="478"/>
      <c r="G607" s="478"/>
      <c r="H607" s="478"/>
      <c r="I607" s="478"/>
      <c r="J607" s="478"/>
      <c r="K607" s="478"/>
      <c r="L607" s="250"/>
      <c r="M607" s="149"/>
      <c r="N607" s="149"/>
      <c r="O607" s="149"/>
      <c r="P607" s="149"/>
      <c r="Q607" s="149"/>
      <c r="R607" s="149"/>
    </row>
    <row r="608" spans="1:18" s="154" customFormat="1" ht="20.100000000000001" customHeight="1" x14ac:dyDescent="0.25">
      <c r="A608" s="177" t="s">
        <v>3</v>
      </c>
      <c r="B608" s="171" t="s">
        <v>744</v>
      </c>
      <c r="C608" s="171"/>
      <c r="D608" s="171"/>
      <c r="E608" s="171"/>
      <c r="F608" s="243" t="s">
        <v>230</v>
      </c>
      <c r="G608" s="244" t="s">
        <v>1496</v>
      </c>
      <c r="H608" s="244" t="s">
        <v>1417</v>
      </c>
      <c r="I608" s="244" t="s">
        <v>61</v>
      </c>
      <c r="J608" s="244" t="s">
        <v>1637</v>
      </c>
      <c r="K608" s="244" t="s">
        <v>50</v>
      </c>
      <c r="L608" s="250"/>
      <c r="M608" s="149"/>
      <c r="N608" s="149"/>
      <c r="O608" s="149"/>
      <c r="P608" s="149"/>
      <c r="Q608" s="149"/>
      <c r="R608" s="149"/>
    </row>
    <row r="609" spans="1:18" s="154" customFormat="1" ht="20.100000000000001" customHeight="1" x14ac:dyDescent="0.25">
      <c r="A609" s="475" t="s">
        <v>1382</v>
      </c>
      <c r="B609" s="476"/>
      <c r="C609" s="476"/>
      <c r="D609" s="476"/>
      <c r="E609" s="476"/>
      <c r="F609" s="476"/>
      <c r="G609" s="476"/>
      <c r="H609" s="476"/>
      <c r="I609" s="476"/>
      <c r="J609" s="476"/>
      <c r="K609" s="477"/>
      <c r="L609" s="250"/>
      <c r="M609" s="149"/>
      <c r="N609" s="149"/>
      <c r="O609" s="149"/>
      <c r="P609" s="149"/>
      <c r="Q609" s="149"/>
      <c r="R609" s="149"/>
    </row>
    <row r="610" spans="1:18" s="149" customFormat="1" ht="20.100000000000001" customHeight="1" x14ac:dyDescent="0.25">
      <c r="A610" s="267"/>
      <c r="B610" s="246" t="s">
        <v>1501</v>
      </c>
      <c r="C610" s="246"/>
      <c r="D610" s="246"/>
      <c r="E610" s="246"/>
      <c r="F610" s="247"/>
      <c r="G610" s="248">
        <v>0.9</v>
      </c>
      <c r="H610" s="249">
        <v>2.1</v>
      </c>
      <c r="I610" s="249">
        <v>2</v>
      </c>
      <c r="J610" s="248"/>
      <c r="K610" s="249">
        <f>TRUNC(G610*H610*I610,2)</f>
        <v>3.78</v>
      </c>
      <c r="L610" s="250"/>
    </row>
    <row r="611" spans="1:18" s="149" customFormat="1" ht="20.100000000000001" customHeight="1" x14ac:dyDescent="0.25">
      <c r="A611" s="267"/>
      <c r="B611" s="246" t="s">
        <v>1548</v>
      </c>
      <c r="C611" s="246"/>
      <c r="D611" s="246"/>
      <c r="E611" s="246"/>
      <c r="F611" s="247"/>
      <c r="G611" s="248">
        <v>0.6</v>
      </c>
      <c r="H611" s="249">
        <v>0.6</v>
      </c>
      <c r="I611" s="249">
        <v>2</v>
      </c>
      <c r="J611" s="248"/>
      <c r="K611" s="249">
        <f>TRUNC(G611*H611*I611,2)</f>
        <v>0.72</v>
      </c>
      <c r="L611" s="250"/>
    </row>
    <row r="612" spans="1:18" s="166" customFormat="1" ht="20.100000000000001" customHeight="1" x14ac:dyDescent="0.25">
      <c r="A612" s="245"/>
      <c r="B612" s="246" t="s">
        <v>1549</v>
      </c>
      <c r="C612" s="246"/>
      <c r="D612" s="246"/>
      <c r="E612" s="246"/>
      <c r="F612" s="247"/>
      <c r="G612" s="248">
        <v>2.35</v>
      </c>
      <c r="H612" s="249">
        <v>3.3</v>
      </c>
      <c r="I612" s="249">
        <v>2</v>
      </c>
      <c r="J612" s="248"/>
      <c r="K612" s="249">
        <f t="shared" ref="K612:K616" si="24">TRUNC(G612*H612*I612,2)</f>
        <v>15.51</v>
      </c>
      <c r="L612" s="250"/>
    </row>
    <row r="613" spans="1:18" s="166" customFormat="1" ht="20.100000000000001" customHeight="1" x14ac:dyDescent="0.25">
      <c r="A613" s="245"/>
      <c r="B613" s="246" t="s">
        <v>1638</v>
      </c>
      <c r="C613" s="246"/>
      <c r="D613" s="246"/>
      <c r="E613" s="246"/>
      <c r="F613" s="247"/>
      <c r="G613" s="248">
        <v>2.2999999999999998</v>
      </c>
      <c r="H613" s="249">
        <v>2.5</v>
      </c>
      <c r="I613" s="249">
        <v>13</v>
      </c>
      <c r="J613" s="248"/>
      <c r="K613" s="249">
        <f t="shared" si="24"/>
        <v>74.75</v>
      </c>
      <c r="L613" s="250"/>
    </row>
    <row r="614" spans="1:18" s="166" customFormat="1" ht="20.100000000000001" customHeight="1" x14ac:dyDescent="0.25">
      <c r="A614" s="245"/>
      <c r="B614" s="246" t="s">
        <v>1638</v>
      </c>
      <c r="C614" s="246"/>
      <c r="D614" s="246"/>
      <c r="E614" s="246"/>
      <c r="F614" s="247"/>
      <c r="G614" s="248">
        <v>2.2999999999999998</v>
      </c>
      <c r="H614" s="249">
        <v>1.8</v>
      </c>
      <c r="I614" s="249">
        <v>4</v>
      </c>
      <c r="J614" s="248"/>
      <c r="K614" s="249">
        <f t="shared" si="24"/>
        <v>16.559999999999999</v>
      </c>
      <c r="L614" s="250"/>
    </row>
    <row r="615" spans="1:18" s="166" customFormat="1" ht="20.100000000000001" customHeight="1" x14ac:dyDescent="0.25">
      <c r="A615" s="245"/>
      <c r="B615" s="246" t="s">
        <v>1639</v>
      </c>
      <c r="C615" s="246"/>
      <c r="D615" s="246"/>
      <c r="E615" s="246"/>
      <c r="F615" s="247"/>
      <c r="G615" s="248">
        <v>10</v>
      </c>
      <c r="H615" s="249">
        <v>3.3</v>
      </c>
      <c r="I615" s="249"/>
      <c r="J615" s="248"/>
      <c r="K615" s="249">
        <f>TRUNC(G615*H615,2)</f>
        <v>33</v>
      </c>
      <c r="L615" s="250"/>
    </row>
    <row r="616" spans="1:18" s="166" customFormat="1" ht="20.100000000000001" customHeight="1" x14ac:dyDescent="0.25">
      <c r="A616" s="245"/>
      <c r="B616" s="246" t="s">
        <v>1550</v>
      </c>
      <c r="C616" s="246"/>
      <c r="D616" s="246"/>
      <c r="E616" s="246"/>
      <c r="F616" s="247"/>
      <c r="G616" s="248">
        <v>0.6</v>
      </c>
      <c r="H616" s="249">
        <v>0.6</v>
      </c>
      <c r="I616" s="248">
        <v>18</v>
      </c>
      <c r="K616" s="249">
        <f t="shared" si="24"/>
        <v>6.48</v>
      </c>
      <c r="L616" s="250"/>
    </row>
    <row r="617" spans="1:18" s="149" customFormat="1" ht="18.75" customHeight="1" x14ac:dyDescent="0.25">
      <c r="A617" s="245"/>
      <c r="B617" s="246" t="s">
        <v>1551</v>
      </c>
      <c r="C617" s="246"/>
      <c r="D617" s="246"/>
      <c r="E617" s="246"/>
      <c r="F617" s="247"/>
      <c r="G617" s="248"/>
      <c r="H617" s="249"/>
      <c r="J617" s="249">
        <v>9.68</v>
      </c>
      <c r="K617" s="249">
        <f>J617</f>
        <v>9.68</v>
      </c>
      <c r="L617" s="250"/>
    </row>
    <row r="618" spans="1:18" s="154" customFormat="1" ht="20.100000000000001" customHeight="1" x14ac:dyDescent="0.25">
      <c r="A618" s="475" t="s">
        <v>1384</v>
      </c>
      <c r="B618" s="476"/>
      <c r="C618" s="476"/>
      <c r="D618" s="476"/>
      <c r="E618" s="476"/>
      <c r="F618" s="476"/>
      <c r="G618" s="476"/>
      <c r="H618" s="476"/>
      <c r="I618" s="476"/>
      <c r="J618" s="476"/>
      <c r="K618" s="477"/>
      <c r="L618" s="250"/>
      <c r="M618" s="149"/>
      <c r="N618" s="149"/>
      <c r="O618" s="149"/>
      <c r="P618" s="149"/>
      <c r="Q618" s="149"/>
      <c r="R618" s="149"/>
    </row>
    <row r="619" spans="1:18" s="166" customFormat="1" ht="20.100000000000001" customHeight="1" x14ac:dyDescent="0.25">
      <c r="A619" s="245"/>
      <c r="B619" s="246" t="s">
        <v>811</v>
      </c>
      <c r="C619" s="246"/>
      <c r="D619" s="246"/>
      <c r="E619" s="246"/>
      <c r="F619" s="247"/>
      <c r="G619" s="248">
        <f>4.6+1.99</f>
        <v>6.59</v>
      </c>
      <c r="H619" s="249">
        <v>3.3</v>
      </c>
      <c r="I619" s="166">
        <v>2</v>
      </c>
      <c r="J619" s="249">
        <f>0.9*2.1</f>
        <v>1.8900000000000001</v>
      </c>
      <c r="K619" s="249">
        <f>TRUNC((G619*H619-J619)*I619,2)</f>
        <v>39.71</v>
      </c>
      <c r="L619" s="250"/>
    </row>
    <row r="620" spans="1:18" s="166" customFormat="1" ht="20.100000000000001" customHeight="1" x14ac:dyDescent="0.25">
      <c r="A620" s="245"/>
      <c r="B620" s="246" t="s">
        <v>1552</v>
      </c>
      <c r="C620" s="246"/>
      <c r="D620" s="246"/>
      <c r="E620" s="246"/>
      <c r="F620" s="247"/>
      <c r="G620" s="248">
        <f>1+2.05</f>
        <v>3.05</v>
      </c>
      <c r="H620" s="249">
        <v>3.3</v>
      </c>
      <c r="I620" s="166">
        <v>2</v>
      </c>
      <c r="J620" s="248"/>
      <c r="K620" s="249">
        <f>TRUNC((G620*H620-J620)*I620,2)</f>
        <v>20.13</v>
      </c>
      <c r="L620" s="250"/>
    </row>
    <row r="621" spans="1:18" s="166" customFormat="1" ht="20.100000000000001" customHeight="1" x14ac:dyDescent="0.25">
      <c r="A621" s="245"/>
      <c r="B621" s="246" t="s">
        <v>1552</v>
      </c>
      <c r="C621" s="246"/>
      <c r="D621" s="246"/>
      <c r="E621" s="246"/>
      <c r="F621" s="247"/>
      <c r="G621" s="248">
        <v>0.9</v>
      </c>
      <c r="H621" s="249">
        <v>2.1</v>
      </c>
      <c r="I621" s="166">
        <v>2</v>
      </c>
      <c r="J621" s="248"/>
      <c r="K621" s="249">
        <f t="shared" ref="K621:K630" si="25">TRUNC((G621*H621-J621)*I621,2)</f>
        <v>3.78</v>
      </c>
      <c r="L621" s="250"/>
    </row>
    <row r="622" spans="1:18" s="166" customFormat="1" ht="20.100000000000001" customHeight="1" x14ac:dyDescent="0.25">
      <c r="A622" s="245"/>
      <c r="B622" s="246" t="s">
        <v>1553</v>
      </c>
      <c r="C622" s="246"/>
      <c r="D622" s="246"/>
      <c r="E622" s="246"/>
      <c r="F622" s="247"/>
      <c r="G622" s="248">
        <v>1.7</v>
      </c>
      <c r="H622" s="249">
        <v>2.1</v>
      </c>
      <c r="I622" s="166">
        <v>2</v>
      </c>
      <c r="J622" s="248"/>
      <c r="K622" s="249">
        <f t="shared" si="25"/>
        <v>7.14</v>
      </c>
      <c r="L622" s="250"/>
    </row>
    <row r="623" spans="1:18" s="149" customFormat="1" ht="18.75" customHeight="1" x14ac:dyDescent="0.25">
      <c r="A623" s="245"/>
      <c r="B623" s="246" t="s">
        <v>1554</v>
      </c>
      <c r="C623" s="246"/>
      <c r="D623" s="246"/>
      <c r="E623" s="246"/>
      <c r="F623" s="247"/>
      <c r="G623" s="248">
        <v>0.9</v>
      </c>
      <c r="H623" s="249">
        <v>2.1</v>
      </c>
      <c r="I623" s="166">
        <v>2</v>
      </c>
      <c r="J623" s="248"/>
      <c r="K623" s="249">
        <f t="shared" si="25"/>
        <v>3.78</v>
      </c>
      <c r="L623" s="250"/>
    </row>
    <row r="624" spans="1:18" s="149" customFormat="1" ht="18.75" customHeight="1" x14ac:dyDescent="0.25">
      <c r="A624" s="245"/>
      <c r="B624" s="246" t="s">
        <v>1555</v>
      </c>
      <c r="C624" s="246"/>
      <c r="D624" s="246"/>
      <c r="E624" s="246"/>
      <c r="F624" s="247"/>
      <c r="G624" s="248">
        <v>2.2999999999999998</v>
      </c>
      <c r="H624" s="249">
        <v>3.3</v>
      </c>
      <c r="I624" s="166">
        <v>2</v>
      </c>
      <c r="J624" s="248"/>
      <c r="K624" s="249">
        <f t="shared" si="25"/>
        <v>15.18</v>
      </c>
      <c r="L624" s="250"/>
    </row>
    <row r="625" spans="1:18" s="149" customFormat="1" ht="18.75" customHeight="1" x14ac:dyDescent="0.25">
      <c r="A625" s="245"/>
      <c r="B625" s="246" t="s">
        <v>1551</v>
      </c>
      <c r="C625" s="246"/>
      <c r="D625" s="246"/>
      <c r="E625" s="246"/>
      <c r="F625" s="247"/>
      <c r="G625" s="248"/>
      <c r="H625" s="249"/>
      <c r="I625" s="166"/>
      <c r="J625" s="248"/>
      <c r="K625" s="249">
        <v>9.68</v>
      </c>
      <c r="L625" s="250"/>
    </row>
    <row r="626" spans="1:18" s="149" customFormat="1" ht="18.75" customHeight="1" x14ac:dyDescent="0.25">
      <c r="A626" s="245"/>
      <c r="B626" s="246" t="s">
        <v>1391</v>
      </c>
      <c r="C626" s="246"/>
      <c r="D626" s="246"/>
      <c r="E626" s="246"/>
      <c r="F626" s="247"/>
      <c r="G626" s="248">
        <f>2*5.05</f>
        <v>10.1</v>
      </c>
      <c r="H626" s="249">
        <v>3.3</v>
      </c>
      <c r="I626" s="166">
        <v>2</v>
      </c>
      <c r="J626" s="249">
        <f>2*1.1</f>
        <v>2.2000000000000002</v>
      </c>
      <c r="K626" s="249">
        <f t="shared" si="25"/>
        <v>62.26</v>
      </c>
      <c r="L626" s="250"/>
    </row>
    <row r="627" spans="1:18" s="149" customFormat="1" ht="18.75" customHeight="1" x14ac:dyDescent="0.25">
      <c r="A627" s="245"/>
      <c r="B627" s="246" t="s">
        <v>1525</v>
      </c>
      <c r="C627" s="246"/>
      <c r="D627" s="246"/>
      <c r="E627" s="246"/>
      <c r="F627" s="247"/>
      <c r="G627" s="248"/>
      <c r="H627" s="249"/>
      <c r="I627" s="249">
        <v>9.68</v>
      </c>
      <c r="J627" s="248"/>
      <c r="K627" s="249">
        <f>I627</f>
        <v>9.68</v>
      </c>
      <c r="L627" s="250"/>
    </row>
    <row r="628" spans="1:18" s="166" customFormat="1" ht="20.100000000000001" customHeight="1" x14ac:dyDescent="0.25">
      <c r="A628" s="245"/>
      <c r="B628" s="246" t="s">
        <v>1640</v>
      </c>
      <c r="C628" s="246"/>
      <c r="D628" s="246"/>
      <c r="E628" s="246"/>
      <c r="F628" s="247"/>
      <c r="G628" s="248">
        <v>2.2999999999999998</v>
      </c>
      <c r="H628" s="249">
        <f>3.3-0.75</f>
        <v>2.5499999999999998</v>
      </c>
      <c r="I628" s="249">
        <v>14</v>
      </c>
      <c r="J628" s="248"/>
      <c r="K628" s="249">
        <f t="shared" si="25"/>
        <v>82.11</v>
      </c>
      <c r="L628" s="250"/>
    </row>
    <row r="629" spans="1:18" s="166" customFormat="1" ht="20.100000000000001" customHeight="1" x14ac:dyDescent="0.25">
      <c r="A629" s="245"/>
      <c r="B629" s="246" t="s">
        <v>743</v>
      </c>
      <c r="C629" s="246"/>
      <c r="D629" s="246"/>
      <c r="E629" s="246"/>
      <c r="F629" s="247"/>
      <c r="G629" s="248">
        <v>3.85</v>
      </c>
      <c r="H629" s="249">
        <v>3.3</v>
      </c>
      <c r="I629" s="249">
        <v>1</v>
      </c>
      <c r="J629" s="248"/>
      <c r="K629" s="249">
        <f t="shared" si="25"/>
        <v>12.7</v>
      </c>
      <c r="L629" s="250"/>
    </row>
    <row r="630" spans="1:18" s="166" customFormat="1" ht="20.100000000000001" customHeight="1" x14ac:dyDescent="0.25">
      <c r="A630" s="245"/>
      <c r="B630" s="246" t="s">
        <v>1641</v>
      </c>
      <c r="C630" s="246"/>
      <c r="D630" s="246"/>
      <c r="E630" s="246"/>
      <c r="F630" s="247"/>
      <c r="G630" s="248">
        <f>10</f>
        <v>10</v>
      </c>
      <c r="H630" s="249">
        <v>3.3</v>
      </c>
      <c r="I630" s="249">
        <v>1</v>
      </c>
      <c r="J630" s="248">
        <f>2*3*0.8+1*0.8</f>
        <v>5.6000000000000005</v>
      </c>
      <c r="K630" s="249">
        <f t="shared" si="25"/>
        <v>27.4</v>
      </c>
      <c r="L630" s="250"/>
    </row>
    <row r="631" spans="1:18" s="154" customFormat="1" ht="20.100000000000001" customHeight="1" x14ac:dyDescent="0.25">
      <c r="A631" s="475" t="s">
        <v>1409</v>
      </c>
      <c r="B631" s="476"/>
      <c r="C631" s="476"/>
      <c r="D631" s="476"/>
      <c r="E631" s="476"/>
      <c r="F631" s="476"/>
      <c r="G631" s="476"/>
      <c r="H631" s="476"/>
      <c r="I631" s="476"/>
      <c r="J631" s="476"/>
      <c r="K631" s="477"/>
      <c r="L631" s="250"/>
      <c r="M631" s="149"/>
      <c r="N631" s="149"/>
      <c r="O631" s="149"/>
      <c r="P631" s="149"/>
      <c r="Q631" s="149"/>
      <c r="R631" s="149"/>
    </row>
    <row r="632" spans="1:18" s="166" customFormat="1" ht="20.100000000000001" customHeight="1" x14ac:dyDescent="0.25">
      <c r="A632" s="245"/>
      <c r="B632" s="246" t="s">
        <v>1556</v>
      </c>
      <c r="C632" s="246"/>
      <c r="D632" s="246"/>
      <c r="E632" s="246"/>
      <c r="F632" s="247"/>
      <c r="G632" s="248">
        <v>0.9</v>
      </c>
      <c r="H632" s="249">
        <v>2.1</v>
      </c>
      <c r="I632" s="248">
        <v>2</v>
      </c>
      <c r="K632" s="218">
        <f>TRUNC((G632*H632-J632)*I632,2)</f>
        <v>3.78</v>
      </c>
      <c r="L632" s="250"/>
    </row>
    <row r="633" spans="1:18" s="166" customFormat="1" ht="20.100000000000001" customHeight="1" x14ac:dyDescent="0.25">
      <c r="A633" s="245"/>
      <c r="B633" s="246" t="s">
        <v>1556</v>
      </c>
      <c r="C633" s="246"/>
      <c r="D633" s="246"/>
      <c r="E633" s="246"/>
      <c r="F633" s="247"/>
      <c r="G633" s="248">
        <v>0.9</v>
      </c>
      <c r="H633" s="249">
        <v>2.1</v>
      </c>
      <c r="I633" s="248">
        <v>2</v>
      </c>
      <c r="K633" s="218">
        <f t="shared" ref="K633:K645" si="26">TRUNC((G633*H633-J633)*I633,2)</f>
        <v>3.78</v>
      </c>
      <c r="L633" s="250"/>
    </row>
    <row r="634" spans="1:18" s="166" customFormat="1" ht="20.100000000000001" customHeight="1" x14ac:dyDescent="0.25">
      <c r="A634" s="245"/>
      <c r="B634" s="246" t="s">
        <v>1557</v>
      </c>
      <c r="C634" s="246"/>
      <c r="D634" s="246"/>
      <c r="E634" s="246"/>
      <c r="F634" s="247"/>
      <c r="G634" s="248">
        <v>1.4</v>
      </c>
      <c r="H634" s="249">
        <v>0.7</v>
      </c>
      <c r="I634" s="248">
        <v>2</v>
      </c>
      <c r="K634" s="218">
        <f t="shared" si="26"/>
        <v>1.96</v>
      </c>
      <c r="L634" s="250"/>
    </row>
    <row r="635" spans="1:18" s="166" customFormat="1" ht="20.100000000000001" customHeight="1" x14ac:dyDescent="0.25">
      <c r="A635" s="245"/>
      <c r="B635" s="246" t="s">
        <v>813</v>
      </c>
      <c r="C635" s="246"/>
      <c r="D635" s="246"/>
      <c r="E635" s="246"/>
      <c r="F635" s="247"/>
      <c r="G635" s="248">
        <v>1.3</v>
      </c>
      <c r="H635" s="249">
        <v>3.3</v>
      </c>
      <c r="I635" s="248">
        <v>2</v>
      </c>
      <c r="J635" s="249">
        <f>0.9*2.1</f>
        <v>1.8900000000000001</v>
      </c>
      <c r="K635" s="218">
        <f t="shared" si="26"/>
        <v>4.8</v>
      </c>
      <c r="L635" s="250"/>
    </row>
    <row r="636" spans="1:18" s="149" customFormat="1" ht="18.75" customHeight="1" x14ac:dyDescent="0.25">
      <c r="A636" s="245"/>
      <c r="B636" s="246" t="s">
        <v>1558</v>
      </c>
      <c r="C636" s="246"/>
      <c r="D636" s="246"/>
      <c r="E636" s="246"/>
      <c r="F636" s="247"/>
      <c r="G636" s="248">
        <f>2*2.3</f>
        <v>4.5999999999999996</v>
      </c>
      <c r="H636" s="249">
        <v>1.3</v>
      </c>
      <c r="I636" s="248">
        <v>2</v>
      </c>
      <c r="J636" s="249">
        <f>2.3*0.75*2</f>
        <v>3.4499999999999997</v>
      </c>
      <c r="K636" s="218">
        <f t="shared" si="26"/>
        <v>5.0599999999999996</v>
      </c>
      <c r="L636" s="250"/>
    </row>
    <row r="637" spans="1:18" s="149" customFormat="1" ht="18.75" customHeight="1" x14ac:dyDescent="0.25">
      <c r="A637" s="245"/>
      <c r="B637" s="246" t="s">
        <v>1558</v>
      </c>
      <c r="C637" s="246"/>
      <c r="D637" s="246"/>
      <c r="E637" s="246"/>
      <c r="F637" s="247"/>
      <c r="G637" s="248">
        <f>5*0.8</f>
        <v>4</v>
      </c>
      <c r="H637" s="249">
        <v>2.1</v>
      </c>
      <c r="I637" s="248">
        <v>2</v>
      </c>
      <c r="K637" s="218">
        <f t="shared" si="26"/>
        <v>16.8</v>
      </c>
      <c r="L637" s="250"/>
    </row>
    <row r="638" spans="1:18" s="149" customFormat="1" ht="18.75" customHeight="1" x14ac:dyDescent="0.25">
      <c r="A638" s="245"/>
      <c r="B638" s="246" t="s">
        <v>1558</v>
      </c>
      <c r="C638" s="246"/>
      <c r="D638" s="246"/>
      <c r="E638" s="246"/>
      <c r="F638" s="247"/>
      <c r="G638" s="248">
        <f>2.3</f>
        <v>2.2999999999999998</v>
      </c>
      <c r="H638" s="249">
        <v>1.3</v>
      </c>
      <c r="I638" s="248">
        <v>2</v>
      </c>
      <c r="K638" s="218">
        <f t="shared" si="26"/>
        <v>5.98</v>
      </c>
      <c r="L638" s="250"/>
    </row>
    <row r="639" spans="1:18" s="166" customFormat="1" ht="20.100000000000001" customHeight="1" x14ac:dyDescent="0.25">
      <c r="A639" s="245"/>
      <c r="B639" s="246" t="s">
        <v>1559</v>
      </c>
      <c r="C639" s="246"/>
      <c r="D639" s="246"/>
      <c r="E639" s="246"/>
      <c r="F639" s="247"/>
      <c r="G639" s="248">
        <v>0.9</v>
      </c>
      <c r="H639" s="249">
        <v>2.1</v>
      </c>
      <c r="I639" s="248">
        <v>2</v>
      </c>
      <c r="K639" s="218">
        <f t="shared" si="26"/>
        <v>3.78</v>
      </c>
      <c r="L639" s="250"/>
    </row>
    <row r="640" spans="1:18" s="166" customFormat="1" ht="20.100000000000001" customHeight="1" x14ac:dyDescent="0.25">
      <c r="A640" s="245"/>
      <c r="B640" s="246" t="s">
        <v>1439</v>
      </c>
      <c r="C640" s="246"/>
      <c r="D640" s="246"/>
      <c r="E640" s="246"/>
      <c r="F640" s="247"/>
      <c r="G640" s="248">
        <v>0.9</v>
      </c>
      <c r="H640" s="249">
        <v>2.1</v>
      </c>
      <c r="I640" s="248">
        <v>2</v>
      </c>
      <c r="K640" s="218">
        <f t="shared" si="26"/>
        <v>3.78</v>
      </c>
      <c r="L640" s="250"/>
    </row>
    <row r="641" spans="1:18" s="149" customFormat="1" ht="18.75" customHeight="1" x14ac:dyDescent="0.25">
      <c r="A641" s="245"/>
      <c r="B641" s="246" t="s">
        <v>1560</v>
      </c>
      <c r="C641" s="246"/>
      <c r="D641" s="246"/>
      <c r="E641" s="246"/>
      <c r="F641" s="247"/>
      <c r="G641" s="248">
        <v>2.35</v>
      </c>
      <c r="H641" s="249">
        <v>3.3</v>
      </c>
      <c r="I641" s="248">
        <v>2</v>
      </c>
      <c r="J641" s="249">
        <f>0.9*2.1</f>
        <v>1.8900000000000001</v>
      </c>
      <c r="K641" s="218">
        <f t="shared" si="26"/>
        <v>11.73</v>
      </c>
      <c r="L641" s="250"/>
    </row>
    <row r="642" spans="1:18" s="149" customFormat="1" ht="18.75" customHeight="1" x14ac:dyDescent="0.25">
      <c r="A642" s="245"/>
      <c r="B642" s="246" t="s">
        <v>1561</v>
      </c>
      <c r="C642" s="246"/>
      <c r="D642" s="246"/>
      <c r="E642" s="246"/>
      <c r="F642" s="247"/>
      <c r="G642" s="248">
        <v>0.9</v>
      </c>
      <c r="H642" s="249">
        <v>2.1</v>
      </c>
      <c r="I642" s="248">
        <v>2</v>
      </c>
      <c r="K642" s="218">
        <f t="shared" si="26"/>
        <v>3.78</v>
      </c>
      <c r="L642" s="250"/>
    </row>
    <row r="643" spans="1:18" s="149" customFormat="1" ht="18.75" customHeight="1" x14ac:dyDescent="0.25">
      <c r="A643" s="245"/>
      <c r="B643" s="246" t="s">
        <v>1562</v>
      </c>
      <c r="C643" s="246"/>
      <c r="D643" s="246"/>
      <c r="E643" s="246"/>
      <c r="F643" s="247"/>
      <c r="G643" s="248">
        <v>2.2999999999999998</v>
      </c>
      <c r="H643" s="249">
        <v>3.3</v>
      </c>
      <c r="I643" s="248">
        <v>2</v>
      </c>
      <c r="K643" s="218">
        <f t="shared" si="26"/>
        <v>15.18</v>
      </c>
      <c r="L643" s="250"/>
    </row>
    <row r="644" spans="1:18" s="149" customFormat="1" ht="18.75" customHeight="1" x14ac:dyDescent="0.25">
      <c r="A644" s="245"/>
      <c r="B644" s="246" t="s">
        <v>1563</v>
      </c>
      <c r="C644" s="246"/>
      <c r="D644" s="246"/>
      <c r="E644" s="246"/>
      <c r="F644" s="247"/>
      <c r="G644" s="248">
        <v>1.75</v>
      </c>
      <c r="H644" s="249">
        <v>3.3</v>
      </c>
      <c r="I644" s="248">
        <v>2</v>
      </c>
      <c r="K644" s="218">
        <f t="shared" si="26"/>
        <v>11.55</v>
      </c>
      <c r="L644" s="250"/>
    </row>
    <row r="645" spans="1:18" s="166" customFormat="1" ht="20.100000000000001" customHeight="1" x14ac:dyDescent="0.25">
      <c r="A645" s="245"/>
      <c r="B645" s="246" t="s">
        <v>1640</v>
      </c>
      <c r="C645" s="246"/>
      <c r="D645" s="246"/>
      <c r="E645" s="246"/>
      <c r="F645" s="247"/>
      <c r="G645" s="248">
        <v>93</v>
      </c>
      <c r="H645" s="249">
        <v>3.3</v>
      </c>
      <c r="I645" s="166">
        <v>1</v>
      </c>
      <c r="J645" s="249">
        <f>71.66/2</f>
        <v>35.83</v>
      </c>
      <c r="K645" s="218">
        <f t="shared" si="26"/>
        <v>271.07</v>
      </c>
      <c r="L645" s="250"/>
      <c r="M645" s="149"/>
    </row>
    <row r="646" spans="1:18" s="149" customFormat="1" ht="18.75" customHeight="1" x14ac:dyDescent="0.25">
      <c r="A646" s="245"/>
      <c r="B646" s="246" t="s">
        <v>1525</v>
      </c>
      <c r="C646" s="246"/>
      <c r="D646" s="246"/>
      <c r="E646" s="246"/>
      <c r="F646" s="247"/>
      <c r="G646" s="248"/>
      <c r="H646" s="249"/>
      <c r="I646" s="249">
        <v>9.68</v>
      </c>
      <c r="J646" s="248"/>
      <c r="K646" s="249">
        <f>I646</f>
        <v>9.68</v>
      </c>
      <c r="L646" s="250"/>
    </row>
    <row r="647" spans="1:18" s="154" customFormat="1" ht="20.100000000000001" customHeight="1" x14ac:dyDescent="0.25">
      <c r="A647" s="475" t="s">
        <v>1411</v>
      </c>
      <c r="B647" s="476"/>
      <c r="C647" s="476"/>
      <c r="D647" s="476"/>
      <c r="E647" s="476"/>
      <c r="F647" s="476"/>
      <c r="G647" s="476"/>
      <c r="H647" s="476"/>
      <c r="I647" s="476"/>
      <c r="J647" s="476"/>
      <c r="K647" s="477"/>
      <c r="L647" s="250"/>
      <c r="M647" s="149"/>
      <c r="N647" s="149"/>
      <c r="O647" s="149"/>
      <c r="P647" s="149"/>
      <c r="Q647" s="149"/>
      <c r="R647" s="149"/>
    </row>
    <row r="648" spans="1:18" s="166" customFormat="1" ht="20.100000000000001" customHeight="1" x14ac:dyDescent="0.25">
      <c r="A648" s="245"/>
      <c r="B648" s="246" t="s">
        <v>811</v>
      </c>
      <c r="C648" s="246"/>
      <c r="D648" s="246"/>
      <c r="E648" s="246"/>
      <c r="F648" s="247"/>
      <c r="G648" s="248">
        <v>0.9</v>
      </c>
      <c r="H648" s="249">
        <v>2.1</v>
      </c>
      <c r="I648" s="249">
        <v>2</v>
      </c>
      <c r="J648" s="248"/>
      <c r="K648" s="218">
        <f t="shared" ref="K648:K653" si="27">TRUNC((G648*H648-J648)*I648,2)</f>
        <v>3.78</v>
      </c>
      <c r="L648" s="250"/>
    </row>
    <row r="649" spans="1:18" s="166" customFormat="1" ht="20.100000000000001" customHeight="1" x14ac:dyDescent="0.25">
      <c r="A649" s="245"/>
      <c r="B649" s="246" t="s">
        <v>1564</v>
      </c>
      <c r="C649" s="246"/>
      <c r="D649" s="246"/>
      <c r="E649" s="246"/>
      <c r="F649" s="247"/>
      <c r="G649" s="248">
        <v>0.9</v>
      </c>
      <c r="H649" s="249">
        <v>2.1</v>
      </c>
      <c r="I649" s="249">
        <v>2</v>
      </c>
      <c r="J649" s="248"/>
      <c r="K649" s="218">
        <f t="shared" si="27"/>
        <v>3.78</v>
      </c>
      <c r="L649" s="250"/>
    </row>
    <row r="650" spans="1:18" s="166" customFormat="1" ht="20.100000000000001" customHeight="1" x14ac:dyDescent="0.25">
      <c r="A650" s="245"/>
      <c r="B650" s="246" t="s">
        <v>1565</v>
      </c>
      <c r="C650" s="246"/>
      <c r="D650" s="246"/>
      <c r="E650" s="246"/>
      <c r="F650" s="247"/>
      <c r="G650" s="248">
        <v>2.5499999999999998</v>
      </c>
      <c r="H650" s="249">
        <v>3.3</v>
      </c>
      <c r="I650" s="249">
        <v>2</v>
      </c>
      <c r="J650" s="248"/>
      <c r="K650" s="218">
        <f t="shared" si="27"/>
        <v>16.829999999999998</v>
      </c>
      <c r="L650" s="250"/>
    </row>
    <row r="651" spans="1:18" s="166" customFormat="1" ht="20.100000000000001" customHeight="1" x14ac:dyDescent="0.25">
      <c r="A651" s="245"/>
      <c r="B651" s="246" t="s">
        <v>1566</v>
      </c>
      <c r="C651" s="246"/>
      <c r="D651" s="246"/>
      <c r="E651" s="246"/>
      <c r="F651" s="247"/>
      <c r="G651" s="248">
        <v>2.2999999999999998</v>
      </c>
      <c r="H651" s="249">
        <v>3.3</v>
      </c>
      <c r="I651" s="249">
        <v>2</v>
      </c>
      <c r="J651" s="248"/>
      <c r="K651" s="218">
        <f t="shared" si="27"/>
        <v>15.18</v>
      </c>
      <c r="L651" s="250"/>
    </row>
    <row r="652" spans="1:18" s="149" customFormat="1" ht="18.75" customHeight="1" x14ac:dyDescent="0.25">
      <c r="A652" s="245"/>
      <c r="B652" s="246" t="s">
        <v>1525</v>
      </c>
      <c r="C652" s="246"/>
      <c r="D652" s="246"/>
      <c r="E652" s="246"/>
      <c r="F652" s="247"/>
      <c r="G652" s="248"/>
      <c r="H652" s="249"/>
      <c r="I652" s="249">
        <v>9.68</v>
      </c>
      <c r="J652" s="248"/>
      <c r="K652" s="249">
        <f>I652</f>
        <v>9.68</v>
      </c>
      <c r="L652" s="250"/>
    </row>
    <row r="653" spans="1:18" s="149" customFormat="1" ht="18.75" customHeight="1" x14ac:dyDescent="0.25">
      <c r="A653" s="245"/>
      <c r="B653" s="246" t="s">
        <v>1642</v>
      </c>
      <c r="C653" s="246"/>
      <c r="D653" s="246"/>
      <c r="E653" s="246"/>
      <c r="F653" s="247"/>
      <c r="G653" s="248">
        <f>22.9*2</f>
        <v>45.8</v>
      </c>
      <c r="H653" s="249">
        <v>3.3</v>
      </c>
      <c r="I653" s="149">
        <v>1</v>
      </c>
      <c r="J653" s="249">
        <f>2*2.3*1.5+4*2.3*2.25+2*2.3*0.75</f>
        <v>31.049999999999997</v>
      </c>
      <c r="K653" s="218">
        <f t="shared" si="27"/>
        <v>120.09</v>
      </c>
      <c r="L653" s="250"/>
    </row>
    <row r="654" spans="1:18" s="154" customFormat="1" ht="20.100000000000001" customHeight="1" x14ac:dyDescent="0.25">
      <c r="A654" s="475" t="s">
        <v>1413</v>
      </c>
      <c r="B654" s="476"/>
      <c r="C654" s="476"/>
      <c r="D654" s="476"/>
      <c r="E654" s="476"/>
      <c r="F654" s="476"/>
      <c r="G654" s="476"/>
      <c r="H654" s="476"/>
      <c r="I654" s="476"/>
      <c r="J654" s="476"/>
      <c r="K654" s="477"/>
      <c r="L654" s="250"/>
      <c r="M654" s="149"/>
      <c r="N654" s="149"/>
      <c r="O654" s="149"/>
      <c r="P654" s="149"/>
      <c r="Q654" s="149"/>
      <c r="R654" s="149"/>
    </row>
    <row r="655" spans="1:18" s="166" customFormat="1" ht="20.100000000000001" customHeight="1" x14ac:dyDescent="0.25">
      <c r="A655" s="245"/>
      <c r="B655" s="246" t="s">
        <v>1567</v>
      </c>
      <c r="C655" s="246"/>
      <c r="D655" s="246"/>
      <c r="E655" s="246"/>
      <c r="F655" s="247"/>
      <c r="G655" s="248">
        <v>0.65</v>
      </c>
      <c r="H655" s="249">
        <v>3.3</v>
      </c>
      <c r="I655" s="249"/>
      <c r="J655" s="248">
        <v>2</v>
      </c>
      <c r="K655" s="249">
        <f>TRUNC((G655*H655-I655)*J655,2)</f>
        <v>4.29</v>
      </c>
      <c r="L655" s="250"/>
    </row>
    <row r="656" spans="1:18" s="166" customFormat="1" ht="20.100000000000001" customHeight="1" x14ac:dyDescent="0.25">
      <c r="A656" s="245"/>
      <c r="B656" s="246" t="s">
        <v>1568</v>
      </c>
      <c r="C656" s="246"/>
      <c r="D656" s="246"/>
      <c r="E656" s="246"/>
      <c r="F656" s="247"/>
      <c r="G656" s="248">
        <v>0.9</v>
      </c>
      <c r="H656" s="249">
        <v>2.1</v>
      </c>
      <c r="I656" s="249"/>
      <c r="J656" s="248">
        <v>2</v>
      </c>
      <c r="K656" s="249">
        <f t="shared" ref="K656:K666" si="28">TRUNC((G656*H656-I656)*J656,2)</f>
        <v>3.78</v>
      </c>
      <c r="L656" s="250"/>
    </row>
    <row r="657" spans="1:18" s="166" customFormat="1" ht="20.100000000000001" customHeight="1" x14ac:dyDescent="0.25">
      <c r="A657" s="245"/>
      <c r="B657" s="246" t="s">
        <v>1568</v>
      </c>
      <c r="C657" s="246"/>
      <c r="D657" s="246"/>
      <c r="E657" s="246"/>
      <c r="F657" s="247"/>
      <c r="G657" s="248">
        <v>1.2</v>
      </c>
      <c r="H657" s="249">
        <v>2.1</v>
      </c>
      <c r="I657" s="249"/>
      <c r="J657" s="248">
        <v>2</v>
      </c>
      <c r="K657" s="249">
        <f t="shared" si="28"/>
        <v>5.04</v>
      </c>
      <c r="L657" s="250"/>
    </row>
    <row r="658" spans="1:18" s="166" customFormat="1" ht="20.100000000000001" customHeight="1" x14ac:dyDescent="0.25">
      <c r="A658" s="245"/>
      <c r="B658" s="246" t="s">
        <v>813</v>
      </c>
      <c r="C658" s="246"/>
      <c r="D658" s="246"/>
      <c r="E658" s="246"/>
      <c r="F658" s="247"/>
      <c r="G658" s="248">
        <v>2.35</v>
      </c>
      <c r="H658" s="249">
        <v>3.3</v>
      </c>
      <c r="I658" s="249">
        <f>2.1*0.9</f>
        <v>1.8900000000000001</v>
      </c>
      <c r="J658" s="248">
        <v>2</v>
      </c>
      <c r="K658" s="249">
        <f t="shared" si="28"/>
        <v>11.73</v>
      </c>
      <c r="L658" s="250"/>
    </row>
    <row r="659" spans="1:18" s="166" customFormat="1" ht="20.100000000000001" customHeight="1" x14ac:dyDescent="0.25">
      <c r="A659" s="245"/>
      <c r="B659" s="246" t="s">
        <v>1568</v>
      </c>
      <c r="C659" s="246"/>
      <c r="D659" s="246"/>
      <c r="E659" s="246"/>
      <c r="F659" s="247"/>
      <c r="G659" s="248">
        <v>0.95</v>
      </c>
      <c r="H659" s="249">
        <v>3.3</v>
      </c>
      <c r="I659" s="249"/>
      <c r="J659" s="248">
        <v>2</v>
      </c>
      <c r="K659" s="249">
        <f t="shared" si="28"/>
        <v>6.27</v>
      </c>
      <c r="L659" s="250"/>
    </row>
    <row r="660" spans="1:18" s="166" customFormat="1" ht="20.100000000000001" customHeight="1" x14ac:dyDescent="0.25">
      <c r="A660" s="245"/>
      <c r="B660" s="246" t="s">
        <v>1511</v>
      </c>
      <c r="C660" s="246"/>
      <c r="D660" s="246"/>
      <c r="E660" s="246"/>
      <c r="F660" s="247"/>
      <c r="G660" s="248">
        <f>2.35+1.75</f>
        <v>4.0999999999999996</v>
      </c>
      <c r="H660" s="249">
        <v>3.3</v>
      </c>
      <c r="I660" s="249">
        <f>2.1*0.9</f>
        <v>1.8900000000000001</v>
      </c>
      <c r="J660" s="248">
        <v>2</v>
      </c>
      <c r="K660" s="249">
        <f t="shared" si="28"/>
        <v>23.28</v>
      </c>
      <c r="L660" s="250"/>
    </row>
    <row r="661" spans="1:18" s="166" customFormat="1" ht="20.100000000000001" customHeight="1" x14ac:dyDescent="0.25">
      <c r="A661" s="245"/>
      <c r="B661" s="246" t="s">
        <v>1568</v>
      </c>
      <c r="C661" s="246"/>
      <c r="D661" s="246"/>
      <c r="E661" s="246"/>
      <c r="F661" s="247"/>
      <c r="G661" s="248">
        <v>0.9</v>
      </c>
      <c r="H661" s="249">
        <v>2.1</v>
      </c>
      <c r="I661" s="249"/>
      <c r="J661" s="248">
        <v>2</v>
      </c>
      <c r="K661" s="249">
        <f t="shared" si="28"/>
        <v>3.78</v>
      </c>
      <c r="L661" s="250"/>
    </row>
    <row r="662" spans="1:18" s="166" customFormat="1" ht="20.100000000000001" customHeight="1" x14ac:dyDescent="0.25">
      <c r="A662" s="245"/>
      <c r="B662" s="246" t="s">
        <v>1643</v>
      </c>
      <c r="C662" s="246"/>
      <c r="D662" s="246"/>
      <c r="E662" s="246"/>
      <c r="F662" s="247"/>
      <c r="G662" s="248">
        <f>1.75+2</f>
        <v>3.75</v>
      </c>
      <c r="H662" s="249">
        <v>3.3</v>
      </c>
      <c r="I662" s="249"/>
      <c r="J662" s="248">
        <v>2</v>
      </c>
      <c r="K662" s="249">
        <f t="shared" si="28"/>
        <v>24.75</v>
      </c>
      <c r="L662" s="250"/>
    </row>
    <row r="663" spans="1:18" s="166" customFormat="1" ht="20.100000000000001" customHeight="1" x14ac:dyDescent="0.25">
      <c r="A663" s="245"/>
      <c r="B663" s="246" t="s">
        <v>1644</v>
      </c>
      <c r="C663" s="246"/>
      <c r="D663" s="246"/>
      <c r="E663" s="246"/>
      <c r="F663" s="247"/>
      <c r="G663" s="248">
        <v>2.35</v>
      </c>
      <c r="H663" s="249">
        <v>3.3</v>
      </c>
      <c r="I663" s="249">
        <f>2.1*0.9</f>
        <v>1.8900000000000001</v>
      </c>
      <c r="J663" s="248">
        <v>2</v>
      </c>
      <c r="K663" s="249">
        <f t="shared" si="28"/>
        <v>11.73</v>
      </c>
      <c r="L663" s="250"/>
    </row>
    <row r="664" spans="1:18" s="166" customFormat="1" ht="20.100000000000001" customHeight="1" x14ac:dyDescent="0.25">
      <c r="A664" s="245"/>
      <c r="B664" s="246" t="s">
        <v>1643</v>
      </c>
      <c r="C664" s="246"/>
      <c r="D664" s="246"/>
      <c r="E664" s="246"/>
      <c r="F664" s="247"/>
      <c r="G664" s="248">
        <v>2.35</v>
      </c>
      <c r="H664" s="249">
        <v>3.3</v>
      </c>
      <c r="I664" s="249">
        <f>2.1*0.9</f>
        <v>1.8900000000000001</v>
      </c>
      <c r="J664" s="248">
        <v>2</v>
      </c>
      <c r="K664" s="249">
        <f t="shared" si="28"/>
        <v>11.73</v>
      </c>
      <c r="L664" s="250"/>
    </row>
    <row r="665" spans="1:18" s="166" customFormat="1" ht="20.100000000000001" customHeight="1" x14ac:dyDescent="0.25">
      <c r="A665" s="245"/>
      <c r="B665" s="246" t="s">
        <v>1643</v>
      </c>
      <c r="C665" s="246"/>
      <c r="D665" s="246"/>
      <c r="E665" s="246"/>
      <c r="F665" s="247"/>
      <c r="G665" s="248">
        <v>1.1000000000000001</v>
      </c>
      <c r="H665" s="249">
        <v>2.1</v>
      </c>
      <c r="I665" s="249"/>
      <c r="J665" s="248">
        <v>2</v>
      </c>
      <c r="K665" s="249">
        <f t="shared" si="28"/>
        <v>4.62</v>
      </c>
      <c r="L665" s="250"/>
    </row>
    <row r="666" spans="1:18" s="166" customFormat="1" ht="20.100000000000001" customHeight="1" x14ac:dyDescent="0.25">
      <c r="A666" s="245"/>
      <c r="B666" s="246" t="s">
        <v>1568</v>
      </c>
      <c r="C666" s="246"/>
      <c r="D666" s="246"/>
      <c r="E666" s="246"/>
      <c r="F666" s="247"/>
      <c r="G666" s="248">
        <v>0.9</v>
      </c>
      <c r="H666" s="249">
        <v>2.1</v>
      </c>
      <c r="I666" s="249"/>
      <c r="J666" s="248">
        <v>2</v>
      </c>
      <c r="K666" s="249">
        <f t="shared" si="28"/>
        <v>3.78</v>
      </c>
      <c r="L666" s="250"/>
    </row>
    <row r="667" spans="1:18" s="166" customFormat="1" ht="20.100000000000001" customHeight="1" x14ac:dyDescent="0.25">
      <c r="A667" s="245"/>
      <c r="B667" s="246" t="s">
        <v>1640</v>
      </c>
      <c r="C667" s="246"/>
      <c r="D667" s="246"/>
      <c r="E667" s="246"/>
      <c r="F667" s="247"/>
      <c r="G667" s="248">
        <f>10.15+17.5+29.95+10.6</f>
        <v>68.199999999999989</v>
      </c>
      <c r="H667" s="249">
        <v>3.3</v>
      </c>
      <c r="I667" s="249">
        <f>1.5*1.2+0.6*0.4+2*1.1+2.5*3.3+3*2.5*1.5+0.7*0.7+2*2.1+4*2.3*1.5+1*2.1+3*2.3*0.75+0.9*2.1</f>
        <v>51.394999999999996</v>
      </c>
      <c r="J667" s="248">
        <v>1</v>
      </c>
      <c r="K667" s="249">
        <f>TRUNC((G667*H667-I667)*J667,2)</f>
        <v>173.66</v>
      </c>
      <c r="L667" s="250"/>
    </row>
    <row r="668" spans="1:18" s="154" customFormat="1" ht="20.100000000000001" customHeight="1" x14ac:dyDescent="0.25">
      <c r="A668" s="475" t="s">
        <v>1402</v>
      </c>
      <c r="B668" s="476"/>
      <c r="C668" s="476"/>
      <c r="D668" s="476"/>
      <c r="E668" s="476"/>
      <c r="F668" s="476"/>
      <c r="G668" s="476"/>
      <c r="H668" s="476"/>
      <c r="I668" s="476"/>
      <c r="J668" s="476"/>
      <c r="K668" s="477"/>
      <c r="L668" s="250"/>
      <c r="M668" s="149"/>
      <c r="N668" s="149"/>
      <c r="O668" s="149"/>
      <c r="P668" s="149"/>
      <c r="Q668" s="149"/>
      <c r="R668" s="149"/>
    </row>
    <row r="669" spans="1:18" s="154" customFormat="1" ht="20.100000000000001" customHeight="1" x14ac:dyDescent="0.25">
      <c r="A669" s="245"/>
      <c r="B669" s="246" t="s">
        <v>1571</v>
      </c>
      <c r="C669" s="246"/>
      <c r="D669" s="246"/>
      <c r="E669" s="246"/>
      <c r="F669" s="247"/>
      <c r="G669" s="248"/>
      <c r="H669" s="249"/>
      <c r="I669" s="249"/>
      <c r="J669" s="248"/>
      <c r="K669" s="249">
        <f>((TRUNC((6.7+57+2.05),2)+TRUNC(2.64*4,2))-TRUNC(2.4*6+5*4,2))*2</f>
        <v>83.820000000000007</v>
      </c>
      <c r="L669" s="250"/>
      <c r="M669" s="149"/>
      <c r="N669" s="149"/>
      <c r="O669" s="149"/>
      <c r="P669" s="149"/>
      <c r="Q669" s="149"/>
      <c r="R669" s="149"/>
    </row>
    <row r="670" spans="1:18" s="154" customFormat="1" ht="20.100000000000001" customHeight="1" x14ac:dyDescent="0.25">
      <c r="A670" s="245"/>
      <c r="B670" s="246" t="s">
        <v>1572</v>
      </c>
      <c r="C670" s="246"/>
      <c r="D670" s="246"/>
      <c r="E670" s="246"/>
      <c r="F670" s="247"/>
      <c r="G670" s="248"/>
      <c r="H670" s="249"/>
      <c r="I670" s="249"/>
      <c r="J670" s="248"/>
      <c r="K670" s="249">
        <f>2*71.72</f>
        <v>143.44</v>
      </c>
      <c r="L670" s="250"/>
      <c r="M670" s="149"/>
      <c r="N670" s="149"/>
      <c r="O670" s="149"/>
      <c r="P670" s="149"/>
      <c r="Q670" s="149"/>
      <c r="R670" s="149"/>
    </row>
    <row r="671" spans="1:18" s="154" customFormat="1" ht="20.100000000000001" customHeight="1" x14ac:dyDescent="0.25">
      <c r="A671" s="245"/>
      <c r="B671" s="246" t="s">
        <v>1573</v>
      </c>
      <c r="C671" s="246"/>
      <c r="D671" s="246"/>
      <c r="E671" s="246"/>
      <c r="F671" s="247"/>
      <c r="G671" s="248"/>
      <c r="H671" s="249"/>
      <c r="I671" s="249"/>
      <c r="J671" s="248"/>
      <c r="K671" s="249">
        <f>TRUNC((4.4+1.65+1.65)*1.05*4,2)*2</f>
        <v>64.680000000000007</v>
      </c>
      <c r="L671" s="250"/>
      <c r="M671" s="149"/>
      <c r="N671" s="149"/>
      <c r="O671" s="149"/>
      <c r="P671" s="149"/>
      <c r="Q671" s="149"/>
      <c r="R671" s="149"/>
    </row>
    <row r="672" spans="1:18" s="154" customFormat="1" ht="20.100000000000001" customHeight="1" x14ac:dyDescent="0.25">
      <c r="A672" s="475" t="s">
        <v>1574</v>
      </c>
      <c r="B672" s="476"/>
      <c r="C672" s="476"/>
      <c r="D672" s="476"/>
      <c r="E672" s="476"/>
      <c r="F672" s="476"/>
      <c r="G672" s="476"/>
      <c r="H672" s="476"/>
      <c r="I672" s="476"/>
      <c r="J672" s="476"/>
      <c r="K672" s="477"/>
      <c r="L672" s="250"/>
      <c r="M672" s="149"/>
      <c r="N672" s="149"/>
      <c r="O672" s="149"/>
      <c r="P672" s="149"/>
      <c r="Q672" s="149"/>
      <c r="R672" s="149"/>
    </row>
    <row r="673" spans="1:18" s="154" customFormat="1" ht="20.100000000000001" customHeight="1" x14ac:dyDescent="0.25">
      <c r="A673" s="245"/>
      <c r="B673" s="246" t="s">
        <v>1575</v>
      </c>
      <c r="C673" s="246"/>
      <c r="D673" s="246"/>
      <c r="E673" s="246"/>
      <c r="F673" s="247"/>
      <c r="G673" s="248">
        <f>5.44+2.53*3+0.65</f>
        <v>13.680000000000001</v>
      </c>
      <c r="H673" s="249">
        <v>2.2000000000000002</v>
      </c>
      <c r="I673" s="249"/>
      <c r="J673" s="248">
        <v>2</v>
      </c>
      <c r="K673" s="249">
        <f>TRUNC((G673*H673-I673)*J673,2)</f>
        <v>60.19</v>
      </c>
      <c r="L673" s="250"/>
      <c r="M673" s="149"/>
      <c r="N673" s="149"/>
      <c r="O673" s="149"/>
      <c r="P673" s="149"/>
      <c r="Q673" s="149"/>
      <c r="R673" s="149"/>
    </row>
    <row r="674" spans="1:18" s="154" customFormat="1" ht="18.75" customHeight="1" x14ac:dyDescent="0.25">
      <c r="A674" s="470" t="s">
        <v>163</v>
      </c>
      <c r="B674" s="471"/>
      <c r="C674" s="471"/>
      <c r="D674" s="471"/>
      <c r="E674" s="471"/>
      <c r="F674" s="472"/>
      <c r="G674" s="472"/>
      <c r="H674" s="472"/>
      <c r="I674" s="472"/>
      <c r="J674" s="472"/>
      <c r="K674" s="252">
        <f>SUM(K610:K673)</f>
        <v>1636.6499999999996</v>
      </c>
      <c r="L674" s="250"/>
      <c r="M674" s="149"/>
      <c r="N674" s="149"/>
      <c r="O674" s="149"/>
      <c r="P674" s="149"/>
      <c r="Q674" s="149"/>
      <c r="R674" s="149"/>
    </row>
    <row r="675" spans="1:18" s="154" customFormat="1" ht="20.100000000000001" customHeight="1" x14ac:dyDescent="0.25">
      <c r="A675" s="177" t="s">
        <v>3</v>
      </c>
      <c r="B675" s="171" t="s">
        <v>1645</v>
      </c>
      <c r="C675" s="171"/>
      <c r="D675" s="171"/>
      <c r="E675" s="171"/>
      <c r="F675" s="243" t="s">
        <v>230</v>
      </c>
      <c r="G675" s="244" t="s">
        <v>1496</v>
      </c>
      <c r="H675" s="244" t="s">
        <v>1417</v>
      </c>
      <c r="I675" s="244" t="s">
        <v>61</v>
      </c>
      <c r="J675" s="244"/>
      <c r="K675" s="244" t="s">
        <v>50</v>
      </c>
      <c r="L675" s="250"/>
      <c r="M675" s="149"/>
      <c r="N675" s="149"/>
      <c r="O675" s="149"/>
      <c r="P675" s="149"/>
      <c r="Q675" s="149"/>
      <c r="R675" s="149"/>
    </row>
    <row r="676" spans="1:18" s="154" customFormat="1" ht="20.100000000000001" customHeight="1" x14ac:dyDescent="0.25">
      <c r="A676" s="475" t="s">
        <v>1382</v>
      </c>
      <c r="B676" s="476"/>
      <c r="C676" s="476"/>
      <c r="D676" s="476"/>
      <c r="E676" s="476"/>
      <c r="F676" s="476"/>
      <c r="G676" s="476"/>
      <c r="H676" s="476"/>
      <c r="I676" s="476"/>
      <c r="J676" s="476"/>
      <c r="K676" s="477"/>
      <c r="L676" s="250"/>
      <c r="M676" s="149"/>
      <c r="N676" s="149"/>
      <c r="O676" s="149"/>
      <c r="P676" s="149"/>
      <c r="Q676" s="149"/>
      <c r="R676" s="149"/>
    </row>
    <row r="677" spans="1:18" s="149" customFormat="1" ht="20.100000000000001" customHeight="1" x14ac:dyDescent="0.25">
      <c r="A677" s="267"/>
      <c r="B677" s="246" t="s">
        <v>1501</v>
      </c>
      <c r="C677" s="246"/>
      <c r="D677" s="246"/>
      <c r="E677" s="246"/>
      <c r="F677" s="247"/>
      <c r="G677" s="248">
        <v>0.9</v>
      </c>
      <c r="H677" s="249">
        <v>2.1</v>
      </c>
      <c r="I677" s="249">
        <v>2</v>
      </c>
      <c r="J677" s="248"/>
      <c r="K677" s="249">
        <f>TRUNC(G677*H677*I677,2)</f>
        <v>3.78</v>
      </c>
      <c r="L677" s="250"/>
    </row>
    <row r="678" spans="1:18" s="149" customFormat="1" ht="20.100000000000001" customHeight="1" x14ac:dyDescent="0.25">
      <c r="A678" s="267"/>
      <c r="B678" s="246" t="s">
        <v>1548</v>
      </c>
      <c r="C678" s="246"/>
      <c r="D678" s="246"/>
      <c r="E678" s="246"/>
      <c r="F678" s="247"/>
      <c r="G678" s="248">
        <v>0.6</v>
      </c>
      <c r="H678" s="249">
        <v>0.6</v>
      </c>
      <c r="I678" s="249">
        <v>2</v>
      </c>
      <c r="J678" s="248"/>
      <c r="K678" s="249">
        <f>TRUNC(G678*H678*I678,2)</f>
        <v>0.72</v>
      </c>
      <c r="L678" s="250"/>
    </row>
    <row r="679" spans="1:18" s="166" customFormat="1" ht="20.100000000000001" customHeight="1" x14ac:dyDescent="0.25">
      <c r="A679" s="245"/>
      <c r="B679" s="246" t="s">
        <v>1549</v>
      </c>
      <c r="C679" s="246"/>
      <c r="D679" s="246"/>
      <c r="E679" s="246"/>
      <c r="F679" s="247"/>
      <c r="G679" s="248">
        <v>2.35</v>
      </c>
      <c r="H679" s="249">
        <v>3.3</v>
      </c>
      <c r="I679" s="249">
        <v>2</v>
      </c>
      <c r="J679" s="248"/>
      <c r="K679" s="249">
        <f t="shared" ref="K679:K681" si="29">TRUNC(G679*H679*I679,2)</f>
        <v>15.51</v>
      </c>
      <c r="L679" s="250"/>
    </row>
    <row r="680" spans="1:18" s="166" customFormat="1" ht="20.100000000000001" customHeight="1" x14ac:dyDescent="0.25">
      <c r="A680" s="245"/>
      <c r="B680" s="246" t="s">
        <v>1638</v>
      </c>
      <c r="C680" s="246"/>
      <c r="D680" s="246"/>
      <c r="E680" s="246"/>
      <c r="F680" s="247"/>
      <c r="G680" s="248">
        <v>2.2999999999999998</v>
      </c>
      <c r="H680" s="249">
        <v>2.5</v>
      </c>
      <c r="I680" s="249">
        <v>13</v>
      </c>
      <c r="J680" s="248"/>
      <c r="K680" s="249">
        <f t="shared" si="29"/>
        <v>74.75</v>
      </c>
      <c r="L680" s="250"/>
    </row>
    <row r="681" spans="1:18" s="166" customFormat="1" ht="20.100000000000001" customHeight="1" x14ac:dyDescent="0.25">
      <c r="A681" s="245"/>
      <c r="B681" s="246" t="s">
        <v>1638</v>
      </c>
      <c r="C681" s="246"/>
      <c r="D681" s="246"/>
      <c r="E681" s="246"/>
      <c r="F681" s="247"/>
      <c r="G681" s="248">
        <v>2.2999999999999998</v>
      </c>
      <c r="H681" s="249">
        <v>1.8</v>
      </c>
      <c r="I681" s="249">
        <v>4</v>
      </c>
      <c r="J681" s="248"/>
      <c r="K681" s="249">
        <f t="shared" si="29"/>
        <v>16.559999999999999</v>
      </c>
      <c r="L681" s="250"/>
    </row>
    <row r="682" spans="1:18" s="166" customFormat="1" ht="20.100000000000001" customHeight="1" x14ac:dyDescent="0.25">
      <c r="A682" s="245"/>
      <c r="B682" s="246" t="s">
        <v>1639</v>
      </c>
      <c r="C682" s="246"/>
      <c r="D682" s="246"/>
      <c r="E682" s="246"/>
      <c r="F682" s="247"/>
      <c r="G682" s="248">
        <v>10</v>
      </c>
      <c r="H682" s="249">
        <v>3.3</v>
      </c>
      <c r="I682" s="249"/>
      <c r="J682" s="248"/>
      <c r="K682" s="249">
        <f>TRUNC(G682*H682,2)</f>
        <v>33</v>
      </c>
      <c r="L682" s="250"/>
    </row>
    <row r="683" spans="1:18" s="166" customFormat="1" ht="20.100000000000001" customHeight="1" x14ac:dyDescent="0.25">
      <c r="A683" s="245"/>
      <c r="B683" s="246" t="s">
        <v>1550</v>
      </c>
      <c r="C683" s="246"/>
      <c r="D683" s="246"/>
      <c r="E683" s="246"/>
      <c r="F683" s="247"/>
      <c r="G683" s="248">
        <v>0.6</v>
      </c>
      <c r="H683" s="249">
        <v>0.6</v>
      </c>
      <c r="I683" s="248">
        <v>18</v>
      </c>
      <c r="K683" s="249">
        <f t="shared" ref="K683" si="30">TRUNC(G683*H683*I683,2)</f>
        <v>6.48</v>
      </c>
      <c r="L683" s="250"/>
    </row>
    <row r="684" spans="1:18" s="149" customFormat="1" ht="18.75" customHeight="1" x14ac:dyDescent="0.25">
      <c r="A684" s="245"/>
      <c r="B684" s="246" t="s">
        <v>1551</v>
      </c>
      <c r="C684" s="246"/>
      <c r="D684" s="246"/>
      <c r="E684" s="246"/>
      <c r="F684" s="247"/>
      <c r="G684" s="248"/>
      <c r="H684" s="249"/>
      <c r="J684" s="249">
        <v>9.68</v>
      </c>
      <c r="K684" s="249">
        <f>J684</f>
        <v>9.68</v>
      </c>
      <c r="L684" s="250"/>
    </row>
    <row r="685" spans="1:18" s="154" customFormat="1" ht="20.100000000000001" customHeight="1" x14ac:dyDescent="0.25">
      <c r="A685" s="475" t="s">
        <v>1384</v>
      </c>
      <c r="B685" s="476"/>
      <c r="C685" s="476"/>
      <c r="D685" s="476"/>
      <c r="E685" s="476"/>
      <c r="F685" s="476"/>
      <c r="G685" s="476"/>
      <c r="H685" s="476"/>
      <c r="I685" s="476"/>
      <c r="J685" s="476"/>
      <c r="K685" s="477"/>
      <c r="L685" s="250"/>
      <c r="M685" s="149"/>
      <c r="N685" s="149"/>
      <c r="O685" s="149"/>
      <c r="P685" s="149"/>
      <c r="Q685" s="149"/>
      <c r="R685" s="149"/>
    </row>
    <row r="686" spans="1:18" s="166" customFormat="1" ht="20.100000000000001" customHeight="1" x14ac:dyDescent="0.25">
      <c r="A686" s="245"/>
      <c r="B686" s="246" t="s">
        <v>811</v>
      </c>
      <c r="C686" s="246"/>
      <c r="D686" s="246"/>
      <c r="E686" s="246"/>
      <c r="F686" s="247"/>
      <c r="G686" s="248">
        <f>4.6+1.99</f>
        <v>6.59</v>
      </c>
      <c r="H686" s="249">
        <v>3.3</v>
      </c>
      <c r="I686" s="166">
        <v>2</v>
      </c>
      <c r="J686" s="249">
        <f>0.9*2.1</f>
        <v>1.8900000000000001</v>
      </c>
      <c r="K686" s="249">
        <f>TRUNC((G686*H686-J686)*I686,2)</f>
        <v>39.71</v>
      </c>
      <c r="L686" s="250"/>
    </row>
    <row r="687" spans="1:18" s="166" customFormat="1" ht="20.100000000000001" customHeight="1" x14ac:dyDescent="0.25">
      <c r="A687" s="245"/>
      <c r="B687" s="246" t="s">
        <v>1552</v>
      </c>
      <c r="C687" s="246"/>
      <c r="D687" s="246"/>
      <c r="E687" s="246"/>
      <c r="F687" s="247"/>
      <c r="G687" s="248">
        <f>1+2.05</f>
        <v>3.05</v>
      </c>
      <c r="H687" s="249">
        <v>3.3</v>
      </c>
      <c r="I687" s="166">
        <v>2</v>
      </c>
      <c r="J687" s="248"/>
      <c r="K687" s="249">
        <f>TRUNC((G687*H687-J687)*I687,2)</f>
        <v>20.13</v>
      </c>
      <c r="L687" s="250"/>
    </row>
    <row r="688" spans="1:18" s="166" customFormat="1" ht="20.100000000000001" customHeight="1" x14ac:dyDescent="0.25">
      <c r="A688" s="245"/>
      <c r="B688" s="246" t="s">
        <v>1552</v>
      </c>
      <c r="C688" s="246"/>
      <c r="D688" s="246"/>
      <c r="E688" s="246"/>
      <c r="F688" s="247"/>
      <c r="G688" s="248">
        <v>0.9</v>
      </c>
      <c r="H688" s="249">
        <v>2.1</v>
      </c>
      <c r="I688" s="166">
        <v>2</v>
      </c>
      <c r="J688" s="248"/>
      <c r="K688" s="249">
        <f t="shared" ref="K688:K691" si="31">TRUNC((G688*H688-J688)*I688,2)</f>
        <v>3.78</v>
      </c>
      <c r="L688" s="250"/>
    </row>
    <row r="689" spans="1:18" s="166" customFormat="1" ht="20.100000000000001" customHeight="1" x14ac:dyDescent="0.25">
      <c r="A689" s="245"/>
      <c r="B689" s="246" t="s">
        <v>1553</v>
      </c>
      <c r="C689" s="246"/>
      <c r="D689" s="246"/>
      <c r="E689" s="246"/>
      <c r="F689" s="247"/>
      <c r="G689" s="248">
        <v>1.7</v>
      </c>
      <c r="H689" s="249">
        <v>2.1</v>
      </c>
      <c r="I689" s="166">
        <v>2</v>
      </c>
      <c r="J689" s="248"/>
      <c r="K689" s="249">
        <f t="shared" si="31"/>
        <v>7.14</v>
      </c>
      <c r="L689" s="250"/>
    </row>
    <row r="690" spans="1:18" s="149" customFormat="1" ht="18.75" customHeight="1" x14ac:dyDescent="0.25">
      <c r="A690" s="245"/>
      <c r="B690" s="246" t="s">
        <v>1554</v>
      </c>
      <c r="C690" s="246"/>
      <c r="D690" s="246"/>
      <c r="E690" s="246"/>
      <c r="F690" s="247"/>
      <c r="G690" s="248">
        <v>0.9</v>
      </c>
      <c r="H690" s="249">
        <v>2.1</v>
      </c>
      <c r="I690" s="166">
        <v>2</v>
      </c>
      <c r="J690" s="248"/>
      <c r="K690" s="249">
        <f t="shared" si="31"/>
        <v>3.78</v>
      </c>
      <c r="L690" s="250"/>
    </row>
    <row r="691" spans="1:18" s="149" customFormat="1" ht="18.75" customHeight="1" x14ac:dyDescent="0.25">
      <c r="A691" s="245"/>
      <c r="B691" s="246" t="s">
        <v>1555</v>
      </c>
      <c r="C691" s="246"/>
      <c r="D691" s="246"/>
      <c r="E691" s="246"/>
      <c r="F691" s="247"/>
      <c r="G691" s="248">
        <v>2.2999999999999998</v>
      </c>
      <c r="H691" s="249">
        <v>3.3</v>
      </c>
      <c r="I691" s="166">
        <v>2</v>
      </c>
      <c r="J691" s="248"/>
      <c r="K691" s="249">
        <f t="shared" si="31"/>
        <v>15.18</v>
      </c>
      <c r="L691" s="250"/>
    </row>
    <row r="692" spans="1:18" s="149" customFormat="1" ht="18.75" customHeight="1" x14ac:dyDescent="0.25">
      <c r="A692" s="245"/>
      <c r="B692" s="246" t="s">
        <v>1551</v>
      </c>
      <c r="C692" s="246"/>
      <c r="D692" s="246"/>
      <c r="E692" s="246"/>
      <c r="F692" s="247"/>
      <c r="G692" s="248"/>
      <c r="H692" s="249"/>
      <c r="I692" s="166"/>
      <c r="J692" s="248"/>
      <c r="K692" s="249">
        <v>9.68</v>
      </c>
      <c r="L692" s="250"/>
    </row>
    <row r="693" spans="1:18" s="149" customFormat="1" ht="18.75" customHeight="1" x14ac:dyDescent="0.25">
      <c r="A693" s="245"/>
      <c r="B693" s="246" t="s">
        <v>1391</v>
      </c>
      <c r="C693" s="246"/>
      <c r="D693" s="246"/>
      <c r="E693" s="246"/>
      <c r="F693" s="247"/>
      <c r="G693" s="248">
        <f>2*5.05</f>
        <v>10.1</v>
      </c>
      <c r="H693" s="249">
        <v>3.3</v>
      </c>
      <c r="I693" s="166">
        <v>2</v>
      </c>
      <c r="J693" s="249">
        <f>2*1.1</f>
        <v>2.2000000000000002</v>
      </c>
      <c r="K693" s="249">
        <f t="shared" ref="K693" si="32">TRUNC((G693*H693-J693)*I693,2)</f>
        <v>62.26</v>
      </c>
      <c r="L693" s="250"/>
    </row>
    <row r="694" spans="1:18" s="149" customFormat="1" ht="18.75" customHeight="1" x14ac:dyDescent="0.25">
      <c r="A694" s="245"/>
      <c r="B694" s="246" t="s">
        <v>1525</v>
      </c>
      <c r="C694" s="246"/>
      <c r="D694" s="246"/>
      <c r="E694" s="246"/>
      <c r="F694" s="247"/>
      <c r="G694" s="248"/>
      <c r="H694" s="249"/>
      <c r="I694" s="249">
        <v>9.68</v>
      </c>
      <c r="J694" s="248"/>
      <c r="K694" s="249">
        <f>I694</f>
        <v>9.68</v>
      </c>
      <c r="L694" s="250"/>
    </row>
    <row r="695" spans="1:18" s="166" customFormat="1" ht="20.100000000000001" customHeight="1" x14ac:dyDescent="0.25">
      <c r="A695" s="245"/>
      <c r="B695" s="246" t="s">
        <v>1640</v>
      </c>
      <c r="C695" s="246"/>
      <c r="D695" s="246"/>
      <c r="E695" s="246"/>
      <c r="F695" s="247"/>
      <c r="G695" s="248">
        <v>2.2999999999999998</v>
      </c>
      <c r="H695" s="249">
        <f>3.3-0.75</f>
        <v>2.5499999999999998</v>
      </c>
      <c r="I695" s="249">
        <v>14</v>
      </c>
      <c r="J695" s="248"/>
      <c r="K695" s="249">
        <f t="shared" ref="K695:K697" si="33">TRUNC((G695*H695-J695)*I695,2)</f>
        <v>82.11</v>
      </c>
      <c r="L695" s="250"/>
    </row>
    <row r="696" spans="1:18" s="166" customFormat="1" ht="20.100000000000001" customHeight="1" x14ac:dyDescent="0.25">
      <c r="A696" s="245"/>
      <c r="B696" s="246" t="s">
        <v>743</v>
      </c>
      <c r="C696" s="246"/>
      <c r="D696" s="246"/>
      <c r="E696" s="246"/>
      <c r="F696" s="247"/>
      <c r="G696" s="248">
        <v>3.85</v>
      </c>
      <c r="H696" s="249">
        <v>3.3</v>
      </c>
      <c r="I696" s="249">
        <v>1</v>
      </c>
      <c r="J696" s="248"/>
      <c r="K696" s="249">
        <f t="shared" si="33"/>
        <v>12.7</v>
      </c>
      <c r="L696" s="250"/>
    </row>
    <row r="697" spans="1:18" s="166" customFormat="1" ht="20.100000000000001" customHeight="1" x14ac:dyDescent="0.25">
      <c r="A697" s="245"/>
      <c r="B697" s="246" t="s">
        <v>1641</v>
      </c>
      <c r="C697" s="246"/>
      <c r="D697" s="246"/>
      <c r="E697" s="246"/>
      <c r="F697" s="247"/>
      <c r="G697" s="248">
        <f>10</f>
        <v>10</v>
      </c>
      <c r="H697" s="249">
        <v>3.3</v>
      </c>
      <c r="I697" s="249">
        <v>1</v>
      </c>
      <c r="J697" s="248">
        <f>2*3*0.8+1*0.8</f>
        <v>5.6000000000000005</v>
      </c>
      <c r="K697" s="249">
        <f t="shared" si="33"/>
        <v>27.4</v>
      </c>
      <c r="L697" s="250"/>
    </row>
    <row r="698" spans="1:18" s="154" customFormat="1" ht="20.100000000000001" customHeight="1" x14ac:dyDescent="0.25">
      <c r="A698" s="475" t="s">
        <v>1409</v>
      </c>
      <c r="B698" s="476"/>
      <c r="C698" s="476"/>
      <c r="D698" s="476"/>
      <c r="E698" s="476"/>
      <c r="F698" s="476"/>
      <c r="G698" s="476"/>
      <c r="H698" s="476"/>
      <c r="I698" s="476"/>
      <c r="J698" s="476"/>
      <c r="K698" s="477"/>
      <c r="L698" s="250"/>
      <c r="M698" s="149"/>
      <c r="N698" s="149"/>
      <c r="O698" s="149"/>
      <c r="P698" s="149"/>
      <c r="Q698" s="149"/>
      <c r="R698" s="149"/>
    </row>
    <row r="699" spans="1:18" s="166" customFormat="1" ht="20.100000000000001" customHeight="1" x14ac:dyDescent="0.25">
      <c r="A699" s="245"/>
      <c r="B699" s="246" t="s">
        <v>1556</v>
      </c>
      <c r="C699" s="246"/>
      <c r="D699" s="246"/>
      <c r="E699" s="246"/>
      <c r="F699" s="247"/>
      <c r="G699" s="248">
        <v>0.9</v>
      </c>
      <c r="H699" s="249">
        <v>2.1</v>
      </c>
      <c r="I699" s="248">
        <v>2</v>
      </c>
      <c r="K699" s="218">
        <f>TRUNC((G699*H699-J699)*I699,2)</f>
        <v>3.78</v>
      </c>
      <c r="L699" s="250"/>
    </row>
    <row r="700" spans="1:18" s="166" customFormat="1" ht="20.100000000000001" customHeight="1" x14ac:dyDescent="0.25">
      <c r="A700" s="245"/>
      <c r="B700" s="246" t="s">
        <v>1556</v>
      </c>
      <c r="C700" s="246"/>
      <c r="D700" s="246"/>
      <c r="E700" s="246"/>
      <c r="F700" s="247"/>
      <c r="G700" s="248">
        <v>0.9</v>
      </c>
      <c r="H700" s="249">
        <v>2.1</v>
      </c>
      <c r="I700" s="248">
        <v>2</v>
      </c>
      <c r="K700" s="218">
        <f t="shared" ref="K700:K712" si="34">TRUNC((G700*H700-J700)*I700,2)</f>
        <v>3.78</v>
      </c>
      <c r="L700" s="250"/>
    </row>
    <row r="701" spans="1:18" s="166" customFormat="1" ht="20.100000000000001" customHeight="1" x14ac:dyDescent="0.25">
      <c r="A701" s="245"/>
      <c r="B701" s="246" t="s">
        <v>1557</v>
      </c>
      <c r="C701" s="246"/>
      <c r="D701" s="246"/>
      <c r="E701" s="246"/>
      <c r="F701" s="247"/>
      <c r="G701" s="248">
        <v>1.4</v>
      </c>
      <c r="H701" s="249">
        <v>0.7</v>
      </c>
      <c r="I701" s="248">
        <v>2</v>
      </c>
      <c r="K701" s="218">
        <f t="shared" si="34"/>
        <v>1.96</v>
      </c>
      <c r="L701" s="250"/>
    </row>
    <row r="702" spans="1:18" s="166" customFormat="1" ht="20.100000000000001" customHeight="1" x14ac:dyDescent="0.25">
      <c r="A702" s="245"/>
      <c r="B702" s="246" t="s">
        <v>813</v>
      </c>
      <c r="C702" s="246"/>
      <c r="D702" s="246"/>
      <c r="E702" s="246"/>
      <c r="F702" s="247"/>
      <c r="G702" s="248">
        <v>1.3</v>
      </c>
      <c r="H702" s="249">
        <v>3.3</v>
      </c>
      <c r="I702" s="248">
        <v>2</v>
      </c>
      <c r="J702" s="249">
        <f>0.9*2.1</f>
        <v>1.8900000000000001</v>
      </c>
      <c r="K702" s="218">
        <f t="shared" si="34"/>
        <v>4.8</v>
      </c>
      <c r="L702" s="250"/>
    </row>
    <row r="703" spans="1:18" s="149" customFormat="1" ht="18.75" customHeight="1" x14ac:dyDescent="0.25">
      <c r="A703" s="245"/>
      <c r="B703" s="246" t="s">
        <v>1558</v>
      </c>
      <c r="C703" s="246"/>
      <c r="D703" s="246"/>
      <c r="E703" s="246"/>
      <c r="F703" s="247"/>
      <c r="G703" s="248">
        <f>2*2.3</f>
        <v>4.5999999999999996</v>
      </c>
      <c r="H703" s="249">
        <v>1.3</v>
      </c>
      <c r="I703" s="248">
        <v>2</v>
      </c>
      <c r="J703" s="249">
        <f>2.3*0.75*2</f>
        <v>3.4499999999999997</v>
      </c>
      <c r="K703" s="218">
        <f t="shared" si="34"/>
        <v>5.0599999999999996</v>
      </c>
      <c r="L703" s="250"/>
    </row>
    <row r="704" spans="1:18" s="149" customFormat="1" ht="18.75" customHeight="1" x14ac:dyDescent="0.25">
      <c r="A704" s="245"/>
      <c r="B704" s="246" t="s">
        <v>1558</v>
      </c>
      <c r="C704" s="246"/>
      <c r="D704" s="246"/>
      <c r="E704" s="246"/>
      <c r="F704" s="247"/>
      <c r="G704" s="248">
        <f>5*0.8</f>
        <v>4</v>
      </c>
      <c r="H704" s="249">
        <v>2.1</v>
      </c>
      <c r="I704" s="248">
        <v>2</v>
      </c>
      <c r="K704" s="218">
        <f t="shared" si="34"/>
        <v>16.8</v>
      </c>
      <c r="L704" s="250"/>
    </row>
    <row r="705" spans="1:18" s="149" customFormat="1" ht="18.75" customHeight="1" x14ac:dyDescent="0.25">
      <c r="A705" s="245"/>
      <c r="B705" s="246" t="s">
        <v>1558</v>
      </c>
      <c r="C705" s="246"/>
      <c r="D705" s="246"/>
      <c r="E705" s="246"/>
      <c r="F705" s="247"/>
      <c r="G705" s="248">
        <f>2.3</f>
        <v>2.2999999999999998</v>
      </c>
      <c r="H705" s="249">
        <v>1.3</v>
      </c>
      <c r="I705" s="248">
        <v>2</v>
      </c>
      <c r="K705" s="218">
        <f t="shared" si="34"/>
        <v>5.98</v>
      </c>
      <c r="L705" s="250"/>
    </row>
    <row r="706" spans="1:18" s="166" customFormat="1" ht="20.100000000000001" customHeight="1" x14ac:dyDescent="0.25">
      <c r="A706" s="245"/>
      <c r="B706" s="246" t="s">
        <v>1559</v>
      </c>
      <c r="C706" s="246"/>
      <c r="D706" s="246"/>
      <c r="E706" s="246"/>
      <c r="F706" s="247"/>
      <c r="G706" s="248">
        <v>0.9</v>
      </c>
      <c r="H706" s="249">
        <v>2.1</v>
      </c>
      <c r="I706" s="248">
        <v>2</v>
      </c>
      <c r="K706" s="218">
        <f t="shared" si="34"/>
        <v>3.78</v>
      </c>
      <c r="L706" s="250"/>
    </row>
    <row r="707" spans="1:18" s="166" customFormat="1" ht="20.100000000000001" customHeight="1" x14ac:dyDescent="0.25">
      <c r="A707" s="245"/>
      <c r="B707" s="246" t="s">
        <v>1439</v>
      </c>
      <c r="C707" s="246"/>
      <c r="D707" s="246"/>
      <c r="E707" s="246"/>
      <c r="F707" s="247"/>
      <c r="G707" s="248">
        <v>0.9</v>
      </c>
      <c r="H707" s="249">
        <v>2.1</v>
      </c>
      <c r="I707" s="248">
        <v>2</v>
      </c>
      <c r="K707" s="218">
        <f t="shared" si="34"/>
        <v>3.78</v>
      </c>
      <c r="L707" s="250"/>
    </row>
    <row r="708" spans="1:18" s="149" customFormat="1" ht="18.75" customHeight="1" x14ac:dyDescent="0.25">
      <c r="A708" s="245"/>
      <c r="B708" s="246" t="s">
        <v>1560</v>
      </c>
      <c r="C708" s="246"/>
      <c r="D708" s="246"/>
      <c r="E708" s="246"/>
      <c r="F708" s="247"/>
      <c r="G708" s="248">
        <v>2.35</v>
      </c>
      <c r="H708" s="249">
        <v>3.3</v>
      </c>
      <c r="I708" s="248">
        <v>2</v>
      </c>
      <c r="J708" s="249">
        <f>0.9*2.1</f>
        <v>1.8900000000000001</v>
      </c>
      <c r="K708" s="218">
        <f t="shared" si="34"/>
        <v>11.73</v>
      </c>
      <c r="L708" s="250"/>
    </row>
    <row r="709" spans="1:18" s="149" customFormat="1" ht="18.75" customHeight="1" x14ac:dyDescent="0.25">
      <c r="A709" s="245"/>
      <c r="B709" s="246" t="s">
        <v>1561</v>
      </c>
      <c r="C709" s="246"/>
      <c r="D709" s="246"/>
      <c r="E709" s="246"/>
      <c r="F709" s="247"/>
      <c r="G709" s="248">
        <v>0.9</v>
      </c>
      <c r="H709" s="249">
        <v>2.1</v>
      </c>
      <c r="I709" s="248">
        <v>2</v>
      </c>
      <c r="K709" s="218">
        <f t="shared" si="34"/>
        <v>3.78</v>
      </c>
      <c r="L709" s="250"/>
    </row>
    <row r="710" spans="1:18" s="149" customFormat="1" ht="18.75" customHeight="1" x14ac:dyDescent="0.25">
      <c r="A710" s="245"/>
      <c r="B710" s="246" t="s">
        <v>1562</v>
      </c>
      <c r="C710" s="246"/>
      <c r="D710" s="246"/>
      <c r="E710" s="246"/>
      <c r="F710" s="247"/>
      <c r="G710" s="248">
        <v>2.2999999999999998</v>
      </c>
      <c r="H710" s="249">
        <v>3.3</v>
      </c>
      <c r="I710" s="248">
        <v>2</v>
      </c>
      <c r="K710" s="218">
        <f t="shared" si="34"/>
        <v>15.18</v>
      </c>
      <c r="L710" s="250"/>
    </row>
    <row r="711" spans="1:18" s="149" customFormat="1" ht="18.75" customHeight="1" x14ac:dyDescent="0.25">
      <c r="A711" s="245"/>
      <c r="B711" s="246" t="s">
        <v>1563</v>
      </c>
      <c r="C711" s="246"/>
      <c r="D711" s="246"/>
      <c r="E711" s="246"/>
      <c r="F711" s="247"/>
      <c r="G711" s="248">
        <v>1.75</v>
      </c>
      <c r="H711" s="249">
        <v>3.3</v>
      </c>
      <c r="I711" s="248">
        <v>2</v>
      </c>
      <c r="K711" s="218">
        <f t="shared" si="34"/>
        <v>11.55</v>
      </c>
      <c r="L711" s="250"/>
    </row>
    <row r="712" spans="1:18" s="166" customFormat="1" ht="20.100000000000001" customHeight="1" x14ac:dyDescent="0.25">
      <c r="A712" s="245"/>
      <c r="B712" s="246" t="s">
        <v>1640</v>
      </c>
      <c r="C712" s="246"/>
      <c r="D712" s="246"/>
      <c r="E712" s="246"/>
      <c r="F712" s="247"/>
      <c r="G712" s="248">
        <v>93</v>
      </c>
      <c r="H712" s="249">
        <v>3.3</v>
      </c>
      <c r="I712" s="166">
        <v>1</v>
      </c>
      <c r="J712" s="249">
        <f>71.66/2</f>
        <v>35.83</v>
      </c>
      <c r="K712" s="218">
        <f t="shared" si="34"/>
        <v>271.07</v>
      </c>
      <c r="L712" s="250"/>
      <c r="M712" s="149"/>
    </row>
    <row r="713" spans="1:18" s="149" customFormat="1" ht="18.75" customHeight="1" x14ac:dyDescent="0.25">
      <c r="A713" s="245"/>
      <c r="B713" s="246" t="s">
        <v>1525</v>
      </c>
      <c r="C713" s="246"/>
      <c r="D713" s="246"/>
      <c r="E713" s="246"/>
      <c r="F713" s="247"/>
      <c r="G713" s="248"/>
      <c r="H713" s="249"/>
      <c r="I713" s="249">
        <v>9.68</v>
      </c>
      <c r="J713" s="248"/>
      <c r="K713" s="249">
        <f>I713</f>
        <v>9.68</v>
      </c>
      <c r="L713" s="250"/>
    </row>
    <row r="714" spans="1:18" s="154" customFormat="1" ht="20.100000000000001" customHeight="1" x14ac:dyDescent="0.25">
      <c r="A714" s="475" t="s">
        <v>1411</v>
      </c>
      <c r="B714" s="476"/>
      <c r="C714" s="476"/>
      <c r="D714" s="476"/>
      <c r="E714" s="476"/>
      <c r="F714" s="476"/>
      <c r="G714" s="476"/>
      <c r="H714" s="476"/>
      <c r="I714" s="476"/>
      <c r="J714" s="476"/>
      <c r="K714" s="477"/>
      <c r="L714" s="250"/>
      <c r="M714" s="149"/>
      <c r="N714" s="149"/>
      <c r="O714" s="149"/>
      <c r="P714" s="149"/>
      <c r="Q714" s="149"/>
      <c r="R714" s="149"/>
    </row>
    <row r="715" spans="1:18" s="166" customFormat="1" ht="20.100000000000001" customHeight="1" x14ac:dyDescent="0.25">
      <c r="A715" s="245"/>
      <c r="B715" s="246" t="s">
        <v>811</v>
      </c>
      <c r="C715" s="246"/>
      <c r="D715" s="246"/>
      <c r="E715" s="246"/>
      <c r="F715" s="247"/>
      <c r="G715" s="248">
        <v>0.9</v>
      </c>
      <c r="H715" s="249">
        <v>2.1</v>
      </c>
      <c r="I715" s="249">
        <v>2</v>
      </c>
      <c r="J715" s="248"/>
      <c r="K715" s="218">
        <f t="shared" ref="K715:K718" si="35">TRUNC((G715*H715-J715)*I715,2)</f>
        <v>3.78</v>
      </c>
      <c r="L715" s="250"/>
    </row>
    <row r="716" spans="1:18" s="166" customFormat="1" ht="20.100000000000001" customHeight="1" x14ac:dyDescent="0.25">
      <c r="A716" s="245"/>
      <c r="B716" s="246" t="s">
        <v>1564</v>
      </c>
      <c r="C716" s="246"/>
      <c r="D716" s="246"/>
      <c r="E716" s="246"/>
      <c r="F716" s="247"/>
      <c r="G716" s="248">
        <v>0.9</v>
      </c>
      <c r="H716" s="249">
        <v>2.1</v>
      </c>
      <c r="I716" s="249">
        <v>2</v>
      </c>
      <c r="J716" s="248"/>
      <c r="K716" s="218">
        <f t="shared" si="35"/>
        <v>3.78</v>
      </c>
      <c r="L716" s="250"/>
    </row>
    <row r="717" spans="1:18" s="166" customFormat="1" ht="20.100000000000001" customHeight="1" x14ac:dyDescent="0.25">
      <c r="A717" s="245"/>
      <c r="B717" s="246" t="s">
        <v>1565</v>
      </c>
      <c r="C717" s="246"/>
      <c r="D717" s="246"/>
      <c r="E717" s="246"/>
      <c r="F717" s="247"/>
      <c r="G717" s="248">
        <v>2.5499999999999998</v>
      </c>
      <c r="H717" s="249">
        <v>3.3</v>
      </c>
      <c r="I717" s="249">
        <v>2</v>
      </c>
      <c r="J717" s="248"/>
      <c r="K717" s="218">
        <f t="shared" si="35"/>
        <v>16.829999999999998</v>
      </c>
      <c r="L717" s="250"/>
    </row>
    <row r="718" spans="1:18" s="166" customFormat="1" ht="20.100000000000001" customHeight="1" x14ac:dyDescent="0.25">
      <c r="A718" s="245"/>
      <c r="B718" s="246" t="s">
        <v>1566</v>
      </c>
      <c r="C718" s="246"/>
      <c r="D718" s="246"/>
      <c r="E718" s="246"/>
      <c r="F718" s="247"/>
      <c r="G718" s="248">
        <v>2.2999999999999998</v>
      </c>
      <c r="H718" s="249">
        <v>3.3</v>
      </c>
      <c r="I718" s="249">
        <v>2</v>
      </c>
      <c r="J718" s="248"/>
      <c r="K718" s="218">
        <f t="shared" si="35"/>
        <v>15.18</v>
      </c>
      <c r="L718" s="250"/>
    </row>
    <row r="719" spans="1:18" s="149" customFormat="1" ht="18.75" customHeight="1" x14ac:dyDescent="0.25">
      <c r="A719" s="245"/>
      <c r="B719" s="246" t="s">
        <v>1525</v>
      </c>
      <c r="C719" s="246"/>
      <c r="D719" s="246"/>
      <c r="E719" s="246"/>
      <c r="F719" s="247"/>
      <c r="G719" s="248"/>
      <c r="H719" s="249"/>
      <c r="I719" s="249">
        <v>9.68</v>
      </c>
      <c r="J719" s="248"/>
      <c r="K719" s="249">
        <f>I719</f>
        <v>9.68</v>
      </c>
      <c r="L719" s="250"/>
    </row>
    <row r="720" spans="1:18" s="149" customFormat="1" ht="18.75" customHeight="1" x14ac:dyDescent="0.25">
      <c r="A720" s="245"/>
      <c r="B720" s="246" t="s">
        <v>1642</v>
      </c>
      <c r="C720" s="246"/>
      <c r="D720" s="246"/>
      <c r="E720" s="246"/>
      <c r="F720" s="247"/>
      <c r="G720" s="248">
        <f>22.9*2</f>
        <v>45.8</v>
      </c>
      <c r="H720" s="249">
        <v>3.3</v>
      </c>
      <c r="I720" s="149">
        <v>1</v>
      </c>
      <c r="J720" s="249">
        <f>2*2.3*1.5+4*2.3*2.25+2*2.3*0.75</f>
        <v>31.049999999999997</v>
      </c>
      <c r="K720" s="218">
        <f t="shared" ref="K720:K734" si="36">TRUNC((G720*H720-J720)*I720,2)</f>
        <v>120.09</v>
      </c>
      <c r="L720" s="250"/>
    </row>
    <row r="721" spans="1:18" s="154" customFormat="1" ht="20.100000000000001" customHeight="1" x14ac:dyDescent="0.25">
      <c r="A721" s="475" t="s">
        <v>1413</v>
      </c>
      <c r="B721" s="476"/>
      <c r="C721" s="476"/>
      <c r="D721" s="476"/>
      <c r="E721" s="476"/>
      <c r="F721" s="476"/>
      <c r="G721" s="476"/>
      <c r="H721" s="476"/>
      <c r="I721" s="476"/>
      <c r="J721" s="476"/>
      <c r="K721" s="477"/>
      <c r="L721" s="250"/>
      <c r="M721" s="149"/>
      <c r="N721" s="149"/>
      <c r="O721" s="149"/>
      <c r="P721" s="149"/>
      <c r="Q721" s="149"/>
      <c r="R721" s="149"/>
    </row>
    <row r="722" spans="1:18" s="166" customFormat="1" ht="20.100000000000001" customHeight="1" x14ac:dyDescent="0.25">
      <c r="A722" s="245"/>
      <c r="B722" s="246" t="s">
        <v>1567</v>
      </c>
      <c r="C722" s="246"/>
      <c r="D722" s="246"/>
      <c r="E722" s="246"/>
      <c r="F722" s="247"/>
      <c r="G722" s="248">
        <v>0.65</v>
      </c>
      <c r="H722" s="249">
        <v>3.3</v>
      </c>
      <c r="I722" s="248">
        <v>2</v>
      </c>
      <c r="K722" s="218">
        <f t="shared" si="36"/>
        <v>4.29</v>
      </c>
      <c r="L722" s="250"/>
    </row>
    <row r="723" spans="1:18" s="166" customFormat="1" ht="20.100000000000001" customHeight="1" x14ac:dyDescent="0.25">
      <c r="A723" s="245"/>
      <c r="B723" s="246" t="s">
        <v>1568</v>
      </c>
      <c r="C723" s="246"/>
      <c r="D723" s="246"/>
      <c r="E723" s="246"/>
      <c r="F723" s="247"/>
      <c r="G723" s="248">
        <v>0.9</v>
      </c>
      <c r="H723" s="249">
        <v>2.1</v>
      </c>
      <c r="I723" s="248">
        <v>2</v>
      </c>
      <c r="K723" s="218">
        <f t="shared" si="36"/>
        <v>3.78</v>
      </c>
      <c r="L723" s="250"/>
    </row>
    <row r="724" spans="1:18" s="166" customFormat="1" ht="20.100000000000001" customHeight="1" x14ac:dyDescent="0.25">
      <c r="A724" s="245"/>
      <c r="B724" s="246" t="s">
        <v>1568</v>
      </c>
      <c r="C724" s="246"/>
      <c r="D724" s="246"/>
      <c r="E724" s="246"/>
      <c r="F724" s="247"/>
      <c r="G724" s="248">
        <v>1.2</v>
      </c>
      <c r="H724" s="249">
        <v>2.1</v>
      </c>
      <c r="I724" s="248">
        <v>2</v>
      </c>
      <c r="K724" s="218">
        <f t="shared" si="36"/>
        <v>5.04</v>
      </c>
      <c r="L724" s="250"/>
    </row>
    <row r="725" spans="1:18" s="166" customFormat="1" ht="20.100000000000001" customHeight="1" x14ac:dyDescent="0.25">
      <c r="A725" s="245"/>
      <c r="B725" s="246" t="s">
        <v>813</v>
      </c>
      <c r="C725" s="246"/>
      <c r="D725" s="246"/>
      <c r="E725" s="246"/>
      <c r="F725" s="247"/>
      <c r="G725" s="248">
        <v>2.35</v>
      </c>
      <c r="H725" s="249">
        <v>3.3</v>
      </c>
      <c r="I725" s="248">
        <v>2</v>
      </c>
      <c r="J725" s="249">
        <f>2.1*0.9</f>
        <v>1.8900000000000001</v>
      </c>
      <c r="K725" s="218">
        <f t="shared" si="36"/>
        <v>11.73</v>
      </c>
      <c r="L725" s="250"/>
    </row>
    <row r="726" spans="1:18" s="166" customFormat="1" ht="20.100000000000001" customHeight="1" x14ac:dyDescent="0.25">
      <c r="A726" s="245"/>
      <c r="B726" s="246" t="s">
        <v>1568</v>
      </c>
      <c r="C726" s="246"/>
      <c r="D726" s="246"/>
      <c r="E726" s="246"/>
      <c r="F726" s="247"/>
      <c r="G726" s="248">
        <v>0.95</v>
      </c>
      <c r="H726" s="249">
        <v>3.3</v>
      </c>
      <c r="I726" s="248">
        <v>2</v>
      </c>
      <c r="J726" s="249"/>
      <c r="K726" s="218">
        <f t="shared" si="36"/>
        <v>6.27</v>
      </c>
      <c r="L726" s="250"/>
    </row>
    <row r="727" spans="1:18" s="166" customFormat="1" ht="20.100000000000001" customHeight="1" x14ac:dyDescent="0.25">
      <c r="A727" s="245"/>
      <c r="B727" s="246" t="s">
        <v>1511</v>
      </c>
      <c r="C727" s="246"/>
      <c r="D727" s="246"/>
      <c r="E727" s="246"/>
      <c r="F727" s="247"/>
      <c r="G727" s="248">
        <f>2.35+1.75</f>
        <v>4.0999999999999996</v>
      </c>
      <c r="H727" s="249">
        <v>3.3</v>
      </c>
      <c r="I727" s="248">
        <v>2</v>
      </c>
      <c r="J727" s="249">
        <f>2.1*0.9</f>
        <v>1.8900000000000001</v>
      </c>
      <c r="K727" s="218">
        <f t="shared" si="36"/>
        <v>23.28</v>
      </c>
      <c r="L727" s="250"/>
    </row>
    <row r="728" spans="1:18" s="166" customFormat="1" ht="20.100000000000001" customHeight="1" x14ac:dyDescent="0.25">
      <c r="A728" s="245"/>
      <c r="B728" s="246" t="s">
        <v>1568</v>
      </c>
      <c r="C728" s="246"/>
      <c r="D728" s="246"/>
      <c r="E728" s="246"/>
      <c r="F728" s="247"/>
      <c r="G728" s="248">
        <v>0.9</v>
      </c>
      <c r="H728" s="249">
        <v>2.1</v>
      </c>
      <c r="I728" s="248">
        <v>2</v>
      </c>
      <c r="J728" s="249"/>
      <c r="K728" s="218">
        <f t="shared" si="36"/>
        <v>3.78</v>
      </c>
      <c r="L728" s="250"/>
    </row>
    <row r="729" spans="1:18" s="166" customFormat="1" ht="20.100000000000001" customHeight="1" x14ac:dyDescent="0.25">
      <c r="A729" s="245"/>
      <c r="B729" s="246" t="s">
        <v>1643</v>
      </c>
      <c r="C729" s="246"/>
      <c r="D729" s="246"/>
      <c r="E729" s="246"/>
      <c r="F729" s="247"/>
      <c r="G729" s="248">
        <f>1.75+2</f>
        <v>3.75</v>
      </c>
      <c r="H729" s="249">
        <v>3.3</v>
      </c>
      <c r="I729" s="248">
        <v>2</v>
      </c>
      <c r="J729" s="249"/>
      <c r="K729" s="218">
        <f t="shared" si="36"/>
        <v>24.75</v>
      </c>
      <c r="L729" s="250"/>
    </row>
    <row r="730" spans="1:18" s="166" customFormat="1" ht="20.100000000000001" customHeight="1" x14ac:dyDescent="0.25">
      <c r="A730" s="245"/>
      <c r="B730" s="246" t="s">
        <v>1644</v>
      </c>
      <c r="C730" s="246"/>
      <c r="D730" s="246"/>
      <c r="E730" s="246"/>
      <c r="F730" s="247"/>
      <c r="G730" s="248">
        <v>2.35</v>
      </c>
      <c r="H730" s="249">
        <v>3.3</v>
      </c>
      <c r="I730" s="248">
        <v>2</v>
      </c>
      <c r="J730" s="249">
        <f>2.1*0.9</f>
        <v>1.8900000000000001</v>
      </c>
      <c r="K730" s="218">
        <f t="shared" si="36"/>
        <v>11.73</v>
      </c>
      <c r="L730" s="250"/>
    </row>
    <row r="731" spans="1:18" s="166" customFormat="1" ht="20.100000000000001" customHeight="1" x14ac:dyDescent="0.25">
      <c r="A731" s="245"/>
      <c r="B731" s="246" t="s">
        <v>1643</v>
      </c>
      <c r="C731" s="246"/>
      <c r="D731" s="246"/>
      <c r="E731" s="246"/>
      <c r="F731" s="247"/>
      <c r="G731" s="248">
        <v>2.35</v>
      </c>
      <c r="H731" s="249">
        <v>3.3</v>
      </c>
      <c r="I731" s="248">
        <v>2</v>
      </c>
      <c r="J731" s="249">
        <f>2.1*0.9</f>
        <v>1.8900000000000001</v>
      </c>
      <c r="K731" s="218">
        <f t="shared" si="36"/>
        <v>11.73</v>
      </c>
      <c r="L731" s="250"/>
    </row>
    <row r="732" spans="1:18" s="166" customFormat="1" ht="20.100000000000001" customHeight="1" x14ac:dyDescent="0.25">
      <c r="A732" s="245"/>
      <c r="B732" s="246" t="s">
        <v>1643</v>
      </c>
      <c r="C732" s="246"/>
      <c r="D732" s="246"/>
      <c r="E732" s="246"/>
      <c r="F732" s="247"/>
      <c r="G732" s="248">
        <v>1.1000000000000001</v>
      </c>
      <c r="H732" s="249">
        <v>2.1</v>
      </c>
      <c r="I732" s="248">
        <v>2</v>
      </c>
      <c r="J732" s="249"/>
      <c r="K732" s="218">
        <f t="shared" si="36"/>
        <v>4.62</v>
      </c>
      <c r="L732" s="250"/>
    </row>
    <row r="733" spans="1:18" s="166" customFormat="1" ht="20.100000000000001" customHeight="1" x14ac:dyDescent="0.25">
      <c r="A733" s="245"/>
      <c r="B733" s="246" t="s">
        <v>1568</v>
      </c>
      <c r="C733" s="246"/>
      <c r="D733" s="246"/>
      <c r="E733" s="246"/>
      <c r="F733" s="247"/>
      <c r="G733" s="248">
        <v>0.9</v>
      </c>
      <c r="H733" s="249">
        <v>2.1</v>
      </c>
      <c r="I733" s="248">
        <v>2</v>
      </c>
      <c r="J733" s="249"/>
      <c r="K733" s="218">
        <f t="shared" si="36"/>
        <v>3.78</v>
      </c>
      <c r="L733" s="250"/>
    </row>
    <row r="734" spans="1:18" s="166" customFormat="1" ht="20.100000000000001" customHeight="1" x14ac:dyDescent="0.25">
      <c r="A734" s="245"/>
      <c r="B734" s="246" t="s">
        <v>1640</v>
      </c>
      <c r="C734" s="246"/>
      <c r="D734" s="246"/>
      <c r="E734" s="246"/>
      <c r="F734" s="247"/>
      <c r="G734" s="248">
        <f>10.15+17.5+29.95+10.6</f>
        <v>68.199999999999989</v>
      </c>
      <c r="H734" s="249">
        <v>3.3</v>
      </c>
      <c r="I734" s="248">
        <v>1</v>
      </c>
      <c r="J734" s="249">
        <f>1.5*1.2+0.6*0.4+2*1.1+2.5*3.3+3*2.5*1.5+0.7*0.7+2*2.1+4*2.3*1.5+1*2.1+3*2.3*0.75+0.9*2.1</f>
        <v>51.394999999999996</v>
      </c>
      <c r="K734" s="218">
        <f t="shared" si="36"/>
        <v>173.66</v>
      </c>
      <c r="L734" s="250"/>
    </row>
    <row r="735" spans="1:18" s="154" customFormat="1" ht="20.100000000000001" customHeight="1" x14ac:dyDescent="0.25">
      <c r="A735" s="475" t="s">
        <v>1402</v>
      </c>
      <c r="B735" s="476"/>
      <c r="C735" s="476"/>
      <c r="D735" s="476"/>
      <c r="E735" s="476"/>
      <c r="F735" s="476"/>
      <c r="G735" s="476"/>
      <c r="H735" s="476"/>
      <c r="I735" s="476"/>
      <c r="J735" s="476"/>
      <c r="K735" s="477"/>
      <c r="L735" s="250"/>
      <c r="M735" s="149"/>
      <c r="N735" s="149"/>
      <c r="O735" s="149"/>
      <c r="P735" s="149"/>
      <c r="Q735" s="149"/>
      <c r="R735" s="149"/>
    </row>
    <row r="736" spans="1:18" s="154" customFormat="1" ht="20.100000000000001" customHeight="1" x14ac:dyDescent="0.25">
      <c r="A736" s="245"/>
      <c r="B736" s="246" t="s">
        <v>1571</v>
      </c>
      <c r="C736" s="246"/>
      <c r="D736" s="246"/>
      <c r="E736" s="246"/>
      <c r="F736" s="247"/>
      <c r="G736" s="248"/>
      <c r="H736" s="249"/>
      <c r="I736" s="249"/>
      <c r="J736" s="248"/>
      <c r="K736" s="249">
        <f>((TRUNC((6.7+57+2.05),2)+TRUNC(2.64*4,2))-TRUNC(2.4*6+5*4,2))*2</f>
        <v>83.820000000000007</v>
      </c>
      <c r="L736" s="250"/>
      <c r="M736" s="149"/>
      <c r="N736" s="149"/>
      <c r="O736" s="149"/>
      <c r="P736" s="149"/>
      <c r="Q736" s="149"/>
      <c r="R736" s="149"/>
    </row>
    <row r="737" spans="1:18" s="154" customFormat="1" ht="20.100000000000001" customHeight="1" x14ac:dyDescent="0.25">
      <c r="A737" s="245"/>
      <c r="B737" s="246" t="s">
        <v>1572</v>
      </c>
      <c r="C737" s="246"/>
      <c r="D737" s="246"/>
      <c r="E737" s="246"/>
      <c r="F737" s="247"/>
      <c r="G737" s="248"/>
      <c r="H737" s="249"/>
      <c r="I737" s="249"/>
      <c r="J737" s="248"/>
      <c r="K737" s="249">
        <f>2*71.72</f>
        <v>143.44</v>
      </c>
      <c r="L737" s="250"/>
      <c r="M737" s="149"/>
      <c r="N737" s="149"/>
      <c r="O737" s="149"/>
      <c r="P737" s="149"/>
      <c r="Q737" s="149"/>
      <c r="R737" s="149"/>
    </row>
    <row r="738" spans="1:18" s="154" customFormat="1" ht="20.100000000000001" customHeight="1" x14ac:dyDescent="0.25">
      <c r="A738" s="245"/>
      <c r="B738" s="246" t="s">
        <v>1573</v>
      </c>
      <c r="C738" s="246"/>
      <c r="D738" s="246"/>
      <c r="E738" s="246"/>
      <c r="F738" s="247"/>
      <c r="G738" s="248"/>
      <c r="H738" s="249"/>
      <c r="I738" s="249"/>
      <c r="J738" s="248"/>
      <c r="K738" s="249">
        <f>TRUNC((4.4+1.65+1.65)*1.05*4,2)*2</f>
        <v>64.680000000000007</v>
      </c>
      <c r="L738" s="250"/>
      <c r="M738" s="149"/>
      <c r="N738" s="149"/>
      <c r="O738" s="149"/>
      <c r="P738" s="149"/>
      <c r="Q738" s="149"/>
      <c r="R738" s="149"/>
    </row>
    <row r="739" spans="1:18" s="154" customFormat="1" ht="20.100000000000001" customHeight="1" x14ac:dyDescent="0.25">
      <c r="A739" s="475" t="s">
        <v>1574</v>
      </c>
      <c r="B739" s="476"/>
      <c r="C739" s="476"/>
      <c r="D739" s="476"/>
      <c r="E739" s="476"/>
      <c r="F739" s="476"/>
      <c r="G739" s="476"/>
      <c r="H739" s="476"/>
      <c r="I739" s="476"/>
      <c r="J739" s="476"/>
      <c r="K739" s="477"/>
      <c r="L739" s="250"/>
      <c r="M739" s="149"/>
      <c r="N739" s="149"/>
      <c r="O739" s="149"/>
      <c r="P739" s="149"/>
      <c r="Q739" s="149"/>
      <c r="R739" s="149"/>
    </row>
    <row r="740" spans="1:18" s="154" customFormat="1" ht="20.100000000000001" customHeight="1" x14ac:dyDescent="0.25">
      <c r="A740" s="245"/>
      <c r="B740" s="246" t="s">
        <v>1575</v>
      </c>
      <c r="C740" s="246"/>
      <c r="D740" s="246"/>
      <c r="E740" s="246"/>
      <c r="F740" s="247"/>
      <c r="G740" s="248">
        <f>5.44+2.53*3+0.65</f>
        <v>13.680000000000001</v>
      </c>
      <c r="H740" s="249">
        <v>2.2000000000000002</v>
      </c>
      <c r="I740" s="249"/>
      <c r="J740" s="248">
        <v>2</v>
      </c>
      <c r="K740" s="249">
        <f>TRUNC((G740*H740-I740)*J740,2)</f>
        <v>60.19</v>
      </c>
      <c r="L740" s="250"/>
      <c r="M740" s="149"/>
      <c r="N740" s="149"/>
      <c r="O740" s="149"/>
      <c r="P740" s="149"/>
      <c r="Q740" s="149"/>
      <c r="R740" s="149"/>
    </row>
    <row r="741" spans="1:18" s="149" customFormat="1" ht="20.100000000000001" customHeight="1" x14ac:dyDescent="0.25">
      <c r="A741" s="479" t="s">
        <v>1646</v>
      </c>
      <c r="B741" s="480"/>
      <c r="C741" s="480"/>
      <c r="D741" s="480"/>
      <c r="E741" s="480"/>
      <c r="F741" s="480"/>
      <c r="G741" s="480"/>
      <c r="H741" s="480"/>
      <c r="I741" s="480"/>
      <c r="J741" s="480"/>
      <c r="K741" s="480"/>
      <c r="L741" s="250"/>
    </row>
    <row r="742" spans="1:18" s="154" customFormat="1" ht="20.100000000000001" customHeight="1" x14ac:dyDescent="0.25">
      <c r="A742" s="475" t="s">
        <v>1382</v>
      </c>
      <c r="B742" s="476"/>
      <c r="C742" s="476"/>
      <c r="D742" s="476"/>
      <c r="E742" s="476"/>
      <c r="F742" s="476"/>
      <c r="G742" s="476"/>
      <c r="H742" s="476"/>
      <c r="I742" s="476"/>
      <c r="J742" s="476"/>
      <c r="K742" s="477"/>
      <c r="L742" s="250"/>
      <c r="M742" s="149"/>
      <c r="N742" s="149"/>
      <c r="O742" s="149"/>
      <c r="P742" s="149"/>
      <c r="Q742" s="149"/>
      <c r="R742" s="149"/>
    </row>
    <row r="743" spans="1:18" s="166" customFormat="1" ht="20.100000000000001" customHeight="1" x14ac:dyDescent="0.25">
      <c r="A743" s="245"/>
      <c r="B743" s="246" t="s">
        <v>1405</v>
      </c>
      <c r="C743" s="246"/>
      <c r="D743" s="246"/>
      <c r="E743" s="246"/>
      <c r="F743" s="247"/>
      <c r="G743" s="248">
        <v>11.26</v>
      </c>
      <c r="H743" s="249">
        <v>2.37</v>
      </c>
      <c r="J743" s="249">
        <f>0.9*2.1+0.5*0.5</f>
        <v>2.14</v>
      </c>
      <c r="K743" s="249">
        <f>TRUNC(G743*H743-J743,2)</f>
        <v>24.54</v>
      </c>
      <c r="L743" s="250"/>
      <c r="M743" s="149"/>
    </row>
    <row r="744" spans="1:18" s="166" customFormat="1" ht="20.100000000000001" customHeight="1" x14ac:dyDescent="0.25">
      <c r="A744" s="245"/>
      <c r="B744" s="246" t="s">
        <v>1406</v>
      </c>
      <c r="C744" s="246"/>
      <c r="D744" s="246"/>
      <c r="E744" s="246"/>
      <c r="F744" s="247"/>
      <c r="G744" s="248">
        <v>15.8</v>
      </c>
      <c r="H744" s="249">
        <v>1.9</v>
      </c>
      <c r="J744" s="249">
        <f>0.9*2.1</f>
        <v>1.8900000000000001</v>
      </c>
      <c r="K744" s="249">
        <f>TRUNC(G744*H744-J744,2)</f>
        <v>28.13</v>
      </c>
      <c r="L744" s="250"/>
      <c r="M744" s="149"/>
    </row>
    <row r="745" spans="1:18" s="166" customFormat="1" ht="20.100000000000001" customHeight="1" x14ac:dyDescent="0.25">
      <c r="A745" s="245"/>
      <c r="B745" s="246" t="s">
        <v>1407</v>
      </c>
      <c r="C745" s="246"/>
      <c r="D745" s="246"/>
      <c r="E745" s="246"/>
      <c r="F745" s="247"/>
      <c r="G745" s="248">
        <v>15.8</v>
      </c>
      <c r="H745" s="249">
        <v>1.9</v>
      </c>
      <c r="J745" s="249">
        <f>0.9*2.1</f>
        <v>1.8900000000000001</v>
      </c>
      <c r="K745" s="249">
        <f>TRUNC(G745*H745-J745,2)</f>
        <v>28.13</v>
      </c>
      <c r="L745" s="250"/>
      <c r="M745" s="149"/>
    </row>
    <row r="746" spans="1:18" s="154" customFormat="1" ht="20.100000000000001" customHeight="1" x14ac:dyDescent="0.25">
      <c r="A746" s="475" t="s">
        <v>1384</v>
      </c>
      <c r="B746" s="476"/>
      <c r="C746" s="476"/>
      <c r="D746" s="476"/>
      <c r="E746" s="476"/>
      <c r="F746" s="476"/>
      <c r="G746" s="476"/>
      <c r="H746" s="476"/>
      <c r="I746" s="476"/>
      <c r="J746" s="476"/>
      <c r="K746" s="477"/>
      <c r="L746" s="250"/>
      <c r="M746" s="149"/>
      <c r="N746" s="149"/>
      <c r="O746" s="149"/>
      <c r="P746" s="149"/>
      <c r="Q746" s="149"/>
      <c r="R746" s="149"/>
    </row>
    <row r="747" spans="1:18" s="166" customFormat="1" ht="20.100000000000001" customHeight="1" x14ac:dyDescent="0.25">
      <c r="A747" s="245"/>
      <c r="B747" s="246" t="s">
        <v>1419</v>
      </c>
      <c r="C747" s="246"/>
      <c r="D747" s="246"/>
      <c r="E747" s="246"/>
      <c r="F747" s="247"/>
      <c r="G747" s="248">
        <v>7.6</v>
      </c>
      <c r="H747" s="249">
        <v>1.9</v>
      </c>
      <c r="J747" s="249">
        <f>2.1*0.9</f>
        <v>1.8900000000000001</v>
      </c>
      <c r="K747" s="249">
        <f>TRUNC(G747*H747-J747,2)</f>
        <v>12.55</v>
      </c>
      <c r="L747" s="250"/>
    </row>
    <row r="748" spans="1:18" s="166" customFormat="1" ht="20.100000000000001" customHeight="1" x14ac:dyDescent="0.25">
      <c r="A748" s="245"/>
      <c r="B748" s="246" t="s">
        <v>1419</v>
      </c>
      <c r="C748" s="246"/>
      <c r="D748" s="246"/>
      <c r="E748" s="246"/>
      <c r="F748" s="247"/>
      <c r="G748" s="248">
        <v>8.1999999999999993</v>
      </c>
      <c r="H748" s="249">
        <v>1.9</v>
      </c>
      <c r="J748" s="249">
        <f>2.1*0.9</f>
        <v>1.8900000000000001</v>
      </c>
      <c r="K748" s="249">
        <f>TRUNC(G748*H748-J748,2)</f>
        <v>13.69</v>
      </c>
      <c r="L748" s="250"/>
    </row>
    <row r="749" spans="1:18" s="166" customFormat="1" ht="20.100000000000001" customHeight="1" x14ac:dyDescent="0.25">
      <c r="A749" s="245"/>
      <c r="B749" s="246" t="s">
        <v>1419</v>
      </c>
      <c r="C749" s="246"/>
      <c r="D749" s="246"/>
      <c r="E749" s="246"/>
      <c r="F749" s="247"/>
      <c r="G749" s="248">
        <v>7.7</v>
      </c>
      <c r="H749" s="249">
        <v>1.9</v>
      </c>
      <c r="J749" s="249">
        <f>2.1*0.9</f>
        <v>1.8900000000000001</v>
      </c>
      <c r="K749" s="249">
        <f>TRUNC(G749*H749-J749,2)</f>
        <v>12.74</v>
      </c>
      <c r="L749" s="250"/>
    </row>
    <row r="750" spans="1:18" s="166" customFormat="1" ht="20.100000000000001" customHeight="1" x14ac:dyDescent="0.25">
      <c r="A750" s="245"/>
      <c r="B750" s="246" t="s">
        <v>1420</v>
      </c>
      <c r="C750" s="246"/>
      <c r="D750" s="246"/>
      <c r="E750" s="246"/>
      <c r="F750" s="247"/>
      <c r="G750" s="248">
        <v>13</v>
      </c>
      <c r="H750" s="249">
        <v>1.9</v>
      </c>
      <c r="J750" s="249">
        <f>2.1*0.9</f>
        <v>1.8900000000000001</v>
      </c>
      <c r="K750" s="249">
        <f>TRUNC(G750*H750-J750,2)</f>
        <v>22.81</v>
      </c>
      <c r="L750" s="250"/>
    </row>
    <row r="751" spans="1:18" s="166" customFormat="1" ht="20.100000000000001" customHeight="1" x14ac:dyDescent="0.25">
      <c r="A751" s="245"/>
      <c r="B751" s="246" t="s">
        <v>1421</v>
      </c>
      <c r="C751" s="246"/>
      <c r="D751" s="246"/>
      <c r="E751" s="246"/>
      <c r="F751" s="247"/>
      <c r="G751" s="248">
        <v>13</v>
      </c>
      <c r="H751" s="249">
        <v>1.9</v>
      </c>
      <c r="J751" s="249">
        <f>2.1*0.9</f>
        <v>1.8900000000000001</v>
      </c>
      <c r="K751" s="249">
        <f>TRUNC(G751*H751-J751,2)</f>
        <v>22.81</v>
      </c>
      <c r="L751" s="250"/>
    </row>
    <row r="752" spans="1:18" s="154" customFormat="1" ht="20.100000000000001" customHeight="1" x14ac:dyDescent="0.25">
      <c r="A752" s="475" t="s">
        <v>1409</v>
      </c>
      <c r="B752" s="476"/>
      <c r="C752" s="476"/>
      <c r="D752" s="476"/>
      <c r="E752" s="476"/>
      <c r="F752" s="476"/>
      <c r="G752" s="476"/>
      <c r="H752" s="476"/>
      <c r="I752" s="476"/>
      <c r="J752" s="476"/>
      <c r="K752" s="477"/>
      <c r="L752" s="250"/>
      <c r="M752" s="149"/>
      <c r="N752" s="149"/>
      <c r="O752" s="149"/>
      <c r="P752" s="149"/>
      <c r="Q752" s="149"/>
      <c r="R752" s="149"/>
    </row>
    <row r="753" spans="1:18" s="166" customFormat="1" ht="20.100000000000001" customHeight="1" x14ac:dyDescent="0.25">
      <c r="A753" s="245"/>
      <c r="B753" s="246" t="s">
        <v>1422</v>
      </c>
      <c r="C753" s="246"/>
      <c r="D753" s="246"/>
      <c r="E753" s="246"/>
      <c r="F753" s="247"/>
      <c r="G753" s="248">
        <v>8.1999999999999993</v>
      </c>
      <c r="H753" s="249">
        <v>1.8</v>
      </c>
      <c r="J753" s="249">
        <f>1.8*0.9</f>
        <v>1.62</v>
      </c>
      <c r="K753" s="249">
        <f>TRUNC(G753*H753-J753,2)</f>
        <v>13.14</v>
      </c>
      <c r="L753" s="250"/>
    </row>
    <row r="754" spans="1:18" s="166" customFormat="1" ht="20.100000000000001" customHeight="1" x14ac:dyDescent="0.25">
      <c r="A754" s="245"/>
      <c r="B754" s="246" t="s">
        <v>1423</v>
      </c>
      <c r="C754" s="246"/>
      <c r="D754" s="246"/>
      <c r="E754" s="246"/>
      <c r="F754" s="247"/>
      <c r="G754" s="248">
        <v>7.2</v>
      </c>
      <c r="H754" s="249">
        <v>3.3</v>
      </c>
      <c r="J754" s="249">
        <f>2.3*0.75+2.1*0.9</f>
        <v>3.6150000000000002</v>
      </c>
      <c r="K754" s="249">
        <f>TRUNC(G754*H754-J754,2)</f>
        <v>20.14</v>
      </c>
      <c r="L754" s="250"/>
    </row>
    <row r="755" spans="1:18" s="166" customFormat="1" ht="20.100000000000001" customHeight="1" x14ac:dyDescent="0.25">
      <c r="A755" s="245"/>
      <c r="B755" s="246" t="s">
        <v>1423</v>
      </c>
      <c r="C755" s="246"/>
      <c r="D755" s="246"/>
      <c r="E755" s="246"/>
      <c r="F755" s="247"/>
      <c r="G755" s="248">
        <v>7.2</v>
      </c>
      <c r="H755" s="249">
        <v>3.3</v>
      </c>
      <c r="J755" s="249">
        <f>2.3*0.75+2.1*0.9</f>
        <v>3.6150000000000002</v>
      </c>
      <c r="K755" s="249">
        <f>TRUNC(G755*H755-J755,2)</f>
        <v>20.14</v>
      </c>
      <c r="L755" s="250"/>
    </row>
    <row r="756" spans="1:18" s="166" customFormat="1" ht="20.100000000000001" customHeight="1" x14ac:dyDescent="0.25">
      <c r="A756" s="245"/>
      <c r="B756" s="246" t="s">
        <v>1424</v>
      </c>
      <c r="C756" s="246"/>
      <c r="D756" s="246"/>
      <c r="E756" s="246"/>
      <c r="F756" s="247"/>
      <c r="G756" s="248">
        <v>9.4</v>
      </c>
      <c r="H756" s="249">
        <v>1.9</v>
      </c>
      <c r="J756" s="249">
        <f>2.1*0.9</f>
        <v>1.8900000000000001</v>
      </c>
      <c r="K756" s="249">
        <f>TRUNC(G756*H756-J756,2)</f>
        <v>15.97</v>
      </c>
      <c r="L756" s="250"/>
    </row>
    <row r="757" spans="1:18" s="154" customFormat="1" ht="18.75" customHeight="1" x14ac:dyDescent="0.25">
      <c r="A757" s="470" t="s">
        <v>163</v>
      </c>
      <c r="B757" s="471"/>
      <c r="C757" s="471"/>
      <c r="D757" s="471"/>
      <c r="E757" s="471"/>
      <c r="F757" s="472"/>
      <c r="G757" s="472"/>
      <c r="H757" s="472"/>
      <c r="I757" s="472"/>
      <c r="J757" s="472"/>
      <c r="K757" s="252">
        <f>SUM(K677:K756)</f>
        <v>1871.44</v>
      </c>
      <c r="L757" s="250"/>
      <c r="M757" s="149"/>
      <c r="N757" s="149"/>
      <c r="O757" s="149"/>
      <c r="P757" s="149"/>
      <c r="Q757" s="149"/>
      <c r="R757" s="149"/>
    </row>
    <row r="758" spans="1:18" s="154" customFormat="1" ht="20.100000000000001" customHeight="1" x14ac:dyDescent="0.25">
      <c r="A758" s="177" t="s">
        <v>3</v>
      </c>
      <c r="B758" s="171" t="s">
        <v>1647</v>
      </c>
      <c r="C758" s="171"/>
      <c r="D758" s="171"/>
      <c r="E758" s="171"/>
      <c r="F758" s="243" t="s">
        <v>230</v>
      </c>
      <c r="G758" s="244" t="s">
        <v>1496</v>
      </c>
      <c r="H758" s="244" t="s">
        <v>1417</v>
      </c>
      <c r="I758" s="244" t="s">
        <v>1418</v>
      </c>
      <c r="J758" s="244"/>
      <c r="K758" s="244" t="s">
        <v>50</v>
      </c>
      <c r="L758" s="250"/>
      <c r="M758" s="149"/>
      <c r="N758" s="149"/>
      <c r="O758" s="149"/>
      <c r="P758" s="149"/>
      <c r="Q758" s="149"/>
      <c r="R758" s="149"/>
    </row>
    <row r="759" spans="1:18" s="154" customFormat="1" ht="20.100000000000001" customHeight="1" x14ac:dyDescent="0.25">
      <c r="A759" s="475" t="s">
        <v>1382</v>
      </c>
      <c r="B759" s="476"/>
      <c r="C759" s="476"/>
      <c r="D759" s="476"/>
      <c r="E759" s="476"/>
      <c r="F759" s="476"/>
      <c r="G759" s="476"/>
      <c r="H759" s="476"/>
      <c r="I759" s="476"/>
      <c r="J759" s="476"/>
      <c r="K759" s="477"/>
      <c r="L759" s="250"/>
      <c r="M759" s="149"/>
      <c r="N759" s="149"/>
      <c r="O759" s="149"/>
      <c r="P759" s="149"/>
      <c r="Q759" s="149"/>
      <c r="R759" s="149"/>
    </row>
    <row r="760" spans="1:18" s="166" customFormat="1" ht="20.100000000000001" customHeight="1" x14ac:dyDescent="0.25">
      <c r="A760" s="245"/>
      <c r="B760" s="246" t="s">
        <v>1405</v>
      </c>
      <c r="C760" s="246"/>
      <c r="D760" s="246"/>
      <c r="E760" s="246"/>
      <c r="F760" s="247"/>
      <c r="G760" s="248">
        <v>11.26</v>
      </c>
      <c r="H760" s="249">
        <v>2.37</v>
      </c>
      <c r="I760" s="249">
        <f>0.9*1.9+0.5*0.5</f>
        <v>1.96</v>
      </c>
      <c r="J760" s="248"/>
      <c r="K760" s="249">
        <f>TRUNC(G760*H760-I760,2)</f>
        <v>24.72</v>
      </c>
      <c r="L760" s="250"/>
      <c r="M760" s="149"/>
    </row>
    <row r="761" spans="1:18" s="166" customFormat="1" ht="20.100000000000001" customHeight="1" x14ac:dyDescent="0.25">
      <c r="A761" s="245"/>
      <c r="B761" s="246" t="s">
        <v>1406</v>
      </c>
      <c r="C761" s="246"/>
      <c r="D761" s="246"/>
      <c r="E761" s="246"/>
      <c r="F761" s="247"/>
      <c r="G761" s="248">
        <v>15.8</v>
      </c>
      <c r="H761" s="249">
        <v>1.9</v>
      </c>
      <c r="I761" s="249">
        <f t="shared" ref="I761:I762" si="37">1.9*0.9</f>
        <v>1.71</v>
      </c>
      <c r="J761" s="248"/>
      <c r="K761" s="249">
        <f>TRUNC(G761*H761-I761,2)</f>
        <v>28.31</v>
      </c>
      <c r="L761" s="250"/>
      <c r="M761" s="149"/>
    </row>
    <row r="762" spans="1:18" s="166" customFormat="1" ht="20.100000000000001" customHeight="1" x14ac:dyDescent="0.25">
      <c r="A762" s="245"/>
      <c r="B762" s="246" t="s">
        <v>1407</v>
      </c>
      <c r="C762" s="246"/>
      <c r="D762" s="246"/>
      <c r="E762" s="246"/>
      <c r="F762" s="247"/>
      <c r="G762" s="248">
        <v>15.8</v>
      </c>
      <c r="H762" s="249">
        <v>1.9</v>
      </c>
      <c r="I762" s="249">
        <f t="shared" si="37"/>
        <v>1.71</v>
      </c>
      <c r="J762" s="248"/>
      <c r="K762" s="249">
        <f>TRUNC(G762*H762-I762,2)</f>
        <v>28.31</v>
      </c>
      <c r="L762" s="250"/>
      <c r="M762" s="149"/>
    </row>
    <row r="763" spans="1:18" s="154" customFormat="1" ht="20.100000000000001" customHeight="1" x14ac:dyDescent="0.25">
      <c r="A763" s="475" t="s">
        <v>1384</v>
      </c>
      <c r="B763" s="476"/>
      <c r="C763" s="476"/>
      <c r="D763" s="476"/>
      <c r="E763" s="476"/>
      <c r="F763" s="476"/>
      <c r="G763" s="476"/>
      <c r="H763" s="476"/>
      <c r="I763" s="476"/>
      <c r="J763" s="476"/>
      <c r="K763" s="477"/>
      <c r="L763" s="250"/>
      <c r="M763" s="149"/>
      <c r="N763" s="149"/>
      <c r="O763" s="149"/>
      <c r="P763" s="149"/>
      <c r="Q763" s="149"/>
      <c r="R763" s="149"/>
    </row>
    <row r="764" spans="1:18" s="166" customFormat="1" ht="20.100000000000001" customHeight="1" x14ac:dyDescent="0.25">
      <c r="A764" s="245"/>
      <c r="B764" s="246" t="s">
        <v>1648</v>
      </c>
      <c r="C764" s="246"/>
      <c r="D764" s="246"/>
      <c r="E764" s="246"/>
      <c r="F764" s="247"/>
      <c r="G764" s="248">
        <v>7.6</v>
      </c>
      <c r="H764" s="249">
        <v>1.9</v>
      </c>
      <c r="I764" s="249">
        <f t="shared" ref="I764:I765" si="38">1.9*0.9</f>
        <v>1.71</v>
      </c>
      <c r="J764" s="248"/>
      <c r="K764" s="249">
        <f>TRUNC(G764*H764-I764,2)</f>
        <v>12.73</v>
      </c>
      <c r="L764" s="250"/>
    </row>
    <row r="765" spans="1:18" s="166" customFormat="1" ht="20.100000000000001" customHeight="1" x14ac:dyDescent="0.25">
      <c r="A765" s="245"/>
      <c r="B765" s="246" t="s">
        <v>1649</v>
      </c>
      <c r="C765" s="246"/>
      <c r="D765" s="246"/>
      <c r="E765" s="246"/>
      <c r="F765" s="247"/>
      <c r="G765" s="248">
        <v>8.1999999999999993</v>
      </c>
      <c r="H765" s="249">
        <v>1.9</v>
      </c>
      <c r="I765" s="249">
        <f t="shared" si="38"/>
        <v>1.71</v>
      </c>
      <c r="J765" s="248"/>
      <c r="K765" s="249">
        <f t="shared" ref="K765:K768" si="39">TRUNC(G765*H765-I765,2)</f>
        <v>13.87</v>
      </c>
      <c r="L765" s="250"/>
    </row>
    <row r="766" spans="1:18" s="166" customFormat="1" ht="20.100000000000001" customHeight="1" x14ac:dyDescent="0.25">
      <c r="A766" s="245"/>
      <c r="B766" s="246" t="s">
        <v>1553</v>
      </c>
      <c r="C766" s="246"/>
      <c r="D766" s="246"/>
      <c r="E766" s="246"/>
      <c r="F766" s="247"/>
      <c r="G766" s="248">
        <v>11.86</v>
      </c>
      <c r="H766" s="249">
        <v>1.9</v>
      </c>
      <c r="I766" s="249">
        <f>1.9*0.9+0.6*0.4</f>
        <v>1.95</v>
      </c>
      <c r="J766" s="248"/>
      <c r="K766" s="249">
        <f t="shared" si="39"/>
        <v>20.58</v>
      </c>
      <c r="L766" s="250"/>
    </row>
    <row r="767" spans="1:18" s="166" customFormat="1" ht="20.100000000000001" customHeight="1" x14ac:dyDescent="0.25">
      <c r="A767" s="245"/>
      <c r="B767" s="246" t="s">
        <v>1649</v>
      </c>
      <c r="C767" s="246"/>
      <c r="D767" s="246"/>
      <c r="E767" s="246"/>
      <c r="F767" s="247"/>
      <c r="G767" s="248">
        <v>13</v>
      </c>
      <c r="H767" s="249">
        <v>1.9</v>
      </c>
      <c r="I767" s="249">
        <f t="shared" ref="I767:I769" si="40">1.9*0.9</f>
        <v>1.71</v>
      </c>
      <c r="J767" s="248"/>
      <c r="K767" s="249">
        <f t="shared" si="39"/>
        <v>22.99</v>
      </c>
      <c r="L767" s="250"/>
    </row>
    <row r="768" spans="1:18" s="166" customFormat="1" ht="20.100000000000001" customHeight="1" x14ac:dyDescent="0.25">
      <c r="A768" s="245"/>
      <c r="B768" s="246" t="s">
        <v>1650</v>
      </c>
      <c r="C768" s="246"/>
      <c r="D768" s="246"/>
      <c r="E768" s="246"/>
      <c r="F768" s="247"/>
      <c r="G768" s="248">
        <v>13</v>
      </c>
      <c r="H768" s="249">
        <v>1.9</v>
      </c>
      <c r="I768" s="249">
        <f t="shared" si="40"/>
        <v>1.71</v>
      </c>
      <c r="J768" s="248"/>
      <c r="K768" s="249">
        <f t="shared" si="39"/>
        <v>22.99</v>
      </c>
      <c r="L768" s="250"/>
    </row>
    <row r="769" spans="1:18" s="166" customFormat="1" ht="20.100000000000001" customHeight="1" x14ac:dyDescent="0.25">
      <c r="A769" s="245"/>
      <c r="B769" s="246" t="s">
        <v>811</v>
      </c>
      <c r="C769" s="246"/>
      <c r="D769" s="246"/>
      <c r="E769" s="246"/>
      <c r="F769" s="247"/>
      <c r="G769" s="248">
        <v>12.58</v>
      </c>
      <c r="H769" s="249">
        <v>1.9</v>
      </c>
      <c r="I769" s="249">
        <f t="shared" si="40"/>
        <v>1.71</v>
      </c>
      <c r="J769" s="248"/>
      <c r="K769" s="249">
        <f>TRUNC(G769*H769-I769,2)</f>
        <v>22.19</v>
      </c>
      <c r="L769" s="250"/>
      <c r="M769" s="149"/>
    </row>
    <row r="770" spans="1:18" s="166" customFormat="1" ht="20.100000000000001" customHeight="1" x14ac:dyDescent="0.25">
      <c r="A770" s="245"/>
      <c r="B770" s="246" t="s">
        <v>1651</v>
      </c>
      <c r="C770" s="246"/>
      <c r="D770" s="246"/>
      <c r="E770" s="246"/>
      <c r="F770" s="247"/>
      <c r="G770" s="248">
        <f>1.77*2+2.91</f>
        <v>6.45</v>
      </c>
      <c r="H770" s="249">
        <v>1.5</v>
      </c>
      <c r="I770" s="249"/>
      <c r="J770" s="248"/>
      <c r="K770" s="249">
        <f t="shared" ref="K770:K771" si="41">TRUNC(G770*H770-I770,2)</f>
        <v>9.67</v>
      </c>
      <c r="L770" s="250"/>
      <c r="M770" s="149"/>
    </row>
    <row r="771" spans="1:18" s="166" customFormat="1" ht="20.100000000000001" customHeight="1" x14ac:dyDescent="0.25">
      <c r="A771" s="245"/>
      <c r="B771" s="246" t="s">
        <v>1552</v>
      </c>
      <c r="C771" s="246"/>
      <c r="D771" s="246"/>
      <c r="E771" s="246"/>
      <c r="F771" s="247"/>
      <c r="G771" s="248">
        <v>11.86</v>
      </c>
      <c r="H771" s="249">
        <v>1.9</v>
      </c>
      <c r="I771" s="249">
        <f>0.8*2.15+1.9*0.9</f>
        <v>3.4299999999999997</v>
      </c>
      <c r="J771" s="248"/>
      <c r="K771" s="249">
        <f t="shared" si="41"/>
        <v>19.100000000000001</v>
      </c>
      <c r="L771" s="250"/>
      <c r="M771" s="149"/>
    </row>
    <row r="772" spans="1:18" s="154" customFormat="1" ht="20.100000000000001" customHeight="1" x14ac:dyDescent="0.25">
      <c r="A772" s="475" t="s">
        <v>1409</v>
      </c>
      <c r="B772" s="476"/>
      <c r="C772" s="476"/>
      <c r="D772" s="476"/>
      <c r="E772" s="476"/>
      <c r="F772" s="476"/>
      <c r="G772" s="476"/>
      <c r="H772" s="476"/>
      <c r="I772" s="476"/>
      <c r="J772" s="476"/>
      <c r="K772" s="477"/>
      <c r="L772" s="250"/>
      <c r="M772" s="149"/>
      <c r="N772" s="149"/>
      <c r="O772" s="149"/>
      <c r="P772" s="149"/>
      <c r="Q772" s="149"/>
      <c r="R772" s="149"/>
    </row>
    <row r="773" spans="1:18" s="166" customFormat="1" ht="20.100000000000001" customHeight="1" x14ac:dyDescent="0.25">
      <c r="A773" s="245"/>
      <c r="B773" s="246" t="s">
        <v>1584</v>
      </c>
      <c r="C773" s="246"/>
      <c r="D773" s="246"/>
      <c r="E773" s="246"/>
      <c r="F773" s="247"/>
      <c r="G773" s="248">
        <v>9.4</v>
      </c>
      <c r="H773" s="249">
        <v>1.9</v>
      </c>
      <c r="I773" s="249">
        <f>2.3*0.4+1.9*0.9</f>
        <v>2.63</v>
      </c>
      <c r="J773" s="248"/>
      <c r="K773" s="249">
        <f>TRUNC(G773*H773-I773,2)</f>
        <v>15.23</v>
      </c>
      <c r="L773" s="250"/>
    </row>
    <row r="774" spans="1:18" s="166" customFormat="1" ht="20.100000000000001" customHeight="1" x14ac:dyDescent="0.25">
      <c r="A774" s="245"/>
      <c r="B774" s="246" t="s">
        <v>1569</v>
      </c>
      <c r="C774" s="246"/>
      <c r="D774" s="246"/>
      <c r="E774" s="246"/>
      <c r="F774" s="247"/>
      <c r="G774" s="248">
        <v>9.4</v>
      </c>
      <c r="H774" s="249">
        <v>1.9</v>
      </c>
      <c r="I774" s="249">
        <f>2.3*0.4+1.9*0.9</f>
        <v>2.63</v>
      </c>
      <c r="J774" s="248"/>
      <c r="K774" s="249">
        <f>TRUNC(G774*H774-I774,2)</f>
        <v>15.23</v>
      </c>
      <c r="L774" s="250"/>
    </row>
    <row r="775" spans="1:18" s="166" customFormat="1" ht="20.100000000000001" customHeight="1" x14ac:dyDescent="0.25">
      <c r="A775" s="245"/>
      <c r="B775" s="246" t="s">
        <v>1652</v>
      </c>
      <c r="C775" s="246"/>
      <c r="D775" s="246"/>
      <c r="E775" s="246"/>
      <c r="F775" s="247"/>
      <c r="G775" s="248">
        <v>8.1999999999999993</v>
      </c>
      <c r="H775" s="249">
        <v>1.9</v>
      </c>
      <c r="I775" s="249">
        <f t="shared" ref="I775:I776" si="42">1.9*0.9</f>
        <v>1.71</v>
      </c>
      <c r="J775" s="248"/>
      <c r="K775" s="249">
        <f t="shared" ref="K775:K779" si="43">TRUNC(G775*H775-I775,2)</f>
        <v>13.87</v>
      </c>
      <c r="L775" s="250"/>
    </row>
    <row r="776" spans="1:18" s="166" customFormat="1" ht="20.100000000000001" customHeight="1" x14ac:dyDescent="0.25">
      <c r="A776" s="245"/>
      <c r="B776" s="246" t="s">
        <v>1653</v>
      </c>
      <c r="C776" s="246"/>
      <c r="D776" s="246"/>
      <c r="E776" s="246"/>
      <c r="F776" s="247"/>
      <c r="G776" s="248">
        <v>8.1999999999999993</v>
      </c>
      <c r="H776" s="249">
        <v>1.92</v>
      </c>
      <c r="I776" s="249">
        <f t="shared" si="42"/>
        <v>1.71</v>
      </c>
      <c r="J776" s="248"/>
      <c r="K776" s="249">
        <f t="shared" si="43"/>
        <v>14.03</v>
      </c>
      <c r="L776" s="250"/>
    </row>
    <row r="777" spans="1:18" s="154" customFormat="1" ht="20.100000000000001" customHeight="1" x14ac:dyDescent="0.25">
      <c r="A777" s="475" t="s">
        <v>1411</v>
      </c>
      <c r="B777" s="476"/>
      <c r="C777" s="476"/>
      <c r="D777" s="476"/>
      <c r="E777" s="476"/>
      <c r="F777" s="476"/>
      <c r="G777" s="476"/>
      <c r="H777" s="476"/>
      <c r="I777" s="476"/>
      <c r="J777" s="476"/>
      <c r="K777" s="477"/>
      <c r="L777" s="250"/>
      <c r="M777" s="149"/>
      <c r="N777" s="149"/>
      <c r="O777" s="149"/>
      <c r="P777" s="149"/>
      <c r="Q777" s="149"/>
      <c r="R777" s="149"/>
    </row>
    <row r="778" spans="1:18" s="154" customFormat="1" ht="20.100000000000001" customHeight="1" x14ac:dyDescent="0.25">
      <c r="A778" s="267"/>
      <c r="B778" s="246" t="s">
        <v>1584</v>
      </c>
      <c r="C778" s="271"/>
      <c r="D778" s="271"/>
      <c r="E778" s="271"/>
      <c r="F778" s="271"/>
      <c r="G778" s="271">
        <v>12.9</v>
      </c>
      <c r="H778" s="271">
        <v>1.9</v>
      </c>
      <c r="I778" s="249">
        <f>1.9*0.9</f>
        <v>1.71</v>
      </c>
      <c r="J778" s="271"/>
      <c r="K778" s="249">
        <f t="shared" si="43"/>
        <v>22.8</v>
      </c>
      <c r="L778" s="250"/>
      <c r="M778" s="149"/>
      <c r="N778" s="149"/>
      <c r="O778" s="149"/>
      <c r="P778" s="149"/>
      <c r="Q778" s="149"/>
      <c r="R778" s="149"/>
    </row>
    <row r="779" spans="1:18" s="154" customFormat="1" ht="20.100000000000001" customHeight="1" x14ac:dyDescent="0.25">
      <c r="A779" s="267"/>
      <c r="B779" s="246" t="s">
        <v>1569</v>
      </c>
      <c r="C779" s="271"/>
      <c r="D779" s="271"/>
      <c r="E779" s="271"/>
      <c r="F779" s="271"/>
      <c r="G779" s="271">
        <v>12.9</v>
      </c>
      <c r="H779" s="271">
        <v>1.9</v>
      </c>
      <c r="I779" s="249">
        <f>1.9*0.9</f>
        <v>1.71</v>
      </c>
      <c r="J779" s="271"/>
      <c r="K779" s="249">
        <f t="shared" si="43"/>
        <v>22.8</v>
      </c>
      <c r="L779" s="250"/>
      <c r="M779" s="149"/>
      <c r="N779" s="149"/>
      <c r="O779" s="149"/>
      <c r="P779" s="149"/>
      <c r="Q779" s="149"/>
      <c r="R779" s="149"/>
    </row>
    <row r="780" spans="1:18" s="154" customFormat="1" ht="20.100000000000001" customHeight="1" x14ac:dyDescent="0.25">
      <c r="A780" s="475" t="s">
        <v>1413</v>
      </c>
      <c r="B780" s="476"/>
      <c r="C780" s="476"/>
      <c r="D780" s="476"/>
      <c r="E780" s="476"/>
      <c r="F780" s="476"/>
      <c r="G780" s="476"/>
      <c r="H780" s="476"/>
      <c r="I780" s="476"/>
      <c r="J780" s="476"/>
      <c r="K780" s="477"/>
      <c r="L780" s="250"/>
      <c r="M780" s="149"/>
      <c r="N780" s="149"/>
      <c r="O780" s="149"/>
      <c r="P780" s="149"/>
      <c r="Q780" s="149"/>
      <c r="R780" s="149"/>
    </row>
    <row r="781" spans="1:18" s="166" customFormat="1" ht="20.100000000000001" customHeight="1" x14ac:dyDescent="0.25">
      <c r="A781" s="245"/>
      <c r="B781" s="246" t="s">
        <v>1584</v>
      </c>
      <c r="C781" s="246"/>
      <c r="D781" s="246"/>
      <c r="E781" s="246"/>
      <c r="F781" s="247"/>
      <c r="G781" s="248">
        <v>20.7</v>
      </c>
      <c r="H781" s="249">
        <v>1.9</v>
      </c>
      <c r="I781" s="249">
        <f>1.9*0.9</f>
        <v>1.71</v>
      </c>
      <c r="J781" s="248"/>
      <c r="K781" s="249">
        <f>TRUNC(G781*H781-I781,2)</f>
        <v>37.619999999999997</v>
      </c>
      <c r="L781" s="250"/>
    </row>
    <row r="782" spans="1:18" s="166" customFormat="1" ht="20.100000000000001" customHeight="1" x14ac:dyDescent="0.25">
      <c r="A782" s="245"/>
      <c r="B782" s="246" t="s">
        <v>1569</v>
      </c>
      <c r="C782" s="246"/>
      <c r="D782" s="246"/>
      <c r="E782" s="246"/>
      <c r="F782" s="247"/>
      <c r="G782" s="248">
        <v>20.7</v>
      </c>
      <c r="H782" s="249">
        <v>1.9</v>
      </c>
      <c r="I782" s="249">
        <f>1.9*0.9</f>
        <v>1.71</v>
      </c>
      <c r="J782" s="248"/>
      <c r="K782" s="249">
        <f>TRUNC(G782*H782-I782,2)</f>
        <v>37.619999999999997</v>
      </c>
      <c r="L782" s="250"/>
    </row>
    <row r="783" spans="1:18" s="166" customFormat="1" ht="20.100000000000001" customHeight="1" x14ac:dyDescent="0.25">
      <c r="A783" s="245"/>
      <c r="B783" s="246" t="s">
        <v>1652</v>
      </c>
      <c r="C783" s="246"/>
      <c r="D783" s="246"/>
      <c r="E783" s="246"/>
      <c r="F783" s="247"/>
      <c r="G783" s="248">
        <v>8.0500000000000007</v>
      </c>
      <c r="H783" s="249">
        <v>1.9</v>
      </c>
      <c r="I783" s="249">
        <f>1.9*0.9</f>
        <v>1.71</v>
      </c>
      <c r="J783" s="248"/>
      <c r="K783" s="249">
        <f t="shared" ref="K783:K787" si="44">TRUNC(G783*H783-I783,2)</f>
        <v>13.58</v>
      </c>
      <c r="L783" s="250"/>
    </row>
    <row r="784" spans="1:18" s="166" customFormat="1" ht="20.100000000000001" customHeight="1" x14ac:dyDescent="0.25">
      <c r="A784" s="245"/>
      <c r="B784" s="246" t="s">
        <v>1653</v>
      </c>
      <c r="C784" s="246"/>
      <c r="D784" s="246"/>
      <c r="E784" s="246"/>
      <c r="F784" s="247"/>
      <c r="G784" s="248">
        <v>8.0500000000000007</v>
      </c>
      <c r="H784" s="249">
        <v>1.9</v>
      </c>
      <c r="I784" s="249">
        <f>1.9*0.9</f>
        <v>1.71</v>
      </c>
      <c r="J784" s="248"/>
      <c r="K784" s="249">
        <f t="shared" si="44"/>
        <v>13.58</v>
      </c>
      <c r="L784" s="250"/>
    </row>
    <row r="785" spans="1:18" s="154" customFormat="1" ht="20.100000000000001" customHeight="1" x14ac:dyDescent="0.25">
      <c r="A785" s="475" t="s">
        <v>1574</v>
      </c>
      <c r="B785" s="476"/>
      <c r="C785" s="476"/>
      <c r="D785" s="476"/>
      <c r="E785" s="476"/>
      <c r="F785" s="476"/>
      <c r="G785" s="476"/>
      <c r="H785" s="476"/>
      <c r="I785" s="476"/>
      <c r="J785" s="476"/>
      <c r="K785" s="477"/>
      <c r="L785" s="250"/>
      <c r="M785" s="149"/>
      <c r="N785" s="149"/>
      <c r="O785" s="149"/>
      <c r="P785" s="149"/>
      <c r="Q785" s="149"/>
      <c r="R785" s="149"/>
    </row>
    <row r="786" spans="1:18" s="154" customFormat="1" ht="20.100000000000001" customHeight="1" x14ac:dyDescent="0.25">
      <c r="A786" s="245"/>
      <c r="B786" s="246" t="s">
        <v>1575</v>
      </c>
      <c r="C786" s="246"/>
      <c r="D786" s="246"/>
      <c r="E786" s="246"/>
      <c r="F786" s="247"/>
      <c r="G786" s="248">
        <f>2.5+2.53+2.53</f>
        <v>7.5599999999999987</v>
      </c>
      <c r="H786" s="249">
        <v>2.2000000000000002</v>
      </c>
      <c r="I786" s="249"/>
      <c r="J786" s="248"/>
      <c r="K786" s="249">
        <f t="shared" si="44"/>
        <v>16.63</v>
      </c>
      <c r="L786" s="250"/>
      <c r="M786" s="149"/>
      <c r="N786" s="149"/>
      <c r="O786" s="149"/>
      <c r="P786" s="149"/>
      <c r="Q786" s="149"/>
      <c r="R786" s="149"/>
    </row>
    <row r="787" spans="1:18" s="154" customFormat="1" ht="20.100000000000001" customHeight="1" x14ac:dyDescent="0.25">
      <c r="A787" s="245"/>
      <c r="B787" s="246" t="s">
        <v>1575</v>
      </c>
      <c r="C787" s="246"/>
      <c r="D787" s="246"/>
      <c r="E787" s="246"/>
      <c r="F787" s="247"/>
      <c r="G787" s="248">
        <f>2.5+2.53+2.53</f>
        <v>7.5599999999999987</v>
      </c>
      <c r="H787" s="249">
        <v>2.2000000000000002</v>
      </c>
      <c r="I787" s="249"/>
      <c r="J787" s="248"/>
      <c r="K787" s="249">
        <f t="shared" si="44"/>
        <v>16.63</v>
      </c>
      <c r="L787" s="250"/>
      <c r="M787" s="149"/>
      <c r="N787" s="149"/>
      <c r="O787" s="149"/>
      <c r="P787" s="149"/>
      <c r="Q787" s="149"/>
      <c r="R787" s="149"/>
    </row>
    <row r="788" spans="1:18" s="154" customFormat="1" ht="18.75" customHeight="1" x14ac:dyDescent="0.25">
      <c r="A788" s="470" t="s">
        <v>163</v>
      </c>
      <c r="B788" s="471"/>
      <c r="C788" s="471"/>
      <c r="D788" s="471"/>
      <c r="E788" s="471"/>
      <c r="F788" s="472"/>
      <c r="G788" s="472"/>
      <c r="H788" s="472"/>
      <c r="I788" s="472"/>
      <c r="J788" s="472"/>
      <c r="K788" s="252">
        <f>SUM(K760:K787)</f>
        <v>465.07999999999993</v>
      </c>
      <c r="L788" s="250"/>
      <c r="M788" s="149"/>
      <c r="N788" s="149"/>
      <c r="O788" s="149"/>
      <c r="P788" s="149"/>
      <c r="Q788" s="149"/>
      <c r="R788" s="149"/>
    </row>
    <row r="789" spans="1:18" s="154" customFormat="1" ht="20.100000000000001" customHeight="1" x14ac:dyDescent="0.25">
      <c r="A789" s="177" t="s">
        <v>3</v>
      </c>
      <c r="B789" s="171" t="s">
        <v>1654</v>
      </c>
      <c r="C789" s="171"/>
      <c r="D789" s="171"/>
      <c r="E789" s="171"/>
      <c r="F789" s="243" t="s">
        <v>230</v>
      </c>
      <c r="G789" s="244" t="s">
        <v>1496</v>
      </c>
      <c r="H789" s="244" t="s">
        <v>1417</v>
      </c>
      <c r="I789" s="244" t="s">
        <v>1418</v>
      </c>
      <c r="J789" s="244"/>
      <c r="K789" s="244" t="s">
        <v>50</v>
      </c>
      <c r="L789" s="250"/>
      <c r="M789" s="149"/>
      <c r="N789" s="149"/>
      <c r="O789" s="149"/>
      <c r="P789" s="149"/>
      <c r="Q789" s="149"/>
      <c r="R789" s="149"/>
    </row>
    <row r="790" spans="1:18" s="154" customFormat="1" ht="20.100000000000001" customHeight="1" x14ac:dyDescent="0.25">
      <c r="A790" s="475" t="s">
        <v>1402</v>
      </c>
      <c r="B790" s="476"/>
      <c r="C790" s="476"/>
      <c r="D790" s="476"/>
      <c r="E790" s="476"/>
      <c r="F790" s="476"/>
      <c r="G790" s="476"/>
      <c r="H790" s="476"/>
      <c r="I790" s="476"/>
      <c r="J790" s="476"/>
      <c r="K790" s="477"/>
      <c r="L790" s="250"/>
      <c r="M790" s="149"/>
      <c r="N790" s="149"/>
      <c r="O790" s="149"/>
      <c r="P790" s="149"/>
      <c r="Q790" s="149"/>
      <c r="R790" s="149"/>
    </row>
    <row r="791" spans="1:18" s="154" customFormat="1" ht="20.100000000000001" customHeight="1" x14ac:dyDescent="0.25">
      <c r="A791" s="245"/>
      <c r="B791" s="246" t="s">
        <v>1655</v>
      </c>
      <c r="C791" s="246"/>
      <c r="D791" s="246"/>
      <c r="E791" s="246"/>
      <c r="F791" s="247"/>
      <c r="G791" s="248"/>
      <c r="H791" s="249"/>
      <c r="I791" s="249"/>
      <c r="J791" s="248"/>
      <c r="K791" s="249">
        <v>64.02</v>
      </c>
      <c r="L791" s="250"/>
      <c r="M791" s="149"/>
      <c r="N791" s="149"/>
      <c r="O791" s="149"/>
      <c r="P791" s="149"/>
      <c r="Q791" s="149"/>
      <c r="R791" s="149"/>
    </row>
    <row r="792" spans="1:18" s="154" customFormat="1" ht="18.75" customHeight="1" x14ac:dyDescent="0.25">
      <c r="A792" s="470" t="s">
        <v>163</v>
      </c>
      <c r="B792" s="471"/>
      <c r="C792" s="471"/>
      <c r="D792" s="471"/>
      <c r="E792" s="471"/>
      <c r="F792" s="472"/>
      <c r="G792" s="472"/>
      <c r="H792" s="472"/>
      <c r="I792" s="472"/>
      <c r="J792" s="472"/>
      <c r="K792" s="252">
        <f>SUM(K790:K791)</f>
        <v>64.02</v>
      </c>
      <c r="L792" s="250"/>
      <c r="M792" s="149"/>
      <c r="N792" s="149"/>
      <c r="O792" s="149"/>
      <c r="P792" s="149"/>
      <c r="Q792" s="149"/>
      <c r="R792" s="149"/>
    </row>
    <row r="793" spans="1:18" s="154" customFormat="1" ht="20.100000000000001" customHeight="1" x14ac:dyDescent="0.25">
      <c r="A793" s="478" t="s">
        <v>444</v>
      </c>
      <c r="B793" s="478"/>
      <c r="C793" s="478"/>
      <c r="D793" s="478"/>
      <c r="E793" s="478"/>
      <c r="F793" s="478"/>
      <c r="G793" s="478"/>
      <c r="H793" s="478"/>
      <c r="I793" s="478"/>
      <c r="J793" s="478"/>
      <c r="K793" s="478"/>
      <c r="L793" s="250"/>
      <c r="M793" s="149"/>
      <c r="N793" s="149"/>
      <c r="O793" s="149"/>
      <c r="P793" s="149"/>
      <c r="Q793" s="149"/>
      <c r="R793" s="149"/>
    </row>
    <row r="794" spans="1:18" s="154" customFormat="1" ht="20.100000000000001" customHeight="1" x14ac:dyDescent="0.25">
      <c r="A794" s="177" t="s">
        <v>3</v>
      </c>
      <c r="B794" s="171" t="s">
        <v>1656</v>
      </c>
      <c r="C794" s="171"/>
      <c r="D794" s="171"/>
      <c r="E794" s="171"/>
      <c r="F794" s="243" t="s">
        <v>230</v>
      </c>
      <c r="G794" s="244"/>
      <c r="H794" s="244" t="s">
        <v>705</v>
      </c>
      <c r="I794" s="244"/>
      <c r="J794" s="244"/>
      <c r="K794" s="244" t="s">
        <v>50</v>
      </c>
      <c r="L794" s="250"/>
      <c r="M794" s="149"/>
      <c r="N794" s="149"/>
      <c r="O794" s="149"/>
      <c r="P794" s="149"/>
      <c r="Q794" s="149"/>
      <c r="R794" s="149"/>
    </row>
    <row r="795" spans="1:18" s="154" customFormat="1" ht="20.100000000000001" customHeight="1" x14ac:dyDescent="0.25">
      <c r="A795" s="475" t="s">
        <v>1384</v>
      </c>
      <c r="B795" s="476"/>
      <c r="C795" s="476"/>
      <c r="D795" s="476"/>
      <c r="E795" s="476"/>
      <c r="F795" s="476"/>
      <c r="G795" s="476"/>
      <c r="H795" s="476"/>
      <c r="I795" s="476"/>
      <c r="J795" s="476"/>
      <c r="K795" s="477"/>
      <c r="L795" s="250"/>
      <c r="M795" s="149"/>
      <c r="N795" s="149"/>
      <c r="O795" s="149"/>
      <c r="P795" s="149"/>
      <c r="Q795" s="149"/>
      <c r="R795" s="149"/>
    </row>
    <row r="796" spans="1:18" s="149" customFormat="1" ht="20.100000000000001" customHeight="1" x14ac:dyDescent="0.25">
      <c r="A796" s="245"/>
      <c r="B796" s="246" t="s">
        <v>810</v>
      </c>
      <c r="C796" s="246"/>
      <c r="D796" s="246"/>
      <c r="E796" s="246"/>
      <c r="F796" s="247"/>
      <c r="G796" s="248"/>
      <c r="H796" s="249">
        <v>13.3</v>
      </c>
      <c r="I796" s="249"/>
      <c r="J796" s="248"/>
      <c r="K796" s="249">
        <f>H796</f>
        <v>13.3</v>
      </c>
      <c r="L796" s="250"/>
    </row>
    <row r="797" spans="1:18" s="149" customFormat="1" ht="20.100000000000001" customHeight="1" x14ac:dyDescent="0.25">
      <c r="A797" s="245"/>
      <c r="B797" s="246" t="s">
        <v>1602</v>
      </c>
      <c r="C797" s="246"/>
      <c r="D797" s="246"/>
      <c r="E797" s="246"/>
      <c r="F797" s="247"/>
      <c r="G797" s="248"/>
      <c r="H797" s="249">
        <v>5.32</v>
      </c>
      <c r="I797" s="249"/>
      <c r="J797" s="248"/>
      <c r="K797" s="249">
        <f>H797</f>
        <v>5.32</v>
      </c>
      <c r="L797" s="250"/>
    </row>
    <row r="798" spans="1:18" s="149" customFormat="1" ht="20.100000000000001" customHeight="1" x14ac:dyDescent="0.25">
      <c r="A798" s="245"/>
      <c r="B798" s="246" t="s">
        <v>811</v>
      </c>
      <c r="C798" s="246"/>
      <c r="D798" s="246"/>
      <c r="E798" s="246"/>
      <c r="F798" s="247"/>
      <c r="G798" s="248"/>
      <c r="H798" s="249">
        <v>8.18</v>
      </c>
      <c r="I798" s="249"/>
      <c r="J798" s="248"/>
      <c r="K798" s="249">
        <f>H798</f>
        <v>8.18</v>
      </c>
      <c r="L798" s="250"/>
    </row>
    <row r="799" spans="1:18" s="149" customFormat="1" ht="20.100000000000001" customHeight="1" x14ac:dyDescent="0.25">
      <c r="A799" s="245"/>
      <c r="B799" s="246" t="s">
        <v>1391</v>
      </c>
      <c r="C799" s="246"/>
      <c r="D799" s="246"/>
      <c r="E799" s="246"/>
      <c r="F799" s="247"/>
      <c r="G799" s="248"/>
      <c r="H799" s="249">
        <v>7.4</v>
      </c>
      <c r="I799" s="249"/>
      <c r="J799" s="248"/>
      <c r="K799" s="249">
        <f>H799</f>
        <v>7.4</v>
      </c>
      <c r="L799" s="250"/>
    </row>
    <row r="800" spans="1:18" s="149" customFormat="1" ht="20.100000000000001" customHeight="1" x14ac:dyDescent="0.25">
      <c r="A800" s="245"/>
      <c r="B800" s="246" t="s">
        <v>1453</v>
      </c>
      <c r="C800" s="246"/>
      <c r="D800" s="246"/>
      <c r="E800" s="246"/>
      <c r="F800" s="247"/>
      <c r="G800" s="248"/>
      <c r="H800" s="249">
        <v>4.1100000000000003</v>
      </c>
      <c r="I800" s="249"/>
      <c r="J800" s="248"/>
      <c r="K800" s="249">
        <f>H800</f>
        <v>4.1100000000000003</v>
      </c>
      <c r="L800" s="250"/>
    </row>
    <row r="801" spans="1:18" s="154" customFormat="1" ht="20.100000000000001" customHeight="1" x14ac:dyDescent="0.25">
      <c r="A801" s="475" t="s">
        <v>1413</v>
      </c>
      <c r="B801" s="476"/>
      <c r="C801" s="476"/>
      <c r="D801" s="476"/>
      <c r="E801" s="476"/>
      <c r="F801" s="476"/>
      <c r="G801" s="476"/>
      <c r="H801" s="476"/>
      <c r="I801" s="476"/>
      <c r="J801" s="476"/>
      <c r="K801" s="477"/>
      <c r="L801" s="250"/>
      <c r="M801" s="149"/>
      <c r="N801" s="149"/>
      <c r="O801" s="149"/>
      <c r="P801" s="149"/>
      <c r="Q801" s="149"/>
      <c r="R801" s="149"/>
    </row>
    <row r="802" spans="1:18" s="154" customFormat="1" ht="20.100000000000001" customHeight="1" x14ac:dyDescent="0.25">
      <c r="A802" s="245"/>
      <c r="B802" s="246" t="s">
        <v>1420</v>
      </c>
      <c r="C802" s="246"/>
      <c r="D802" s="246"/>
      <c r="E802" s="246"/>
      <c r="F802" s="247"/>
      <c r="G802" s="248"/>
      <c r="H802" s="249">
        <v>21.98</v>
      </c>
      <c r="I802" s="249"/>
      <c r="J802" s="248"/>
      <c r="K802" s="249">
        <f>H802</f>
        <v>21.98</v>
      </c>
      <c r="L802" s="250"/>
      <c r="M802" s="149"/>
      <c r="N802" s="149"/>
      <c r="O802" s="149"/>
      <c r="P802" s="149"/>
      <c r="Q802" s="149"/>
      <c r="R802" s="149"/>
    </row>
    <row r="803" spans="1:18" s="154" customFormat="1" ht="20.100000000000001" customHeight="1" x14ac:dyDescent="0.25">
      <c r="A803" s="245"/>
      <c r="B803" s="246" t="s">
        <v>1569</v>
      </c>
      <c r="C803" s="246"/>
      <c r="D803" s="246"/>
      <c r="E803" s="246"/>
      <c r="F803" s="247"/>
      <c r="G803" s="248"/>
      <c r="H803" s="249">
        <v>26.67</v>
      </c>
      <c r="I803" s="249"/>
      <c r="J803" s="248"/>
      <c r="K803" s="249">
        <f t="shared" ref="K803:K804" si="45">H803</f>
        <v>26.67</v>
      </c>
      <c r="L803" s="250"/>
      <c r="M803" s="149"/>
      <c r="N803" s="149"/>
      <c r="O803" s="149"/>
      <c r="P803" s="149"/>
      <c r="Q803" s="149"/>
      <c r="R803" s="149"/>
    </row>
    <row r="804" spans="1:18" s="154" customFormat="1" ht="20.100000000000001" customHeight="1" x14ac:dyDescent="0.25">
      <c r="A804" s="245"/>
      <c r="B804" s="246" t="s">
        <v>1584</v>
      </c>
      <c r="C804" s="246"/>
      <c r="D804" s="246"/>
      <c r="E804" s="246"/>
      <c r="F804" s="247"/>
      <c r="G804" s="248"/>
      <c r="H804" s="249">
        <v>26.67</v>
      </c>
      <c r="I804" s="249"/>
      <c r="J804" s="248"/>
      <c r="K804" s="249">
        <f t="shared" si="45"/>
        <v>26.67</v>
      </c>
      <c r="L804" s="250"/>
      <c r="M804" s="149"/>
      <c r="N804" s="149"/>
      <c r="O804" s="149"/>
      <c r="P804" s="149"/>
      <c r="Q804" s="149"/>
      <c r="R804" s="149"/>
    </row>
    <row r="805" spans="1:18" s="154" customFormat="1" ht="18.75" customHeight="1" x14ac:dyDescent="0.25">
      <c r="A805" s="470" t="s">
        <v>163</v>
      </c>
      <c r="B805" s="471"/>
      <c r="C805" s="471"/>
      <c r="D805" s="471"/>
      <c r="E805" s="471"/>
      <c r="F805" s="472"/>
      <c r="G805" s="472"/>
      <c r="H805" s="472"/>
      <c r="I805" s="472"/>
      <c r="J805" s="472"/>
      <c r="K805" s="252">
        <f>SUM(K796:K804)</f>
        <v>113.63000000000001</v>
      </c>
      <c r="L805" s="250"/>
      <c r="M805" s="149"/>
      <c r="N805" s="149"/>
      <c r="O805" s="149"/>
      <c r="P805" s="149"/>
      <c r="Q805" s="149"/>
      <c r="R805" s="149"/>
    </row>
    <row r="806" spans="1:18" s="154" customFormat="1" ht="20.100000000000001" customHeight="1" x14ac:dyDescent="0.25">
      <c r="A806" s="478" t="s">
        <v>28</v>
      </c>
      <c r="B806" s="478"/>
      <c r="C806" s="478"/>
      <c r="D806" s="478"/>
      <c r="E806" s="478"/>
      <c r="F806" s="478"/>
      <c r="G806" s="478"/>
      <c r="H806" s="478"/>
      <c r="I806" s="478"/>
      <c r="J806" s="478"/>
      <c r="K806" s="478"/>
      <c r="L806" s="250"/>
      <c r="M806" s="149"/>
      <c r="N806" s="149"/>
      <c r="O806" s="149"/>
      <c r="P806" s="149"/>
      <c r="Q806" s="149"/>
      <c r="R806" s="149"/>
    </row>
    <row r="807" spans="1:18" s="154" customFormat="1" ht="20.100000000000001" customHeight="1" x14ac:dyDescent="0.25">
      <c r="A807" s="177" t="s">
        <v>3</v>
      </c>
      <c r="B807" s="171" t="s">
        <v>1657</v>
      </c>
      <c r="C807" s="171"/>
      <c r="D807" s="171"/>
      <c r="E807" s="171"/>
      <c r="F807" s="243" t="s">
        <v>230</v>
      </c>
      <c r="G807" s="244" t="s">
        <v>1416</v>
      </c>
      <c r="H807" s="244" t="s">
        <v>1417</v>
      </c>
      <c r="I807" s="244" t="s">
        <v>1418</v>
      </c>
      <c r="J807" s="244"/>
      <c r="K807" s="244" t="s">
        <v>50</v>
      </c>
      <c r="L807" s="250"/>
      <c r="M807" s="149"/>
      <c r="N807" s="149"/>
      <c r="O807" s="149"/>
      <c r="P807" s="149"/>
      <c r="Q807" s="149"/>
      <c r="R807" s="149"/>
    </row>
    <row r="808" spans="1:18" s="154" customFormat="1" ht="20.100000000000001" customHeight="1" x14ac:dyDescent="0.25">
      <c r="A808" s="475" t="s">
        <v>1382</v>
      </c>
      <c r="B808" s="476"/>
      <c r="C808" s="476"/>
      <c r="D808" s="476"/>
      <c r="E808" s="476"/>
      <c r="F808" s="476"/>
      <c r="G808" s="476"/>
      <c r="H808" s="476"/>
      <c r="I808" s="476"/>
      <c r="J808" s="476"/>
      <c r="K808" s="477"/>
      <c r="L808" s="250"/>
      <c r="M808" s="149"/>
      <c r="N808" s="149"/>
      <c r="O808" s="149"/>
      <c r="P808" s="149"/>
      <c r="Q808" s="149"/>
      <c r="R808" s="149"/>
    </row>
    <row r="809" spans="1:18" s="154" customFormat="1" ht="18.75" customHeight="1" x14ac:dyDescent="0.25">
      <c r="A809" s="245"/>
      <c r="B809" s="246" t="s">
        <v>1658</v>
      </c>
      <c r="C809" s="246"/>
      <c r="D809" s="246"/>
      <c r="E809" s="246"/>
      <c r="F809" s="247"/>
      <c r="G809" s="248">
        <v>17.100000000000001</v>
      </c>
      <c r="H809" s="249">
        <v>3.3</v>
      </c>
      <c r="I809" s="249">
        <f>2*2.3*1.5+2*2.1*0.9</f>
        <v>10.68</v>
      </c>
      <c r="J809" s="248"/>
      <c r="K809" s="249">
        <f>TRUNC(G809*H809-I809,2)</f>
        <v>45.75</v>
      </c>
      <c r="L809" s="250"/>
      <c r="M809" s="149"/>
      <c r="N809" s="149"/>
      <c r="O809" s="149"/>
      <c r="P809" s="149"/>
      <c r="Q809" s="149"/>
      <c r="R809" s="149"/>
    </row>
    <row r="810" spans="1:18" s="154" customFormat="1" ht="18.75" customHeight="1" x14ac:dyDescent="0.25">
      <c r="A810" s="245"/>
      <c r="B810" s="246" t="s">
        <v>812</v>
      </c>
      <c r="C810" s="246"/>
      <c r="D810" s="246"/>
      <c r="E810" s="246"/>
      <c r="F810" s="247"/>
      <c r="G810" s="248">
        <v>12.44</v>
      </c>
      <c r="H810" s="249">
        <v>3.3</v>
      </c>
      <c r="I810" s="249">
        <f>3*0.9*2.1+2.3*0.75</f>
        <v>7.3950000000000005</v>
      </c>
      <c r="J810" s="248"/>
      <c r="K810" s="249">
        <f t="shared" ref="K810:K826" si="46">TRUNC(G810*H810-I810,2)</f>
        <v>33.65</v>
      </c>
      <c r="L810" s="250"/>
      <c r="M810" s="149"/>
      <c r="N810" s="149"/>
      <c r="O810" s="149"/>
      <c r="P810" s="149"/>
      <c r="Q810" s="149"/>
      <c r="R810" s="149"/>
    </row>
    <row r="811" spans="1:18" s="154" customFormat="1" ht="18.75" customHeight="1" x14ac:dyDescent="0.25">
      <c r="A811" s="245"/>
      <c r="B811" s="246" t="s">
        <v>1659</v>
      </c>
      <c r="C811" s="246"/>
      <c r="D811" s="246"/>
      <c r="E811" s="246"/>
      <c r="F811" s="247"/>
      <c r="G811" s="248">
        <v>15.66</v>
      </c>
      <c r="H811" s="249">
        <v>3.3</v>
      </c>
      <c r="I811" s="249">
        <f>2*2.3*1.55+0.9*2.1</f>
        <v>9.02</v>
      </c>
      <c r="J811" s="248"/>
      <c r="K811" s="249">
        <f t="shared" si="46"/>
        <v>42.65</v>
      </c>
      <c r="L811" s="250"/>
      <c r="M811" s="149"/>
      <c r="N811" s="149"/>
      <c r="O811" s="149"/>
      <c r="P811" s="149"/>
      <c r="Q811" s="149"/>
      <c r="R811" s="149"/>
    </row>
    <row r="812" spans="1:18" s="154" customFormat="1" ht="18.75" customHeight="1" x14ac:dyDescent="0.25">
      <c r="A812" s="245"/>
      <c r="B812" s="246" t="s">
        <v>1660</v>
      </c>
      <c r="C812" s="246"/>
      <c r="D812" s="246"/>
      <c r="E812" s="246"/>
      <c r="F812" s="247"/>
      <c r="G812" s="248">
        <v>14.5</v>
      </c>
      <c r="H812" s="249">
        <v>3.3</v>
      </c>
      <c r="I812" s="249">
        <f>2.3*1.5+3*0.9*2.1</f>
        <v>9.120000000000001</v>
      </c>
      <c r="J812" s="248"/>
      <c r="K812" s="249">
        <f t="shared" si="46"/>
        <v>38.729999999999997</v>
      </c>
      <c r="L812" s="250"/>
      <c r="M812" s="149"/>
      <c r="N812" s="149"/>
      <c r="O812" s="149"/>
      <c r="P812" s="149"/>
      <c r="Q812" s="149"/>
      <c r="R812" s="149"/>
    </row>
    <row r="813" spans="1:18" s="154" customFormat="1" ht="18.75" customHeight="1" x14ac:dyDescent="0.25">
      <c r="A813" s="245"/>
      <c r="B813" s="246" t="s">
        <v>1661</v>
      </c>
      <c r="C813" s="246"/>
      <c r="D813" s="246"/>
      <c r="E813" s="246"/>
      <c r="F813" s="247"/>
      <c r="G813" s="248">
        <v>14.6</v>
      </c>
      <c r="H813" s="249">
        <v>3.3</v>
      </c>
      <c r="I813" s="249">
        <f>1.2*0.75+2*2.1*0.9</f>
        <v>4.68</v>
      </c>
      <c r="J813" s="248"/>
      <c r="K813" s="249">
        <f t="shared" si="46"/>
        <v>43.5</v>
      </c>
      <c r="L813" s="250"/>
      <c r="M813" s="149"/>
      <c r="N813" s="149"/>
      <c r="O813" s="149"/>
      <c r="P813" s="149"/>
      <c r="Q813" s="149"/>
      <c r="R813" s="149"/>
    </row>
    <row r="814" spans="1:18" s="154" customFormat="1" ht="18.75" customHeight="1" x14ac:dyDescent="0.25">
      <c r="A814" s="245"/>
      <c r="B814" s="246" t="s">
        <v>1662</v>
      </c>
      <c r="C814" s="246"/>
      <c r="D814" s="246"/>
      <c r="E814" s="246"/>
      <c r="F814" s="247"/>
      <c r="G814" s="248">
        <v>17</v>
      </c>
      <c r="H814" s="249">
        <v>3.3</v>
      </c>
      <c r="I814" s="249">
        <f>2.3*0.5+2.3*0.75+2*0.9*2.1</f>
        <v>6.6550000000000002</v>
      </c>
      <c r="J814" s="248"/>
      <c r="K814" s="249">
        <f t="shared" si="46"/>
        <v>49.44</v>
      </c>
      <c r="L814" s="250"/>
      <c r="M814" s="149"/>
      <c r="N814" s="149"/>
      <c r="O814" s="149"/>
      <c r="P814" s="149"/>
      <c r="Q814" s="149"/>
      <c r="R814" s="149"/>
    </row>
    <row r="815" spans="1:18" s="154" customFormat="1" ht="18.75" customHeight="1" x14ac:dyDescent="0.25">
      <c r="A815" s="245"/>
      <c r="B815" s="246" t="s">
        <v>1663</v>
      </c>
      <c r="C815" s="246"/>
      <c r="D815" s="246"/>
      <c r="E815" s="246"/>
      <c r="F815" s="247"/>
      <c r="G815" s="248">
        <v>14.5</v>
      </c>
      <c r="H815" s="249">
        <v>3.3</v>
      </c>
      <c r="I815" s="249">
        <f>1.2*0.75+2*2.1*0.9</f>
        <v>4.68</v>
      </c>
      <c r="J815" s="248"/>
      <c r="K815" s="249">
        <f t="shared" si="46"/>
        <v>43.17</v>
      </c>
      <c r="L815" s="250"/>
      <c r="M815" s="149"/>
      <c r="N815" s="149"/>
      <c r="O815" s="149"/>
      <c r="P815" s="149"/>
      <c r="Q815" s="149"/>
      <c r="R815" s="149"/>
    </row>
    <row r="816" spans="1:18" s="154" customFormat="1" ht="18.75" customHeight="1" x14ac:dyDescent="0.25">
      <c r="A816" s="245"/>
      <c r="B816" s="246" t="s">
        <v>1584</v>
      </c>
      <c r="C816" s="246"/>
      <c r="D816" s="246"/>
      <c r="E816" s="246"/>
      <c r="F816" s="247"/>
      <c r="G816" s="248">
        <v>15.8</v>
      </c>
      <c r="H816" s="249">
        <f>3.3-1.9</f>
        <v>1.4</v>
      </c>
      <c r="I816" s="249">
        <f>2.3*0.75+2.1*0.9</f>
        <v>3.6150000000000002</v>
      </c>
      <c r="J816" s="248"/>
      <c r="K816" s="249">
        <f t="shared" si="46"/>
        <v>18.5</v>
      </c>
      <c r="L816" s="250"/>
      <c r="M816" s="149"/>
      <c r="N816" s="149"/>
      <c r="O816" s="149"/>
      <c r="P816" s="149"/>
      <c r="Q816" s="149"/>
      <c r="R816" s="149"/>
    </row>
    <row r="817" spans="1:18" s="154" customFormat="1" ht="18.75" customHeight="1" x14ac:dyDescent="0.25">
      <c r="A817" s="245"/>
      <c r="B817" s="246" t="s">
        <v>1620</v>
      </c>
      <c r="C817" s="246"/>
      <c r="D817" s="246"/>
      <c r="E817" s="246"/>
      <c r="F817" s="247"/>
      <c r="G817" s="248">
        <v>15.8</v>
      </c>
      <c r="H817" s="249">
        <f>3.3-1.9</f>
        <v>1.4</v>
      </c>
      <c r="I817" s="249">
        <f>2.3*0.75+2.1*0.9</f>
        <v>3.6150000000000002</v>
      </c>
      <c r="J817" s="248"/>
      <c r="K817" s="249">
        <f t="shared" si="46"/>
        <v>18.5</v>
      </c>
      <c r="L817" s="250"/>
      <c r="M817" s="149"/>
      <c r="N817" s="149"/>
      <c r="O817" s="149"/>
      <c r="P817" s="149"/>
      <c r="Q817" s="149"/>
      <c r="R817" s="149"/>
    </row>
    <row r="818" spans="1:18" s="154" customFormat="1" ht="18.75" customHeight="1" x14ac:dyDescent="0.25">
      <c r="A818" s="245"/>
      <c r="B818" s="246" t="s">
        <v>1664</v>
      </c>
      <c r="C818" s="246"/>
      <c r="D818" s="246"/>
      <c r="E818" s="246"/>
      <c r="F818" s="247"/>
      <c r="G818" s="248">
        <v>19.399999999999999</v>
      </c>
      <c r="H818" s="249">
        <v>3.3</v>
      </c>
      <c r="I818" s="249">
        <f>2.1*0.9+1.75*0.75+2.3*1.5</f>
        <v>6.6524999999999999</v>
      </c>
      <c r="J818" s="248"/>
      <c r="K818" s="249">
        <f t="shared" si="46"/>
        <v>57.36</v>
      </c>
      <c r="L818" s="250"/>
      <c r="M818" s="149"/>
      <c r="N818" s="149"/>
      <c r="O818" s="149"/>
      <c r="P818" s="149"/>
      <c r="Q818" s="149"/>
      <c r="R818" s="149"/>
    </row>
    <row r="819" spans="1:18" s="154" customFormat="1" ht="18.75" customHeight="1" x14ac:dyDescent="0.25">
      <c r="A819" s="245"/>
      <c r="B819" s="246" t="s">
        <v>1469</v>
      </c>
      <c r="C819" s="246"/>
      <c r="D819" s="246"/>
      <c r="E819" s="246"/>
      <c r="F819" s="247"/>
      <c r="G819" s="248">
        <v>12</v>
      </c>
      <c r="H819" s="249">
        <v>3.3</v>
      </c>
      <c r="I819" s="249">
        <f>2.3*0.75+2*2.1*0.9</f>
        <v>5.5049999999999999</v>
      </c>
      <c r="J819" s="248"/>
      <c r="K819" s="249">
        <f t="shared" si="46"/>
        <v>34.090000000000003</v>
      </c>
      <c r="L819" s="250"/>
      <c r="M819" s="149"/>
      <c r="N819" s="149"/>
      <c r="O819" s="149"/>
      <c r="P819" s="149"/>
      <c r="Q819" s="149"/>
      <c r="R819" s="149"/>
    </row>
    <row r="820" spans="1:18" s="154" customFormat="1" ht="18.75" customHeight="1" x14ac:dyDescent="0.25">
      <c r="A820" s="245"/>
      <c r="B820" s="246" t="s">
        <v>1467</v>
      </c>
      <c r="C820" s="246"/>
      <c r="D820" s="246"/>
      <c r="E820" s="246"/>
      <c r="F820" s="247"/>
      <c r="G820" s="248">
        <v>12</v>
      </c>
      <c r="H820" s="249">
        <v>3.3</v>
      </c>
      <c r="I820" s="249">
        <f>2.3*0.75+2*2.1*0.9</f>
        <v>5.5049999999999999</v>
      </c>
      <c r="J820" s="248"/>
      <c r="K820" s="249">
        <f t="shared" si="46"/>
        <v>34.090000000000003</v>
      </c>
      <c r="L820" s="250"/>
      <c r="M820" s="149"/>
      <c r="N820" s="149"/>
      <c r="O820" s="149"/>
      <c r="P820" s="149"/>
      <c r="Q820" s="149"/>
      <c r="R820" s="149"/>
    </row>
    <row r="821" spans="1:18" s="154" customFormat="1" ht="18.75" customHeight="1" x14ac:dyDescent="0.25">
      <c r="A821" s="245"/>
      <c r="B821" s="246" t="s">
        <v>1665</v>
      </c>
      <c r="C821" s="246"/>
      <c r="D821" s="246"/>
      <c r="E821" s="246"/>
      <c r="F821" s="247"/>
      <c r="G821" s="248">
        <v>14.4</v>
      </c>
      <c r="H821" s="249">
        <v>3.3</v>
      </c>
      <c r="I821" s="249">
        <f>0.9*2.1+2.3*0.75</f>
        <v>3.6150000000000002</v>
      </c>
      <c r="J821" s="248"/>
      <c r="K821" s="249">
        <f t="shared" si="46"/>
        <v>43.9</v>
      </c>
      <c r="L821" s="250"/>
      <c r="M821" s="149"/>
      <c r="N821" s="149"/>
      <c r="O821" s="149"/>
      <c r="P821" s="149"/>
      <c r="Q821" s="149"/>
      <c r="R821" s="149"/>
    </row>
    <row r="822" spans="1:18" s="154" customFormat="1" ht="18.75" customHeight="1" x14ac:dyDescent="0.25">
      <c r="A822" s="245"/>
      <c r="B822" s="246" t="s">
        <v>1465</v>
      </c>
      <c r="C822" s="246"/>
      <c r="D822" s="246"/>
      <c r="E822" s="246"/>
      <c r="F822" s="247"/>
      <c r="G822" s="248">
        <v>25.1</v>
      </c>
      <c r="H822" s="249">
        <v>3.3</v>
      </c>
      <c r="I822" s="249">
        <f>2*2.3*0.75+2*0.9*2.1</f>
        <v>7.23</v>
      </c>
      <c r="J822" s="248"/>
      <c r="K822" s="249">
        <f t="shared" si="46"/>
        <v>75.599999999999994</v>
      </c>
      <c r="L822" s="250"/>
      <c r="M822" s="149"/>
      <c r="N822" s="149"/>
      <c r="O822" s="149"/>
      <c r="P822" s="149"/>
      <c r="Q822" s="149"/>
      <c r="R822" s="149"/>
    </row>
    <row r="823" spans="1:18" s="154" customFormat="1" ht="18.75" customHeight="1" x14ac:dyDescent="0.25">
      <c r="A823" s="245"/>
      <c r="B823" s="246" t="s">
        <v>1466</v>
      </c>
      <c r="C823" s="246"/>
      <c r="D823" s="246"/>
      <c r="E823" s="246"/>
      <c r="F823" s="247"/>
      <c r="G823" s="248">
        <v>12</v>
      </c>
      <c r="H823" s="249">
        <v>3.3</v>
      </c>
      <c r="I823" s="249">
        <f>2.1*0.9</f>
        <v>1.8900000000000001</v>
      </c>
      <c r="J823" s="248"/>
      <c r="K823" s="249">
        <f t="shared" si="46"/>
        <v>37.71</v>
      </c>
      <c r="L823" s="250"/>
      <c r="M823" s="149"/>
      <c r="N823" s="149"/>
      <c r="O823" s="149"/>
      <c r="P823" s="149"/>
      <c r="Q823" s="149"/>
      <c r="R823" s="149"/>
    </row>
    <row r="824" spans="1:18" s="154" customFormat="1" ht="18.75" customHeight="1" x14ac:dyDescent="0.25">
      <c r="A824" s="245"/>
      <c r="B824" s="246" t="s">
        <v>813</v>
      </c>
      <c r="C824" s="246"/>
      <c r="D824" s="246"/>
      <c r="E824" s="246"/>
      <c r="F824" s="247"/>
      <c r="G824" s="248">
        <v>48.27</v>
      </c>
      <c r="H824" s="249">
        <v>3.3</v>
      </c>
      <c r="I824" s="249">
        <f>13*2.1*0.9+2.4*2.1</f>
        <v>29.61</v>
      </c>
      <c r="J824" s="248"/>
      <c r="K824" s="249">
        <f t="shared" si="46"/>
        <v>129.68</v>
      </c>
      <c r="L824" s="250"/>
      <c r="M824" s="149"/>
      <c r="N824" s="149"/>
      <c r="O824" s="149"/>
      <c r="P824" s="149"/>
      <c r="Q824" s="149"/>
      <c r="R824" s="149"/>
    </row>
    <row r="825" spans="1:18" s="154" customFormat="1" ht="18.75" customHeight="1" x14ac:dyDescent="0.25">
      <c r="A825" s="245"/>
      <c r="B825" s="246" t="s">
        <v>1666</v>
      </c>
      <c r="C825" s="246"/>
      <c r="D825" s="246"/>
      <c r="E825" s="246"/>
      <c r="F825" s="247"/>
      <c r="G825" s="248">
        <v>29.3</v>
      </c>
      <c r="H825" s="249">
        <v>2.8</v>
      </c>
      <c r="I825" s="249"/>
      <c r="J825" s="248"/>
      <c r="K825" s="249">
        <f t="shared" si="46"/>
        <v>82.04</v>
      </c>
      <c r="L825" s="250"/>
      <c r="M825" s="149"/>
      <c r="N825" s="149"/>
      <c r="O825" s="149"/>
      <c r="P825" s="149"/>
      <c r="Q825" s="149"/>
      <c r="R825" s="149"/>
    </row>
    <row r="826" spans="1:18" s="154" customFormat="1" ht="18.75" customHeight="1" x14ac:dyDescent="0.25">
      <c r="A826" s="245"/>
      <c r="B826" s="246" t="s">
        <v>1667</v>
      </c>
      <c r="C826" s="246"/>
      <c r="D826" s="246"/>
      <c r="E826" s="246"/>
      <c r="F826" s="247"/>
      <c r="G826" s="248">
        <v>36.5</v>
      </c>
      <c r="H826" s="249">
        <v>2.8</v>
      </c>
      <c r="I826" s="249">
        <f>0.9*2.1+0.8*2.1+2*1.1</f>
        <v>5.7700000000000005</v>
      </c>
      <c r="J826" s="248"/>
      <c r="K826" s="249">
        <f t="shared" si="46"/>
        <v>96.43</v>
      </c>
      <c r="L826" s="250"/>
      <c r="M826" s="149"/>
      <c r="N826" s="149"/>
      <c r="O826" s="149"/>
      <c r="P826" s="149"/>
      <c r="Q826" s="149"/>
      <c r="R826" s="149"/>
    </row>
    <row r="827" spans="1:18" s="154" customFormat="1" ht="20.100000000000001" customHeight="1" x14ac:dyDescent="0.25">
      <c r="A827" s="475" t="s">
        <v>1384</v>
      </c>
      <c r="B827" s="476"/>
      <c r="C827" s="476"/>
      <c r="D827" s="476"/>
      <c r="E827" s="476"/>
      <c r="F827" s="476"/>
      <c r="G827" s="476"/>
      <c r="H827" s="476"/>
      <c r="I827" s="476"/>
      <c r="J827" s="476"/>
      <c r="K827" s="477"/>
      <c r="L827" s="250"/>
      <c r="M827" s="149"/>
      <c r="N827" s="149"/>
      <c r="O827" s="149"/>
      <c r="P827" s="149"/>
      <c r="Q827" s="149"/>
      <c r="R827" s="149"/>
    </row>
    <row r="828" spans="1:18" s="154" customFormat="1" ht="20.100000000000001" customHeight="1" x14ac:dyDescent="0.25">
      <c r="A828" s="245"/>
      <c r="B828" s="246" t="s">
        <v>810</v>
      </c>
      <c r="C828" s="246"/>
      <c r="D828" s="246"/>
      <c r="E828" s="246"/>
      <c r="F828" s="247"/>
      <c r="G828" s="248">
        <v>15.1</v>
      </c>
      <c r="H828" s="249">
        <v>3.3</v>
      </c>
      <c r="I828" s="249">
        <f>0.9*2.1+2.3*0.75</f>
        <v>3.6150000000000002</v>
      </c>
      <c r="J828" s="248"/>
      <c r="K828" s="249">
        <f t="shared" ref="K828:K834" si="47">TRUNC(G828*H828-I828,2)</f>
        <v>46.21</v>
      </c>
      <c r="L828" s="250"/>
      <c r="M828" s="149"/>
      <c r="N828" s="149"/>
      <c r="O828" s="149"/>
      <c r="P828" s="149"/>
      <c r="Q828" s="149"/>
      <c r="R828" s="149"/>
    </row>
    <row r="829" spans="1:18" s="154" customFormat="1" ht="20.100000000000001" customHeight="1" x14ac:dyDescent="0.25">
      <c r="A829" s="245"/>
      <c r="B829" s="246" t="s">
        <v>1602</v>
      </c>
      <c r="C829" s="246"/>
      <c r="D829" s="246"/>
      <c r="E829" s="246"/>
      <c r="F829" s="247"/>
      <c r="G829" s="248">
        <v>9.4</v>
      </c>
      <c r="H829" s="249">
        <v>3.3</v>
      </c>
      <c r="I829" s="249">
        <f>2*0.9*2.1+0.6*0.4</f>
        <v>4.0200000000000005</v>
      </c>
      <c r="J829" s="248"/>
      <c r="K829" s="249">
        <f t="shared" si="47"/>
        <v>27</v>
      </c>
      <c r="L829" s="250"/>
      <c r="M829" s="149"/>
      <c r="N829" s="149"/>
      <c r="O829" s="149"/>
      <c r="P829" s="149"/>
      <c r="Q829" s="149"/>
      <c r="R829" s="149"/>
    </row>
    <row r="830" spans="1:18" s="154" customFormat="1" ht="20.100000000000001" customHeight="1" x14ac:dyDescent="0.25">
      <c r="A830" s="245"/>
      <c r="B830" s="246" t="s">
        <v>1622</v>
      </c>
      <c r="C830" s="246"/>
      <c r="D830" s="246"/>
      <c r="E830" s="246"/>
      <c r="F830" s="247"/>
      <c r="G830" s="248">
        <v>23.6</v>
      </c>
      <c r="H830" s="249">
        <v>3.3</v>
      </c>
      <c r="I830" s="249">
        <f>2*3*0.8+1*0.8+3*0.9*2.1+2.1*1.2</f>
        <v>13.790000000000001</v>
      </c>
      <c r="J830" s="248"/>
      <c r="K830" s="249">
        <f t="shared" si="47"/>
        <v>64.09</v>
      </c>
      <c r="L830" s="250"/>
      <c r="M830" s="149"/>
      <c r="N830" s="149"/>
      <c r="O830" s="149"/>
      <c r="P830" s="149"/>
      <c r="Q830" s="149"/>
      <c r="R830" s="149"/>
    </row>
    <row r="831" spans="1:18" s="154" customFormat="1" ht="20.100000000000001" customHeight="1" x14ac:dyDescent="0.25">
      <c r="A831" s="245"/>
      <c r="B831" s="246" t="s">
        <v>1552</v>
      </c>
      <c r="C831" s="246"/>
      <c r="D831" s="246"/>
      <c r="E831" s="246"/>
      <c r="F831" s="247"/>
      <c r="G831" s="248">
        <v>11.86</v>
      </c>
      <c r="H831" s="249">
        <f>3.3-1.9</f>
        <v>1.4</v>
      </c>
      <c r="I831" s="249">
        <f>2.1*0.9+1*0.8*0.6*0.4</f>
        <v>2.0820000000000003</v>
      </c>
      <c r="J831" s="248"/>
      <c r="K831" s="249">
        <f t="shared" si="47"/>
        <v>14.52</v>
      </c>
      <c r="L831" s="250"/>
      <c r="M831" s="149"/>
      <c r="N831" s="149"/>
      <c r="O831" s="149"/>
      <c r="P831" s="149"/>
      <c r="Q831" s="149"/>
      <c r="R831" s="149"/>
    </row>
    <row r="832" spans="1:18" s="154" customFormat="1" ht="20.100000000000001" customHeight="1" x14ac:dyDescent="0.25">
      <c r="A832" s="245"/>
      <c r="B832" s="246" t="s">
        <v>811</v>
      </c>
      <c r="C832" s="246"/>
      <c r="D832" s="246"/>
      <c r="E832" s="246"/>
      <c r="F832" s="247"/>
      <c r="G832" s="248">
        <v>12.58</v>
      </c>
      <c r="H832" s="249">
        <f>3.3-1.9</f>
        <v>1.4</v>
      </c>
      <c r="I832" s="249">
        <f>1.5*1+0.9*2.1</f>
        <v>3.39</v>
      </c>
      <c r="J832" s="248"/>
      <c r="K832" s="249">
        <f t="shared" si="47"/>
        <v>14.22</v>
      </c>
      <c r="L832" s="250"/>
      <c r="M832" s="149"/>
      <c r="N832" s="149"/>
      <c r="O832" s="149"/>
      <c r="P832" s="149"/>
      <c r="Q832" s="149"/>
      <c r="R832" s="149"/>
    </row>
    <row r="833" spans="1:18" s="154" customFormat="1" ht="20.100000000000001" customHeight="1" x14ac:dyDescent="0.25">
      <c r="A833" s="245"/>
      <c r="B833" s="246" t="s">
        <v>1668</v>
      </c>
      <c r="C833" s="246"/>
      <c r="D833" s="246"/>
      <c r="E833" s="246"/>
      <c r="F833" s="247"/>
      <c r="G833" s="248">
        <v>7.6</v>
      </c>
      <c r="H833" s="249">
        <f t="shared" ref="H833:H836" si="48">3.3-1.9</f>
        <v>1.4</v>
      </c>
      <c r="I833" s="249">
        <f>2.1*0.9</f>
        <v>1.8900000000000001</v>
      </c>
      <c r="J833" s="248"/>
      <c r="K833" s="249">
        <f t="shared" si="47"/>
        <v>8.75</v>
      </c>
      <c r="L833" s="250"/>
      <c r="M833" s="149"/>
      <c r="N833" s="149"/>
      <c r="O833" s="149"/>
      <c r="P833" s="149"/>
      <c r="Q833" s="149"/>
      <c r="R833" s="149"/>
    </row>
    <row r="834" spans="1:18" s="154" customFormat="1" ht="20.100000000000001" customHeight="1" x14ac:dyDescent="0.25">
      <c r="A834" s="245"/>
      <c r="B834" s="246" t="s">
        <v>1669</v>
      </c>
      <c r="C834" s="246"/>
      <c r="D834" s="246"/>
      <c r="E834" s="246"/>
      <c r="F834" s="247"/>
      <c r="G834" s="248">
        <v>8.1999999999999993</v>
      </c>
      <c r="H834" s="249">
        <f t="shared" si="48"/>
        <v>1.4</v>
      </c>
      <c r="I834" s="249">
        <f>2.1*0.9</f>
        <v>1.8900000000000001</v>
      </c>
      <c r="J834" s="248"/>
      <c r="K834" s="249">
        <f t="shared" si="47"/>
        <v>9.59</v>
      </c>
      <c r="L834" s="250"/>
      <c r="M834" s="149"/>
      <c r="N834" s="149"/>
      <c r="O834" s="149"/>
      <c r="P834" s="149"/>
      <c r="Q834" s="149"/>
      <c r="R834" s="149"/>
    </row>
    <row r="835" spans="1:18" s="154" customFormat="1" ht="18.75" customHeight="1" x14ac:dyDescent="0.25">
      <c r="A835" s="245"/>
      <c r="B835" s="246" t="s">
        <v>1670</v>
      </c>
      <c r="C835" s="246"/>
      <c r="D835" s="246"/>
      <c r="E835" s="246"/>
      <c r="F835" s="247"/>
      <c r="G835" s="248">
        <v>11.7</v>
      </c>
      <c r="H835" s="249">
        <v>3.3</v>
      </c>
      <c r="I835" s="249">
        <f>2.3*0.75+0.9*2.1</f>
        <v>3.6150000000000002</v>
      </c>
      <c r="J835" s="248"/>
      <c r="K835" s="249">
        <f>TRUNC(G835*H835-I835,2)</f>
        <v>34.99</v>
      </c>
      <c r="L835" s="250"/>
      <c r="M835" s="149"/>
      <c r="N835" s="149"/>
      <c r="O835" s="149"/>
      <c r="P835" s="149"/>
      <c r="Q835" s="149"/>
      <c r="R835" s="149"/>
    </row>
    <row r="836" spans="1:18" s="154" customFormat="1" ht="18.75" customHeight="1" x14ac:dyDescent="0.25">
      <c r="A836" s="245"/>
      <c r="B836" s="246" t="s">
        <v>1553</v>
      </c>
      <c r="C836" s="246"/>
      <c r="D836" s="246"/>
      <c r="E836" s="246"/>
      <c r="F836" s="247"/>
      <c r="G836" s="248">
        <v>11.86</v>
      </c>
      <c r="H836" s="249">
        <f t="shared" si="48"/>
        <v>1.4</v>
      </c>
      <c r="I836" s="249">
        <f>2.1*0.9+0.6*0.4+0.6*0.4</f>
        <v>2.37</v>
      </c>
      <c r="J836" s="248"/>
      <c r="K836" s="249">
        <f t="shared" ref="K836:K851" si="49">TRUNC(G836*H836-I836,2)</f>
        <v>14.23</v>
      </c>
      <c r="L836" s="250"/>
      <c r="M836" s="149"/>
      <c r="N836" s="149"/>
      <c r="O836" s="149"/>
      <c r="P836" s="149"/>
      <c r="Q836" s="149"/>
      <c r="R836" s="149"/>
    </row>
    <row r="837" spans="1:18" s="154" customFormat="1" ht="18.75" customHeight="1" x14ac:dyDescent="0.25">
      <c r="A837" s="245"/>
      <c r="B837" s="246" t="s">
        <v>1604</v>
      </c>
      <c r="C837" s="246"/>
      <c r="D837" s="246"/>
      <c r="E837" s="246"/>
      <c r="F837" s="247"/>
      <c r="G837" s="248">
        <v>13.25</v>
      </c>
      <c r="H837" s="249">
        <v>3.3</v>
      </c>
      <c r="I837" s="249">
        <f>2.3*0.75+0.9*2.1</f>
        <v>3.6150000000000002</v>
      </c>
      <c r="J837" s="248"/>
      <c r="K837" s="249">
        <f t="shared" si="49"/>
        <v>40.11</v>
      </c>
      <c r="L837" s="250"/>
      <c r="M837" s="149"/>
      <c r="N837" s="149"/>
      <c r="O837" s="149"/>
      <c r="P837" s="149"/>
      <c r="Q837" s="149"/>
      <c r="R837" s="149"/>
    </row>
    <row r="838" spans="1:18" s="154" customFormat="1" ht="18.75" customHeight="1" x14ac:dyDescent="0.25">
      <c r="A838" s="245"/>
      <c r="B838" s="246" t="s">
        <v>1605</v>
      </c>
      <c r="C838" s="246"/>
      <c r="D838" s="246"/>
      <c r="E838" s="246"/>
      <c r="F838" s="247"/>
      <c r="G838" s="248">
        <v>13.25</v>
      </c>
      <c r="H838" s="249">
        <v>3.3</v>
      </c>
      <c r="I838" s="249">
        <f t="shared" ref="I838:I842" si="50">2.3*0.75+0.9*2.1</f>
        <v>3.6150000000000002</v>
      </c>
      <c r="J838" s="248"/>
      <c r="K838" s="249">
        <f t="shared" si="49"/>
        <v>40.11</v>
      </c>
      <c r="L838" s="250"/>
      <c r="M838" s="149"/>
      <c r="N838" s="149"/>
      <c r="O838" s="149"/>
      <c r="P838" s="149"/>
      <c r="Q838" s="149"/>
      <c r="R838" s="149"/>
    </row>
    <row r="839" spans="1:18" s="154" customFormat="1" ht="18.75" customHeight="1" x14ac:dyDescent="0.25">
      <c r="A839" s="245"/>
      <c r="B839" s="246" t="s">
        <v>1606</v>
      </c>
      <c r="C839" s="246"/>
      <c r="D839" s="246"/>
      <c r="E839" s="246"/>
      <c r="F839" s="247"/>
      <c r="G839" s="248">
        <v>13.25</v>
      </c>
      <c r="H839" s="249">
        <v>3.3</v>
      </c>
      <c r="I839" s="249">
        <f t="shared" si="50"/>
        <v>3.6150000000000002</v>
      </c>
      <c r="J839" s="248"/>
      <c r="K839" s="249">
        <f t="shared" si="49"/>
        <v>40.11</v>
      </c>
      <c r="L839" s="250"/>
      <c r="M839" s="149"/>
      <c r="N839" s="149"/>
      <c r="O839" s="149"/>
      <c r="P839" s="149"/>
      <c r="Q839" s="149"/>
      <c r="R839" s="149"/>
    </row>
    <row r="840" spans="1:18" s="154" customFormat="1" ht="18.75" customHeight="1" x14ac:dyDescent="0.25">
      <c r="A840" s="245"/>
      <c r="B840" s="246" t="s">
        <v>1607</v>
      </c>
      <c r="C840" s="246"/>
      <c r="D840" s="246"/>
      <c r="E840" s="246"/>
      <c r="F840" s="247"/>
      <c r="G840" s="248">
        <v>13.25</v>
      </c>
      <c r="H840" s="249">
        <v>3.3</v>
      </c>
      <c r="I840" s="249">
        <f t="shared" si="50"/>
        <v>3.6150000000000002</v>
      </c>
      <c r="J840" s="248"/>
      <c r="K840" s="249">
        <f t="shared" si="49"/>
        <v>40.11</v>
      </c>
      <c r="L840" s="250"/>
      <c r="M840" s="149"/>
      <c r="N840" s="149"/>
      <c r="O840" s="149"/>
      <c r="P840" s="149"/>
      <c r="Q840" s="149"/>
      <c r="R840" s="149"/>
    </row>
    <row r="841" spans="1:18" s="154" customFormat="1" ht="18.75" customHeight="1" x14ac:dyDescent="0.25">
      <c r="A841" s="245"/>
      <c r="B841" s="246" t="s">
        <v>1608</v>
      </c>
      <c r="C841" s="246"/>
      <c r="D841" s="246"/>
      <c r="E841" s="246"/>
      <c r="F841" s="247"/>
      <c r="G841" s="248">
        <v>13.25</v>
      </c>
      <c r="H841" s="249">
        <v>3.3</v>
      </c>
      <c r="I841" s="249">
        <f t="shared" si="50"/>
        <v>3.6150000000000002</v>
      </c>
      <c r="J841" s="248"/>
      <c r="K841" s="249">
        <f t="shared" si="49"/>
        <v>40.11</v>
      </c>
      <c r="L841" s="250"/>
      <c r="M841" s="149"/>
      <c r="N841" s="149"/>
      <c r="O841" s="149"/>
      <c r="P841" s="149"/>
      <c r="Q841" s="149"/>
      <c r="R841" s="149"/>
    </row>
    <row r="842" spans="1:18" s="154" customFormat="1" ht="18.75" customHeight="1" x14ac:dyDescent="0.25">
      <c r="A842" s="245"/>
      <c r="B842" s="246" t="s">
        <v>1609</v>
      </c>
      <c r="C842" s="246"/>
      <c r="D842" s="246"/>
      <c r="E842" s="246"/>
      <c r="F842" s="247"/>
      <c r="G842" s="248">
        <v>13.25</v>
      </c>
      <c r="H842" s="249">
        <v>3.3</v>
      </c>
      <c r="I842" s="249">
        <f t="shared" si="50"/>
        <v>3.6150000000000002</v>
      </c>
      <c r="J842" s="248"/>
      <c r="K842" s="249">
        <f t="shared" si="49"/>
        <v>40.11</v>
      </c>
      <c r="L842" s="250"/>
      <c r="M842" s="149"/>
      <c r="N842" s="149"/>
      <c r="O842" s="149"/>
      <c r="P842" s="149"/>
      <c r="Q842" s="149"/>
      <c r="R842" s="149"/>
    </row>
    <row r="843" spans="1:18" s="154" customFormat="1" ht="18.75" customHeight="1" x14ac:dyDescent="0.25">
      <c r="A843" s="245"/>
      <c r="B843" s="246" t="s">
        <v>1671</v>
      </c>
      <c r="C843" s="246"/>
      <c r="D843" s="246"/>
      <c r="E843" s="246"/>
      <c r="F843" s="247"/>
      <c r="G843" s="248">
        <v>18.18</v>
      </c>
      <c r="H843" s="249">
        <v>3.3</v>
      </c>
      <c r="I843" s="249">
        <f>2*2.3*0.75+2.1*0.9</f>
        <v>5.34</v>
      </c>
      <c r="J843" s="248"/>
      <c r="K843" s="249">
        <f t="shared" si="49"/>
        <v>54.65</v>
      </c>
      <c r="L843" s="250"/>
      <c r="M843" s="149"/>
      <c r="N843" s="149"/>
      <c r="O843" s="149"/>
      <c r="P843" s="149"/>
      <c r="Q843" s="149"/>
      <c r="R843" s="149"/>
    </row>
    <row r="844" spans="1:18" s="154" customFormat="1" ht="18.75" customHeight="1" x14ac:dyDescent="0.25">
      <c r="A844" s="245"/>
      <c r="B844" s="246" t="s">
        <v>1672</v>
      </c>
      <c r="C844" s="246"/>
      <c r="D844" s="246"/>
      <c r="E844" s="246"/>
      <c r="F844" s="247"/>
      <c r="G844" s="248">
        <v>13.11</v>
      </c>
      <c r="H844" s="249">
        <v>3.3</v>
      </c>
      <c r="I844" s="249">
        <f>2.1*0.9+2.3*0.75</f>
        <v>3.6150000000000002</v>
      </c>
      <c r="J844" s="248"/>
      <c r="K844" s="249">
        <f t="shared" si="49"/>
        <v>39.64</v>
      </c>
      <c r="L844" s="250"/>
      <c r="M844" s="149"/>
      <c r="N844" s="149"/>
      <c r="O844" s="149"/>
      <c r="P844" s="149"/>
      <c r="Q844" s="149"/>
      <c r="R844" s="149"/>
    </row>
    <row r="845" spans="1:18" s="154" customFormat="1" ht="18.75" customHeight="1" x14ac:dyDescent="0.25">
      <c r="A845" s="245"/>
      <c r="B845" s="246" t="s">
        <v>1610</v>
      </c>
      <c r="C845" s="246"/>
      <c r="D845" s="246"/>
      <c r="E845" s="246"/>
      <c r="F845" s="247"/>
      <c r="G845" s="248">
        <v>13</v>
      </c>
      <c r="H845" s="249">
        <v>3.3</v>
      </c>
      <c r="I845" s="249">
        <f>2.1*0.9+2.3*0.75</f>
        <v>3.6150000000000002</v>
      </c>
      <c r="J845" s="248"/>
      <c r="K845" s="249">
        <f t="shared" si="49"/>
        <v>39.28</v>
      </c>
      <c r="L845" s="250"/>
      <c r="M845" s="149"/>
      <c r="N845" s="149"/>
      <c r="O845" s="149"/>
      <c r="P845" s="149"/>
      <c r="Q845" s="149"/>
      <c r="R845" s="149"/>
    </row>
    <row r="846" spans="1:18" s="154" customFormat="1" ht="18.75" customHeight="1" x14ac:dyDescent="0.25">
      <c r="A846" s="245"/>
      <c r="B846" s="246" t="s">
        <v>1569</v>
      </c>
      <c r="C846" s="246"/>
      <c r="D846" s="246"/>
      <c r="E846" s="246"/>
      <c r="F846" s="247"/>
      <c r="G846" s="248">
        <v>13</v>
      </c>
      <c r="H846" s="249">
        <f t="shared" ref="H846:H847" si="51">3.3-1.9</f>
        <v>1.4</v>
      </c>
      <c r="I846" s="249">
        <f>2.1*0.9+2.3*0.75</f>
        <v>3.6150000000000002</v>
      </c>
      <c r="J846" s="248"/>
      <c r="K846" s="249">
        <f t="shared" si="49"/>
        <v>14.58</v>
      </c>
      <c r="L846" s="250"/>
      <c r="M846" s="149"/>
      <c r="N846" s="149"/>
      <c r="O846" s="149"/>
      <c r="P846" s="149"/>
      <c r="Q846" s="149"/>
      <c r="R846" s="149"/>
    </row>
    <row r="847" spans="1:18" s="154" customFormat="1" ht="18.75" customHeight="1" x14ac:dyDescent="0.25">
      <c r="A847" s="245"/>
      <c r="B847" s="246" t="s">
        <v>1584</v>
      </c>
      <c r="C847" s="246"/>
      <c r="D847" s="246"/>
      <c r="E847" s="246"/>
      <c r="F847" s="247"/>
      <c r="G847" s="248">
        <v>13</v>
      </c>
      <c r="H847" s="249">
        <f t="shared" si="51"/>
        <v>1.4</v>
      </c>
      <c r="I847" s="249">
        <f>2.1*0.9+2.3*0.75</f>
        <v>3.6150000000000002</v>
      </c>
      <c r="J847" s="248"/>
      <c r="K847" s="249">
        <f t="shared" si="49"/>
        <v>14.58</v>
      </c>
      <c r="L847" s="250"/>
      <c r="M847" s="149"/>
      <c r="N847" s="149"/>
      <c r="O847" s="149"/>
      <c r="P847" s="149"/>
      <c r="Q847" s="149"/>
      <c r="R847" s="149"/>
    </row>
    <row r="848" spans="1:18" s="154" customFormat="1" ht="18.75" customHeight="1" x14ac:dyDescent="0.25">
      <c r="A848" s="245"/>
      <c r="B848" s="246" t="s">
        <v>1391</v>
      </c>
      <c r="C848" s="246"/>
      <c r="D848" s="246"/>
      <c r="E848" s="246"/>
      <c r="F848" s="247"/>
      <c r="G848" s="248">
        <v>10.86</v>
      </c>
      <c r="H848" s="249">
        <v>3.3</v>
      </c>
      <c r="I848" s="249">
        <f>1.4*0.7+2.1*0.9</f>
        <v>2.87</v>
      </c>
      <c r="J848" s="248"/>
      <c r="K848" s="249">
        <f t="shared" si="49"/>
        <v>32.96</v>
      </c>
      <c r="L848" s="250"/>
      <c r="M848" s="149"/>
      <c r="N848" s="149"/>
      <c r="O848" s="149"/>
      <c r="P848" s="149"/>
      <c r="Q848" s="149"/>
      <c r="R848" s="149"/>
    </row>
    <row r="849" spans="1:18" s="154" customFormat="1" ht="18.75" customHeight="1" x14ac:dyDescent="0.25">
      <c r="A849" s="245"/>
      <c r="B849" s="246" t="s">
        <v>1453</v>
      </c>
      <c r="C849" s="246"/>
      <c r="D849" s="246"/>
      <c r="E849" s="246"/>
      <c r="F849" s="247"/>
      <c r="G849" s="248">
        <v>9.5</v>
      </c>
      <c r="H849" s="249">
        <v>3.3</v>
      </c>
      <c r="I849" s="249">
        <f>2*0.9*2.1</f>
        <v>3.7800000000000002</v>
      </c>
      <c r="J849" s="248"/>
      <c r="K849" s="249">
        <f t="shared" si="49"/>
        <v>27.57</v>
      </c>
      <c r="L849" s="250"/>
      <c r="M849" s="149"/>
      <c r="N849" s="149"/>
      <c r="O849" s="149"/>
      <c r="P849" s="149"/>
      <c r="Q849" s="149"/>
      <c r="R849" s="149"/>
    </row>
    <row r="850" spans="1:18" s="154" customFormat="1" ht="18.75" customHeight="1" x14ac:dyDescent="0.25">
      <c r="A850" s="245"/>
      <c r="B850" s="246" t="s">
        <v>812</v>
      </c>
      <c r="C850" s="246"/>
      <c r="D850" s="246"/>
      <c r="E850" s="246"/>
      <c r="F850" s="247"/>
      <c r="G850" s="248">
        <v>25.74</v>
      </c>
      <c r="H850" s="249">
        <v>3.3</v>
      </c>
      <c r="I850" s="249">
        <f>0.9*0.65+1.2*2.1+2*2.1*0.9+2.3*0.75+2.1*1.2</f>
        <v>11.129999999999999</v>
      </c>
      <c r="J850" s="248"/>
      <c r="K850" s="249">
        <f t="shared" si="49"/>
        <v>73.81</v>
      </c>
      <c r="L850" s="250"/>
      <c r="M850" s="149"/>
      <c r="N850" s="149"/>
      <c r="O850" s="149"/>
      <c r="P850" s="149"/>
      <c r="Q850" s="149"/>
      <c r="R850" s="149"/>
    </row>
    <row r="851" spans="1:18" s="154" customFormat="1" ht="18.75" customHeight="1" x14ac:dyDescent="0.25">
      <c r="A851" s="245"/>
      <c r="B851" s="246" t="s">
        <v>813</v>
      </c>
      <c r="C851" s="246"/>
      <c r="D851" s="246"/>
      <c r="E851" s="246"/>
      <c r="F851" s="247"/>
      <c r="G851" s="248">
        <v>35.200000000000003</v>
      </c>
      <c r="H851" s="249">
        <v>3.3</v>
      </c>
      <c r="I851" s="249">
        <f>12*0.9*2.1-1.2*2.1-1.2*2.1</f>
        <v>17.640000000000004</v>
      </c>
      <c r="J851" s="248"/>
      <c r="K851" s="249">
        <f t="shared" si="49"/>
        <v>98.52</v>
      </c>
      <c r="L851" s="250"/>
      <c r="M851" s="149"/>
      <c r="N851" s="149"/>
      <c r="O851" s="149"/>
      <c r="P851" s="149"/>
      <c r="Q851" s="149"/>
      <c r="R851" s="149"/>
    </row>
    <row r="852" spans="1:18" s="154" customFormat="1" ht="20.100000000000001" customHeight="1" x14ac:dyDescent="0.25">
      <c r="A852" s="475" t="s">
        <v>1409</v>
      </c>
      <c r="B852" s="476"/>
      <c r="C852" s="476"/>
      <c r="D852" s="476"/>
      <c r="E852" s="476"/>
      <c r="F852" s="476"/>
      <c r="G852" s="476"/>
      <c r="H852" s="476"/>
      <c r="I852" s="476"/>
      <c r="J852" s="476"/>
      <c r="K852" s="477"/>
      <c r="L852" s="250"/>
      <c r="M852" s="149"/>
      <c r="N852" s="149"/>
      <c r="O852" s="149"/>
      <c r="P852" s="149"/>
      <c r="Q852" s="149"/>
      <c r="R852" s="149"/>
    </row>
    <row r="853" spans="1:18" s="154" customFormat="1" ht="20.100000000000001" customHeight="1" x14ac:dyDescent="0.25">
      <c r="A853" s="245"/>
      <c r="B853" s="246" t="s">
        <v>1556</v>
      </c>
      <c r="C853" s="246"/>
      <c r="D853" s="246"/>
      <c r="E853" s="246"/>
      <c r="F853" s="247"/>
      <c r="G853" s="249">
        <f>23.6</f>
        <v>23.6</v>
      </c>
      <c r="H853" s="249">
        <v>3.3</v>
      </c>
      <c r="I853" s="249">
        <f>0.9*2.1+2.3*0.75</f>
        <v>3.6150000000000002</v>
      </c>
      <c r="J853" s="248"/>
      <c r="K853" s="249">
        <f>TRUNC(G853*H853-I853,2)</f>
        <v>74.260000000000005</v>
      </c>
      <c r="L853" s="250"/>
      <c r="M853" s="149"/>
      <c r="N853" s="149"/>
      <c r="O853" s="149"/>
      <c r="P853" s="149"/>
      <c r="Q853" s="149"/>
      <c r="R853" s="149"/>
    </row>
    <row r="854" spans="1:18" s="154" customFormat="1" ht="20.100000000000001" customHeight="1" x14ac:dyDescent="0.25">
      <c r="A854" s="245"/>
      <c r="B854" s="246" t="s">
        <v>811</v>
      </c>
      <c r="C854" s="246"/>
      <c r="D854" s="246"/>
      <c r="E854" s="246"/>
      <c r="F854" s="247"/>
      <c r="G854" s="249">
        <f>11.5</f>
        <v>11.5</v>
      </c>
      <c r="H854" s="249">
        <v>3.3</v>
      </c>
      <c r="I854" s="249">
        <f>0.9*2.1</f>
        <v>1.8900000000000001</v>
      </c>
      <c r="J854" s="248"/>
      <c r="K854" s="249">
        <f t="shared" ref="K854:K886" si="52">TRUNC(G854*H854-I854,2)</f>
        <v>36.06</v>
      </c>
      <c r="L854" s="250"/>
      <c r="M854" s="149"/>
      <c r="N854" s="149"/>
      <c r="O854" s="149"/>
      <c r="P854" s="149"/>
      <c r="Q854" s="149"/>
      <c r="R854" s="149"/>
    </row>
    <row r="855" spans="1:18" s="154" customFormat="1" ht="20.100000000000001" customHeight="1" x14ac:dyDescent="0.25">
      <c r="A855" s="245"/>
      <c r="B855" s="246" t="s">
        <v>1673</v>
      </c>
      <c r="C855" s="246"/>
      <c r="D855" s="246"/>
      <c r="E855" s="246"/>
      <c r="F855" s="247"/>
      <c r="G855" s="249">
        <f>8.2</f>
        <v>8.1999999999999993</v>
      </c>
      <c r="H855" s="249">
        <f>3.3-1.9</f>
        <v>1.4</v>
      </c>
      <c r="I855" s="249">
        <f>0.9*2.1+1.4*0.7</f>
        <v>2.87</v>
      </c>
      <c r="J855" s="248"/>
      <c r="K855" s="249">
        <f t="shared" si="52"/>
        <v>8.61</v>
      </c>
      <c r="L855" s="250"/>
      <c r="M855" s="149"/>
      <c r="N855" s="149"/>
      <c r="O855" s="149"/>
      <c r="P855" s="149"/>
      <c r="Q855" s="149"/>
      <c r="R855" s="149"/>
    </row>
    <row r="856" spans="1:18" s="154" customFormat="1" ht="20.100000000000001" customHeight="1" x14ac:dyDescent="0.25">
      <c r="A856" s="245"/>
      <c r="B856" s="246" t="s">
        <v>1674</v>
      </c>
      <c r="C856" s="246"/>
      <c r="D856" s="246"/>
      <c r="E856" s="246"/>
      <c r="F856" s="247"/>
      <c r="G856" s="249">
        <f>8.2</f>
        <v>8.1999999999999993</v>
      </c>
      <c r="H856" s="249">
        <f>3.3-1.9</f>
        <v>1.4</v>
      </c>
      <c r="I856" s="249">
        <f>0.9*2.1+1.4*0.7</f>
        <v>2.87</v>
      </c>
      <c r="J856" s="248"/>
      <c r="K856" s="249">
        <f t="shared" si="52"/>
        <v>8.61</v>
      </c>
      <c r="L856" s="250"/>
      <c r="M856" s="149"/>
      <c r="N856" s="149"/>
      <c r="O856" s="149"/>
      <c r="P856" s="149"/>
      <c r="Q856" s="149"/>
      <c r="R856" s="149"/>
    </row>
    <row r="857" spans="1:18" s="154" customFormat="1" ht="20.100000000000001" customHeight="1" x14ac:dyDescent="0.25">
      <c r="A857" s="245"/>
      <c r="B857" s="246" t="s">
        <v>813</v>
      </c>
      <c r="C857" s="246"/>
      <c r="D857" s="246"/>
      <c r="E857" s="246"/>
      <c r="F857" s="247"/>
      <c r="G857" s="249">
        <f>26.86-4.95-1</f>
        <v>20.91</v>
      </c>
      <c r="H857" s="249">
        <v>3.3</v>
      </c>
      <c r="I857" s="249">
        <f>(4.95+1)*2.1+2.3*0.8</f>
        <v>14.335000000000001</v>
      </c>
      <c r="J857" s="248"/>
      <c r="K857" s="249">
        <f t="shared" si="52"/>
        <v>54.66</v>
      </c>
      <c r="L857" s="250"/>
      <c r="M857" s="149"/>
      <c r="N857" s="149"/>
      <c r="O857" s="149"/>
      <c r="P857" s="149"/>
      <c r="Q857" s="149"/>
      <c r="R857" s="149"/>
    </row>
    <row r="858" spans="1:18" s="154" customFormat="1" ht="20.100000000000001" customHeight="1" x14ac:dyDescent="0.25">
      <c r="A858" s="245"/>
      <c r="B858" s="246" t="s">
        <v>1675</v>
      </c>
      <c r="C858" s="246"/>
      <c r="D858" s="246"/>
      <c r="E858" s="246"/>
      <c r="F858" s="247"/>
      <c r="G858" s="249">
        <f>49.45</f>
        <v>49.45</v>
      </c>
      <c r="H858" s="249">
        <v>3.3</v>
      </c>
      <c r="I858" s="249">
        <f>2.1*9*0.9+2.3*0.75</f>
        <v>18.735000000000003</v>
      </c>
      <c r="J858" s="248"/>
      <c r="K858" s="249">
        <f t="shared" si="52"/>
        <v>144.44999999999999</v>
      </c>
      <c r="L858" s="250"/>
      <c r="M858" s="149"/>
      <c r="N858" s="149"/>
      <c r="O858" s="149"/>
      <c r="P858" s="149"/>
      <c r="Q858" s="149"/>
      <c r="R858" s="149"/>
    </row>
    <row r="859" spans="1:18" s="154" customFormat="1" ht="20.100000000000001" customHeight="1" x14ac:dyDescent="0.25">
      <c r="A859" s="245"/>
      <c r="B859" s="246" t="s">
        <v>1558</v>
      </c>
      <c r="C859" s="246"/>
      <c r="D859" s="246"/>
      <c r="E859" s="246"/>
      <c r="F859" s="247"/>
      <c r="G859" s="249">
        <f>29.5</f>
        <v>29.5</v>
      </c>
      <c r="H859" s="249">
        <v>3.3</v>
      </c>
      <c r="I859" s="249">
        <f>2.1*0.9+2*2.3*0.75</f>
        <v>5.34</v>
      </c>
      <c r="J859" s="248"/>
      <c r="K859" s="249">
        <f t="shared" si="52"/>
        <v>92.01</v>
      </c>
      <c r="L859" s="250"/>
      <c r="M859" s="149"/>
      <c r="N859" s="149"/>
      <c r="O859" s="149"/>
      <c r="P859" s="149"/>
      <c r="Q859" s="149"/>
      <c r="R859" s="149"/>
    </row>
    <row r="860" spans="1:18" s="154" customFormat="1" ht="18.75" customHeight="1" x14ac:dyDescent="0.25">
      <c r="A860" s="245"/>
      <c r="B860" s="246" t="s">
        <v>1558</v>
      </c>
      <c r="C860" s="246"/>
      <c r="D860" s="246"/>
      <c r="E860" s="246"/>
      <c r="F860" s="247"/>
      <c r="G860" s="249">
        <f>15.99</f>
        <v>15.99</v>
      </c>
      <c r="H860" s="249">
        <v>3.3</v>
      </c>
      <c r="I860" s="249">
        <f>2.1*0.9+2*2.3*0.75</f>
        <v>5.34</v>
      </c>
      <c r="J860" s="248"/>
      <c r="K860" s="249">
        <f t="shared" si="52"/>
        <v>47.42</v>
      </c>
      <c r="L860" s="250"/>
      <c r="M860" s="149"/>
      <c r="N860" s="149"/>
      <c r="O860" s="149"/>
      <c r="P860" s="149"/>
      <c r="Q860" s="149"/>
      <c r="R860" s="149"/>
    </row>
    <row r="861" spans="1:18" s="154" customFormat="1" ht="18.75" customHeight="1" x14ac:dyDescent="0.25">
      <c r="A861" s="245"/>
      <c r="B861" s="246" t="s">
        <v>1676</v>
      </c>
      <c r="C861" s="246"/>
      <c r="D861" s="246"/>
      <c r="E861" s="246"/>
      <c r="F861" s="247"/>
      <c r="G861" s="249">
        <f>16.9</f>
        <v>16.899999999999999</v>
      </c>
      <c r="H861" s="249">
        <v>3.3</v>
      </c>
      <c r="I861" s="249">
        <f>2.1*0.9+2.3*1.5+1.2*0.75</f>
        <v>6.24</v>
      </c>
      <c r="J861" s="248"/>
      <c r="K861" s="249">
        <f t="shared" si="52"/>
        <v>49.53</v>
      </c>
      <c r="L861" s="250"/>
      <c r="M861" s="149"/>
      <c r="N861" s="149"/>
      <c r="O861" s="149"/>
      <c r="P861" s="149"/>
      <c r="Q861" s="149"/>
      <c r="R861" s="149"/>
    </row>
    <row r="862" spans="1:18" s="154" customFormat="1" ht="18.75" customHeight="1" x14ac:dyDescent="0.25">
      <c r="A862" s="245"/>
      <c r="B862" s="246" t="s">
        <v>1558</v>
      </c>
      <c r="C862" s="246"/>
      <c r="D862" s="246"/>
      <c r="E862" s="246"/>
      <c r="F862" s="247"/>
      <c r="G862" s="249">
        <f>14.5</f>
        <v>14.5</v>
      </c>
      <c r="H862" s="249">
        <v>3.3</v>
      </c>
      <c r="I862" s="249">
        <f>2.1*0.9+2.3*0.75</f>
        <v>3.6150000000000002</v>
      </c>
      <c r="J862" s="248"/>
      <c r="K862" s="249">
        <f t="shared" si="52"/>
        <v>44.23</v>
      </c>
      <c r="L862" s="250"/>
      <c r="M862" s="149"/>
      <c r="N862" s="149"/>
      <c r="O862" s="149"/>
      <c r="P862" s="149"/>
      <c r="Q862" s="149"/>
      <c r="R862" s="149"/>
    </row>
    <row r="863" spans="1:18" s="154" customFormat="1" ht="18.75" customHeight="1" x14ac:dyDescent="0.25">
      <c r="A863" s="245"/>
      <c r="B863" s="246" t="s">
        <v>1558</v>
      </c>
      <c r="C863" s="246"/>
      <c r="D863" s="246"/>
      <c r="E863" s="246"/>
      <c r="F863" s="247"/>
      <c r="G863" s="249">
        <f>14.5</f>
        <v>14.5</v>
      </c>
      <c r="H863" s="249">
        <v>3.3</v>
      </c>
      <c r="I863" s="249">
        <f>2.1*0.9+2.3*0.75</f>
        <v>3.6150000000000002</v>
      </c>
      <c r="J863" s="248"/>
      <c r="K863" s="249">
        <f t="shared" si="52"/>
        <v>44.23</v>
      </c>
      <c r="L863" s="250"/>
      <c r="M863" s="149"/>
      <c r="N863" s="149"/>
      <c r="O863" s="149"/>
      <c r="P863" s="149"/>
      <c r="Q863" s="149"/>
      <c r="R863" s="149"/>
    </row>
    <row r="864" spans="1:18" s="154" customFormat="1" ht="18.75" customHeight="1" x14ac:dyDescent="0.25">
      <c r="A864" s="245"/>
      <c r="B864" s="246" t="s">
        <v>1677</v>
      </c>
      <c r="C864" s="246"/>
      <c r="D864" s="246"/>
      <c r="E864" s="246"/>
      <c r="F864" s="247"/>
      <c r="G864" s="249">
        <f>9.4</f>
        <v>9.4</v>
      </c>
      <c r="H864" s="249">
        <f t="shared" ref="H864:H865" si="53">3.3-1.9</f>
        <v>1.4</v>
      </c>
      <c r="I864" s="249">
        <f>2.1*0.9+2.3*0.75</f>
        <v>3.6150000000000002</v>
      </c>
      <c r="J864" s="248"/>
      <c r="K864" s="249">
        <f t="shared" si="52"/>
        <v>9.5399999999999991</v>
      </c>
      <c r="L864" s="250"/>
      <c r="M864" s="149"/>
      <c r="N864" s="149"/>
      <c r="O864" s="149"/>
      <c r="P864" s="149"/>
      <c r="Q864" s="149"/>
      <c r="R864" s="149"/>
    </row>
    <row r="865" spans="1:18" s="154" customFormat="1" ht="18.75" customHeight="1" x14ac:dyDescent="0.25">
      <c r="A865" s="245"/>
      <c r="B865" s="246" t="s">
        <v>745</v>
      </c>
      <c r="C865" s="246"/>
      <c r="D865" s="246"/>
      <c r="E865" s="246"/>
      <c r="F865" s="247"/>
      <c r="G865" s="249">
        <f>9.4</f>
        <v>9.4</v>
      </c>
      <c r="H865" s="249">
        <f t="shared" si="53"/>
        <v>1.4</v>
      </c>
      <c r="I865" s="249">
        <f>2.1*0.9+2.3*0.75</f>
        <v>3.6150000000000002</v>
      </c>
      <c r="J865" s="248"/>
      <c r="K865" s="249">
        <f t="shared" si="52"/>
        <v>9.5399999999999991</v>
      </c>
      <c r="L865" s="250"/>
      <c r="M865" s="149"/>
      <c r="N865" s="149"/>
      <c r="O865" s="149"/>
      <c r="P865" s="149"/>
      <c r="Q865" s="149"/>
      <c r="R865" s="149"/>
    </row>
    <row r="866" spans="1:18" s="154" customFormat="1" ht="18.75" customHeight="1" x14ac:dyDescent="0.25">
      <c r="A866" s="245"/>
      <c r="B866" s="246" t="s">
        <v>1678</v>
      </c>
      <c r="C866" s="246"/>
      <c r="D866" s="246"/>
      <c r="E866" s="246"/>
      <c r="F866" s="247"/>
      <c r="G866" s="249">
        <f>29.5</f>
        <v>29.5</v>
      </c>
      <c r="H866" s="249">
        <v>3.3</v>
      </c>
      <c r="I866" s="249">
        <f>(2.35+2.4+0.9)*2.1+4*2.3*0.75</f>
        <v>18.765000000000001</v>
      </c>
      <c r="J866" s="248"/>
      <c r="K866" s="249">
        <f t="shared" si="52"/>
        <v>78.58</v>
      </c>
      <c r="L866" s="250"/>
      <c r="M866" s="149"/>
      <c r="N866" s="149"/>
      <c r="O866" s="149"/>
      <c r="P866" s="149"/>
      <c r="Q866" s="149"/>
      <c r="R866" s="149"/>
    </row>
    <row r="867" spans="1:18" s="154" customFormat="1" ht="18.75" customHeight="1" x14ac:dyDescent="0.25">
      <c r="A867" s="245"/>
      <c r="B867" s="246" t="s">
        <v>1679</v>
      </c>
      <c r="C867" s="246"/>
      <c r="D867" s="246"/>
      <c r="E867" s="246"/>
      <c r="F867" s="247"/>
      <c r="G867" s="249">
        <f>14.45</f>
        <v>14.45</v>
      </c>
      <c r="H867" s="249">
        <v>3.3</v>
      </c>
      <c r="I867" s="249">
        <f>0.9*2.1+2.3*0.75</f>
        <v>3.6150000000000002</v>
      </c>
      <c r="J867" s="248"/>
      <c r="K867" s="249">
        <f t="shared" si="52"/>
        <v>44.07</v>
      </c>
      <c r="L867" s="250"/>
      <c r="M867" s="149"/>
      <c r="N867" s="149"/>
      <c r="O867" s="149"/>
      <c r="P867" s="149"/>
      <c r="Q867" s="149"/>
      <c r="R867" s="149"/>
    </row>
    <row r="868" spans="1:18" s="154" customFormat="1" ht="18.75" customHeight="1" x14ac:dyDescent="0.25">
      <c r="A868" s="245"/>
      <c r="B868" s="246" t="s">
        <v>1680</v>
      </c>
      <c r="C868" s="246"/>
      <c r="D868" s="246"/>
      <c r="E868" s="246"/>
      <c r="F868" s="247"/>
      <c r="G868" s="249">
        <f>14.45</f>
        <v>14.45</v>
      </c>
      <c r="H868" s="249">
        <v>3.3</v>
      </c>
      <c r="I868" s="249">
        <f>(2.4+2.4)*2.1+2.3*0.75</f>
        <v>11.805</v>
      </c>
      <c r="J868" s="248"/>
      <c r="K868" s="249">
        <f t="shared" si="52"/>
        <v>35.880000000000003</v>
      </c>
      <c r="L868" s="250"/>
      <c r="M868" s="149"/>
      <c r="N868" s="149"/>
      <c r="O868" s="149"/>
      <c r="P868" s="149"/>
      <c r="Q868" s="149"/>
      <c r="R868" s="149"/>
    </row>
    <row r="869" spans="1:18" s="154" customFormat="1" ht="20.100000000000001" customHeight="1" x14ac:dyDescent="0.25">
      <c r="A869" s="475" t="s">
        <v>1411</v>
      </c>
      <c r="B869" s="476"/>
      <c r="C869" s="476"/>
      <c r="D869" s="476"/>
      <c r="E869" s="476"/>
      <c r="F869" s="476"/>
      <c r="G869" s="476"/>
      <c r="H869" s="476"/>
      <c r="I869" s="476"/>
      <c r="J869" s="476"/>
      <c r="K869" s="477"/>
      <c r="L869" s="250"/>
      <c r="M869" s="149"/>
      <c r="N869" s="149"/>
      <c r="O869" s="149"/>
      <c r="P869" s="149"/>
      <c r="Q869" s="149"/>
      <c r="R869" s="149"/>
    </row>
    <row r="870" spans="1:18" s="154" customFormat="1" ht="20.100000000000001" customHeight="1" x14ac:dyDescent="0.25">
      <c r="A870" s="245"/>
      <c r="B870" s="246" t="s">
        <v>1466</v>
      </c>
      <c r="C870" s="246"/>
      <c r="D870" s="246"/>
      <c r="E870" s="246"/>
      <c r="F870" s="247"/>
      <c r="G870" s="249">
        <v>13.3</v>
      </c>
      <c r="H870" s="249">
        <v>3.3</v>
      </c>
      <c r="I870" s="249">
        <f>0.9*2.1+2.3*0.8</f>
        <v>3.73</v>
      </c>
      <c r="J870" s="248"/>
      <c r="K870" s="249">
        <f t="shared" si="52"/>
        <v>40.159999999999997</v>
      </c>
      <c r="L870" s="250"/>
      <c r="M870" s="149"/>
      <c r="N870" s="149"/>
      <c r="O870" s="149"/>
      <c r="P870" s="149"/>
      <c r="Q870" s="149"/>
      <c r="R870" s="149"/>
    </row>
    <row r="871" spans="1:18" s="154" customFormat="1" ht="20.100000000000001" customHeight="1" x14ac:dyDescent="0.25">
      <c r="A871" s="245"/>
      <c r="B871" s="246" t="s">
        <v>1467</v>
      </c>
      <c r="C871" s="246"/>
      <c r="D871" s="246"/>
      <c r="E871" s="246"/>
      <c r="F871" s="247"/>
      <c r="G871" s="249">
        <v>12.6</v>
      </c>
      <c r="H871" s="249">
        <v>3.3</v>
      </c>
      <c r="I871" s="249">
        <f>0.9*2.1+2.15*0.8</f>
        <v>3.6100000000000003</v>
      </c>
      <c r="J871" s="248"/>
      <c r="K871" s="249">
        <f t="shared" si="52"/>
        <v>37.97</v>
      </c>
      <c r="L871" s="250"/>
      <c r="M871" s="149"/>
      <c r="N871" s="149"/>
      <c r="O871" s="149"/>
      <c r="P871" s="149"/>
      <c r="Q871" s="149"/>
      <c r="R871" s="149"/>
    </row>
    <row r="872" spans="1:18" s="154" customFormat="1" ht="20.100000000000001" customHeight="1" x14ac:dyDescent="0.25">
      <c r="A872" s="245"/>
      <c r="B872" s="246" t="s">
        <v>1681</v>
      </c>
      <c r="C872" s="246"/>
      <c r="D872" s="246"/>
      <c r="E872" s="246"/>
      <c r="F872" s="247"/>
      <c r="G872" s="249">
        <v>18.8</v>
      </c>
      <c r="H872" s="249">
        <v>3.3</v>
      </c>
      <c r="I872" s="249">
        <f>0.9*2.1+2.3*0.8</f>
        <v>3.73</v>
      </c>
      <c r="J872" s="248"/>
      <c r="K872" s="249">
        <f t="shared" si="52"/>
        <v>58.31</v>
      </c>
      <c r="L872" s="250"/>
      <c r="M872" s="149"/>
      <c r="N872" s="149"/>
      <c r="O872" s="149"/>
      <c r="P872" s="149"/>
      <c r="Q872" s="149"/>
      <c r="R872" s="149"/>
    </row>
    <row r="873" spans="1:18" s="154" customFormat="1" ht="20.100000000000001" customHeight="1" x14ac:dyDescent="0.25">
      <c r="A873" s="245"/>
      <c r="B873" s="246" t="s">
        <v>813</v>
      </c>
      <c r="C873" s="246"/>
      <c r="D873" s="246"/>
      <c r="E873" s="246"/>
      <c r="F873" s="247"/>
      <c r="G873" s="249">
        <v>49.45</v>
      </c>
      <c r="H873" s="249">
        <v>3.3</v>
      </c>
      <c r="I873" s="249">
        <f>4*2.1*0.9+1.8*3.3+2*2.3*0.75</f>
        <v>16.95</v>
      </c>
      <c r="J873" s="248"/>
      <c r="K873" s="249">
        <f t="shared" si="52"/>
        <v>146.22999999999999</v>
      </c>
      <c r="L873" s="250"/>
      <c r="M873" s="149"/>
      <c r="N873" s="149"/>
      <c r="O873" s="149"/>
      <c r="P873" s="149"/>
      <c r="Q873" s="149"/>
      <c r="R873" s="149"/>
    </row>
    <row r="874" spans="1:18" s="154" customFormat="1" ht="20.100000000000001" customHeight="1" x14ac:dyDescent="0.25">
      <c r="A874" s="267"/>
      <c r="B874" s="246" t="s">
        <v>1682</v>
      </c>
      <c r="C874" s="246"/>
      <c r="D874" s="246"/>
      <c r="E874" s="246"/>
      <c r="F874" s="247"/>
      <c r="G874" s="249">
        <f>17.5</f>
        <v>17.5</v>
      </c>
      <c r="H874" s="249">
        <v>3.3</v>
      </c>
      <c r="I874" s="249">
        <f>2.1*0.9+2*2.3*1.5</f>
        <v>8.7899999999999991</v>
      </c>
      <c r="J874" s="248"/>
      <c r="K874" s="249">
        <f t="shared" si="52"/>
        <v>48.96</v>
      </c>
      <c r="L874" s="250"/>
      <c r="M874" s="149"/>
      <c r="N874" s="149"/>
      <c r="O874" s="149"/>
      <c r="P874" s="149"/>
      <c r="Q874" s="149"/>
      <c r="R874" s="149"/>
    </row>
    <row r="875" spans="1:18" s="154" customFormat="1" ht="20.100000000000001" customHeight="1" x14ac:dyDescent="0.25">
      <c r="A875" s="267"/>
      <c r="B875" s="246" t="s">
        <v>1665</v>
      </c>
      <c r="C875" s="246"/>
      <c r="D875" s="246"/>
      <c r="E875" s="246"/>
      <c r="F875" s="247"/>
      <c r="G875" s="249">
        <f>13.1</f>
        <v>13.1</v>
      </c>
      <c r="H875" s="249">
        <v>3.3</v>
      </c>
      <c r="I875" s="249">
        <f>0.9*2.1+2.3*0.75</f>
        <v>3.6150000000000002</v>
      </c>
      <c r="J875" s="248"/>
      <c r="K875" s="249">
        <f t="shared" si="52"/>
        <v>39.61</v>
      </c>
      <c r="L875" s="250"/>
      <c r="M875" s="149"/>
      <c r="N875" s="149"/>
      <c r="O875" s="149"/>
      <c r="P875" s="149"/>
      <c r="Q875" s="149"/>
      <c r="R875" s="149"/>
    </row>
    <row r="876" spans="1:18" s="154" customFormat="1" ht="20.100000000000001" customHeight="1" x14ac:dyDescent="0.25">
      <c r="A876" s="267"/>
      <c r="B876" s="246" t="s">
        <v>1469</v>
      </c>
      <c r="C876" s="246"/>
      <c r="D876" s="246"/>
      <c r="E876" s="246"/>
      <c r="F876" s="247"/>
      <c r="G876" s="249">
        <f>17.2</f>
        <v>17.2</v>
      </c>
      <c r="H876" s="249">
        <v>3.3</v>
      </c>
      <c r="I876" s="249">
        <f>0.9*2.1+1*3.3+2*2.3*1.5</f>
        <v>12.09</v>
      </c>
      <c r="J876" s="248"/>
      <c r="K876" s="249">
        <f t="shared" si="52"/>
        <v>44.67</v>
      </c>
      <c r="L876" s="250"/>
      <c r="M876" s="149"/>
      <c r="N876" s="149"/>
      <c r="O876" s="149"/>
      <c r="P876" s="149"/>
      <c r="Q876" s="149"/>
      <c r="R876" s="149"/>
    </row>
    <row r="877" spans="1:18" s="154" customFormat="1" ht="20.100000000000001" customHeight="1" x14ac:dyDescent="0.25">
      <c r="A877" s="267"/>
      <c r="B877" s="246" t="s">
        <v>1664</v>
      </c>
      <c r="C877" s="246"/>
      <c r="D877" s="246"/>
      <c r="E877" s="246"/>
      <c r="F877" s="247"/>
      <c r="G877" s="249">
        <f>17.1</f>
        <v>17.100000000000001</v>
      </c>
      <c r="H877" s="249">
        <v>3.3</v>
      </c>
      <c r="I877" s="249">
        <f>2.3*2.25+2.1*0.9</f>
        <v>7.0649999999999995</v>
      </c>
      <c r="J877" s="248"/>
      <c r="K877" s="249">
        <f t="shared" si="52"/>
        <v>49.36</v>
      </c>
      <c r="L877" s="250"/>
      <c r="M877" s="149"/>
      <c r="N877" s="149"/>
      <c r="O877" s="149"/>
      <c r="P877" s="149"/>
      <c r="Q877" s="149"/>
      <c r="R877" s="149"/>
    </row>
    <row r="878" spans="1:18" s="154" customFormat="1" ht="20.100000000000001" customHeight="1" x14ac:dyDescent="0.25">
      <c r="A878" s="267"/>
      <c r="B878" s="246" t="s">
        <v>1683</v>
      </c>
      <c r="C878" s="246"/>
      <c r="D878" s="246"/>
      <c r="E878" s="246"/>
      <c r="F878" s="247"/>
      <c r="G878" s="249">
        <f>36.3</f>
        <v>36.299999999999997</v>
      </c>
      <c r="H878" s="249">
        <v>3.3</v>
      </c>
      <c r="I878" s="249">
        <f>4*2.1*0.9+2.45*3.3+1.5*3.3+2.3*0.75+3*2.3*2.25</f>
        <v>37.844999999999999</v>
      </c>
      <c r="J878" s="248"/>
      <c r="K878" s="249">
        <f t="shared" si="52"/>
        <v>81.94</v>
      </c>
      <c r="L878" s="250"/>
      <c r="M878" s="149"/>
      <c r="N878" s="149"/>
      <c r="O878" s="149"/>
      <c r="P878" s="149"/>
      <c r="Q878" s="149"/>
      <c r="R878" s="149"/>
    </row>
    <row r="879" spans="1:18" s="154" customFormat="1" ht="20.100000000000001" customHeight="1" x14ac:dyDescent="0.25">
      <c r="A879" s="267"/>
      <c r="B879" s="246" t="s">
        <v>1684</v>
      </c>
      <c r="C879" s="246"/>
      <c r="D879" s="246"/>
      <c r="E879" s="246"/>
      <c r="F879" s="247"/>
      <c r="G879" s="249">
        <f>17.1</f>
        <v>17.100000000000001</v>
      </c>
      <c r="H879" s="249">
        <v>3.3</v>
      </c>
      <c r="I879" s="249">
        <f>2*2.3*2.25+2.1*0.9</f>
        <v>12.24</v>
      </c>
      <c r="J879" s="248"/>
      <c r="K879" s="249">
        <f t="shared" si="52"/>
        <v>44.19</v>
      </c>
      <c r="L879" s="250"/>
      <c r="M879" s="149"/>
      <c r="N879" s="149"/>
      <c r="O879" s="149"/>
      <c r="P879" s="149"/>
      <c r="Q879" s="149"/>
      <c r="R879" s="149"/>
    </row>
    <row r="880" spans="1:18" s="154" customFormat="1" ht="20.100000000000001" customHeight="1" x14ac:dyDescent="0.25">
      <c r="A880" s="267"/>
      <c r="B880" s="246" t="s">
        <v>1685</v>
      </c>
      <c r="C880" s="246"/>
      <c r="D880" s="246"/>
      <c r="E880" s="246"/>
      <c r="F880" s="247"/>
      <c r="G880" s="249">
        <f>12.9</f>
        <v>12.9</v>
      </c>
      <c r="H880" s="249">
        <v>3.3</v>
      </c>
      <c r="I880" s="249">
        <f>0.9*2.1+2.3*2.25</f>
        <v>7.0649999999999995</v>
      </c>
      <c r="J880" s="248"/>
      <c r="K880" s="249">
        <f t="shared" si="52"/>
        <v>35.5</v>
      </c>
      <c r="L880" s="250"/>
      <c r="M880" s="149"/>
      <c r="N880" s="149"/>
      <c r="O880" s="149"/>
      <c r="P880" s="149"/>
      <c r="Q880" s="149"/>
      <c r="R880" s="149"/>
    </row>
    <row r="881" spans="1:18" s="154" customFormat="1" ht="20.100000000000001" customHeight="1" x14ac:dyDescent="0.25">
      <c r="A881" s="267"/>
      <c r="B881" s="246" t="s">
        <v>1686</v>
      </c>
      <c r="C881" s="246"/>
      <c r="D881" s="246"/>
      <c r="E881" s="246"/>
      <c r="F881" s="247"/>
      <c r="G881" s="249">
        <f>12.9</f>
        <v>12.9</v>
      </c>
      <c r="H881" s="249">
        <v>3.3</v>
      </c>
      <c r="I881" s="249">
        <f>2.35*2.25+2.1*0.9</f>
        <v>7.1775000000000002</v>
      </c>
      <c r="J881" s="248"/>
      <c r="K881" s="249">
        <f t="shared" si="52"/>
        <v>35.39</v>
      </c>
      <c r="L881" s="250"/>
      <c r="M881" s="149"/>
      <c r="N881" s="149"/>
      <c r="O881" s="149"/>
      <c r="P881" s="149"/>
      <c r="Q881" s="149"/>
      <c r="R881" s="149"/>
    </row>
    <row r="882" spans="1:18" s="154" customFormat="1" ht="20.100000000000001" customHeight="1" x14ac:dyDescent="0.25">
      <c r="A882" s="267"/>
      <c r="B882" s="246" t="s">
        <v>813</v>
      </c>
      <c r="C882" s="246"/>
      <c r="D882" s="246"/>
      <c r="E882" s="246"/>
      <c r="F882" s="247"/>
      <c r="G882" s="249">
        <f>18.3</f>
        <v>18.3</v>
      </c>
      <c r="H882" s="249">
        <v>3.3</v>
      </c>
      <c r="I882" s="249">
        <f>6*2.1*0.9+1.5*3.3</f>
        <v>16.29</v>
      </c>
      <c r="J882" s="248"/>
      <c r="K882" s="249">
        <f t="shared" si="52"/>
        <v>44.1</v>
      </c>
      <c r="L882" s="250"/>
      <c r="M882" s="149"/>
      <c r="N882" s="149"/>
      <c r="O882" s="149"/>
      <c r="P882" s="149"/>
      <c r="Q882" s="149"/>
      <c r="R882" s="149"/>
    </row>
    <row r="883" spans="1:18" s="154" customFormat="1" ht="20.100000000000001" customHeight="1" x14ac:dyDescent="0.25">
      <c r="A883" s="267"/>
      <c r="B883" s="246" t="s">
        <v>1584</v>
      </c>
      <c r="C883" s="246"/>
      <c r="D883" s="246"/>
      <c r="E883" s="246"/>
      <c r="F883" s="247"/>
      <c r="G883" s="249">
        <f>12.9</f>
        <v>12.9</v>
      </c>
      <c r="H883" s="249">
        <v>1.4</v>
      </c>
      <c r="I883" s="249">
        <f>2.3*0.75+0.9*0.2</f>
        <v>1.9049999999999998</v>
      </c>
      <c r="J883" s="248"/>
      <c r="K883" s="249">
        <f t="shared" si="52"/>
        <v>16.149999999999999</v>
      </c>
      <c r="L883" s="250"/>
      <c r="M883" s="149"/>
      <c r="N883" s="149"/>
      <c r="O883" s="149"/>
      <c r="P883" s="149"/>
      <c r="Q883" s="149"/>
      <c r="R883" s="149"/>
    </row>
    <row r="884" spans="1:18" s="154" customFormat="1" ht="20.100000000000001" customHeight="1" x14ac:dyDescent="0.25">
      <c r="A884" s="267"/>
      <c r="B884" s="246" t="s">
        <v>1620</v>
      </c>
      <c r="C884" s="246"/>
      <c r="D884" s="246"/>
      <c r="E884" s="246"/>
      <c r="F884" s="247"/>
      <c r="G884" s="249">
        <f>12.9</f>
        <v>12.9</v>
      </c>
      <c r="H884" s="249">
        <v>1.4</v>
      </c>
      <c r="I884" s="249">
        <f>2.3*0.75+0.9*0.2</f>
        <v>1.9049999999999998</v>
      </c>
      <c r="J884" s="248"/>
      <c r="K884" s="249">
        <f t="shared" si="52"/>
        <v>16.149999999999999</v>
      </c>
      <c r="L884" s="250"/>
      <c r="M884" s="149"/>
      <c r="N884" s="149"/>
      <c r="O884" s="149"/>
      <c r="P884" s="149"/>
      <c r="Q884" s="149"/>
      <c r="R884" s="149"/>
    </row>
    <row r="885" spans="1:18" s="154" customFormat="1" ht="20.100000000000001" customHeight="1" x14ac:dyDescent="0.25">
      <c r="A885" s="267"/>
      <c r="B885" s="246" t="s">
        <v>1660</v>
      </c>
      <c r="C885" s="246"/>
      <c r="D885" s="246"/>
      <c r="E885" s="246"/>
      <c r="F885" s="247"/>
      <c r="G885" s="249">
        <f>12.9</f>
        <v>12.9</v>
      </c>
      <c r="H885" s="249">
        <v>1.4</v>
      </c>
      <c r="I885" s="249">
        <f>2.3*0.75+2.1*0.9</f>
        <v>3.6150000000000002</v>
      </c>
      <c r="J885" s="248"/>
      <c r="K885" s="249">
        <f t="shared" si="52"/>
        <v>14.44</v>
      </c>
      <c r="L885" s="250"/>
      <c r="M885" s="149"/>
      <c r="N885" s="149"/>
      <c r="O885" s="149"/>
      <c r="P885" s="149"/>
      <c r="Q885" s="149"/>
      <c r="R885" s="149"/>
    </row>
    <row r="886" spans="1:18" s="154" customFormat="1" ht="20.100000000000001" customHeight="1" x14ac:dyDescent="0.25">
      <c r="A886" s="267"/>
      <c r="B886" s="246" t="s">
        <v>1658</v>
      </c>
      <c r="C886" s="246"/>
      <c r="D886" s="246"/>
      <c r="E886" s="246"/>
      <c r="F886" s="247"/>
      <c r="G886" s="249">
        <f>12.9</f>
        <v>12.9</v>
      </c>
      <c r="H886" s="249">
        <v>1.4</v>
      </c>
      <c r="I886" s="249">
        <f>2.3*0.75+2.1*0.9</f>
        <v>3.6150000000000002</v>
      </c>
      <c r="J886" s="248"/>
      <c r="K886" s="249">
        <f t="shared" si="52"/>
        <v>14.44</v>
      </c>
      <c r="L886" s="250"/>
      <c r="M886" s="149"/>
      <c r="N886" s="149"/>
      <c r="O886" s="149"/>
      <c r="P886" s="149"/>
      <c r="Q886" s="149"/>
      <c r="R886" s="149"/>
    </row>
    <row r="887" spans="1:18" s="154" customFormat="1" ht="20.100000000000001" customHeight="1" x14ac:dyDescent="0.25">
      <c r="A887" s="475" t="s">
        <v>1413</v>
      </c>
      <c r="B887" s="476"/>
      <c r="C887" s="476"/>
      <c r="D887" s="476"/>
      <c r="E887" s="476"/>
      <c r="F887" s="476"/>
      <c r="G887" s="476"/>
      <c r="H887" s="476"/>
      <c r="I887" s="476"/>
      <c r="J887" s="476"/>
      <c r="K887" s="477"/>
      <c r="L887" s="250"/>
      <c r="M887" s="149"/>
      <c r="N887" s="149"/>
      <c r="O887" s="149"/>
      <c r="P887" s="149"/>
      <c r="Q887" s="149"/>
      <c r="R887" s="149"/>
    </row>
    <row r="888" spans="1:18" s="154" customFormat="1" ht="20.100000000000001" customHeight="1" x14ac:dyDescent="0.25">
      <c r="A888" s="245"/>
      <c r="B888" s="246" t="s">
        <v>1568</v>
      </c>
      <c r="C888" s="246"/>
      <c r="D888" s="246"/>
      <c r="E888" s="246"/>
      <c r="F888" s="247"/>
      <c r="G888" s="249">
        <v>14.4</v>
      </c>
      <c r="H888" s="249">
        <v>3.3</v>
      </c>
      <c r="I888" s="249">
        <f>1.5*1.2+1.1*2.1</f>
        <v>4.1100000000000003</v>
      </c>
      <c r="J888" s="248"/>
      <c r="K888" s="249">
        <f>TRUNC(G888*H888-I888,2)</f>
        <v>43.41</v>
      </c>
      <c r="L888" s="250"/>
      <c r="M888" s="149"/>
      <c r="N888" s="149"/>
      <c r="O888" s="149"/>
      <c r="P888" s="149"/>
      <c r="Q888" s="149"/>
      <c r="R888" s="149"/>
    </row>
    <row r="889" spans="1:18" s="154" customFormat="1" ht="20.100000000000001" customHeight="1" x14ac:dyDescent="0.25">
      <c r="A889" s="245"/>
      <c r="B889" s="246" t="s">
        <v>1568</v>
      </c>
      <c r="C889" s="246"/>
      <c r="D889" s="246"/>
      <c r="E889" s="246"/>
      <c r="F889" s="247"/>
      <c r="G889" s="249">
        <v>12.7</v>
      </c>
      <c r="H889" s="249">
        <v>3.3</v>
      </c>
      <c r="I889" s="249">
        <f>0.6*0.4+1.1*2.1</f>
        <v>2.5500000000000007</v>
      </c>
      <c r="J889" s="248"/>
      <c r="K889" s="249">
        <f t="shared" ref="K889:K904" si="54">TRUNC(G889*H889-I889,2)</f>
        <v>39.36</v>
      </c>
      <c r="L889" s="250"/>
      <c r="M889" s="149"/>
      <c r="N889" s="149"/>
      <c r="O889" s="149"/>
      <c r="P889" s="149"/>
      <c r="Q889" s="149"/>
      <c r="R889" s="149"/>
    </row>
    <row r="890" spans="1:18" s="154" customFormat="1" ht="18.75" customHeight="1" x14ac:dyDescent="0.25">
      <c r="A890" s="245"/>
      <c r="B890" s="246" t="s">
        <v>1568</v>
      </c>
      <c r="C890" s="246"/>
      <c r="D890" s="246"/>
      <c r="E890" s="246"/>
      <c r="F890" s="247"/>
      <c r="G890" s="249">
        <v>16.739999999999998</v>
      </c>
      <c r="H890" s="249">
        <v>3.3</v>
      </c>
      <c r="I890" s="249">
        <f>2.3*0.75+1.1*2.1+0.9*2.1</f>
        <v>5.9250000000000007</v>
      </c>
      <c r="J890" s="248"/>
      <c r="K890" s="249">
        <f t="shared" si="54"/>
        <v>49.31</v>
      </c>
      <c r="L890" s="250"/>
      <c r="M890" s="149"/>
      <c r="N890" s="149"/>
      <c r="O890" s="149"/>
      <c r="P890" s="149"/>
      <c r="Q890" s="149"/>
      <c r="R890" s="149"/>
    </row>
    <row r="891" spans="1:18" s="154" customFormat="1" ht="20.100000000000001" customHeight="1" x14ac:dyDescent="0.25">
      <c r="A891" s="245"/>
      <c r="B891" s="246" t="s">
        <v>1568</v>
      </c>
      <c r="C891" s="246"/>
      <c r="D891" s="246"/>
      <c r="E891" s="246"/>
      <c r="F891" s="247"/>
      <c r="G891" s="249">
        <v>16.100000000000001</v>
      </c>
      <c r="H891" s="249">
        <v>3.3</v>
      </c>
      <c r="I891" s="249">
        <f>0.9*2.1+1.1*2.1+2*1.1</f>
        <v>6.4000000000000012</v>
      </c>
      <c r="J891" s="248"/>
      <c r="K891" s="249">
        <f t="shared" si="54"/>
        <v>46.73</v>
      </c>
      <c r="L891" s="250"/>
      <c r="M891" s="149"/>
      <c r="N891" s="149"/>
      <c r="O891" s="149"/>
      <c r="P891" s="149"/>
      <c r="Q891" s="149"/>
      <c r="R891" s="149"/>
    </row>
    <row r="892" spans="1:18" s="154" customFormat="1" ht="20.100000000000001" customHeight="1" x14ac:dyDescent="0.25">
      <c r="A892" s="245"/>
      <c r="B892" s="246" t="s">
        <v>813</v>
      </c>
      <c r="C892" s="246"/>
      <c r="D892" s="246"/>
      <c r="E892" s="246"/>
      <c r="F892" s="247"/>
      <c r="G892" s="249">
        <v>48.2</v>
      </c>
      <c r="H892" s="249">
        <v>3.3</v>
      </c>
      <c r="I892" s="249">
        <f>6*0.9*2.1+(1.65+2.5+1.65)*3.3</f>
        <v>30.480000000000004</v>
      </c>
      <c r="J892" s="248"/>
      <c r="K892" s="249">
        <f t="shared" si="54"/>
        <v>128.58000000000001</v>
      </c>
      <c r="L892" s="250"/>
      <c r="M892" s="149"/>
      <c r="N892" s="149"/>
      <c r="O892" s="149"/>
      <c r="P892" s="149"/>
      <c r="Q892" s="149"/>
      <c r="R892" s="149"/>
    </row>
    <row r="893" spans="1:18" s="154" customFormat="1" ht="20.100000000000001" customHeight="1" x14ac:dyDescent="0.25">
      <c r="A893" s="245"/>
      <c r="B893" s="246" t="s">
        <v>1568</v>
      </c>
      <c r="C893" s="246"/>
      <c r="D893" s="246"/>
      <c r="E893" s="246"/>
      <c r="F893" s="247"/>
      <c r="G893" s="249">
        <v>24.4</v>
      </c>
      <c r="H893" s="249">
        <v>3.3</v>
      </c>
      <c r="I893" s="249">
        <f>0.9*2.1+2*0.75*2.3</f>
        <v>5.34</v>
      </c>
      <c r="J893" s="248"/>
      <c r="K893" s="249">
        <f t="shared" si="54"/>
        <v>75.180000000000007</v>
      </c>
      <c r="L893" s="250"/>
      <c r="M893" s="149"/>
      <c r="N893" s="149"/>
      <c r="O893" s="149"/>
      <c r="P893" s="149"/>
      <c r="Q893" s="149"/>
      <c r="R893" s="149"/>
    </row>
    <row r="894" spans="1:18" s="154" customFormat="1" ht="20.100000000000001" customHeight="1" x14ac:dyDescent="0.25">
      <c r="A894" s="245"/>
      <c r="B894" s="246" t="s">
        <v>1673</v>
      </c>
      <c r="C894" s="246"/>
      <c r="D894" s="246"/>
      <c r="E894" s="246"/>
      <c r="F894" s="247"/>
      <c r="G894" s="249">
        <v>8.0500000000000007</v>
      </c>
      <c r="H894" s="249">
        <v>1.4</v>
      </c>
      <c r="I894" s="249">
        <f>0.9*0.2</f>
        <v>0.18000000000000002</v>
      </c>
      <c r="J894" s="248"/>
      <c r="K894" s="249">
        <f t="shared" si="54"/>
        <v>11.09</v>
      </c>
      <c r="L894" s="250"/>
      <c r="M894" s="149"/>
      <c r="N894" s="149"/>
      <c r="O894" s="149"/>
      <c r="P894" s="149"/>
      <c r="Q894" s="149"/>
      <c r="R894" s="149"/>
    </row>
    <row r="895" spans="1:18" s="154" customFormat="1" ht="20.100000000000001" customHeight="1" x14ac:dyDescent="0.25">
      <c r="A895" s="245"/>
      <c r="B895" s="246" t="s">
        <v>1674</v>
      </c>
      <c r="C895" s="246"/>
      <c r="D895" s="246"/>
      <c r="E895" s="246"/>
      <c r="F895" s="247"/>
      <c r="G895" s="249">
        <v>8.0500000000000007</v>
      </c>
      <c r="H895" s="249">
        <v>1.4</v>
      </c>
      <c r="I895" s="249">
        <f>0.9*0.2</f>
        <v>0.18000000000000002</v>
      </c>
      <c r="J895" s="248"/>
      <c r="K895" s="249">
        <f t="shared" si="54"/>
        <v>11.09</v>
      </c>
      <c r="L895" s="250"/>
      <c r="M895" s="149"/>
      <c r="N895" s="149"/>
      <c r="O895" s="149"/>
      <c r="P895" s="149"/>
      <c r="Q895" s="149"/>
      <c r="R895" s="149"/>
    </row>
    <row r="896" spans="1:18" s="154" customFormat="1" ht="20.100000000000001" customHeight="1" x14ac:dyDescent="0.25">
      <c r="A896" s="245"/>
      <c r="B896" s="246" t="s">
        <v>1687</v>
      </c>
      <c r="C896" s="246"/>
      <c r="D896" s="246"/>
      <c r="E896" s="246"/>
      <c r="F896" s="247"/>
      <c r="G896" s="249">
        <v>24.4</v>
      </c>
      <c r="H896" s="249">
        <v>3.3</v>
      </c>
      <c r="I896" s="249">
        <f>2*0.9*2.1+3*2.3*1.5</f>
        <v>14.129999999999999</v>
      </c>
      <c r="J896" s="248"/>
      <c r="K896" s="249">
        <f t="shared" si="54"/>
        <v>66.39</v>
      </c>
      <c r="L896" s="250"/>
      <c r="M896" s="149"/>
      <c r="N896" s="149"/>
      <c r="O896" s="149"/>
      <c r="P896" s="149"/>
      <c r="Q896" s="149"/>
      <c r="R896" s="149"/>
    </row>
    <row r="897" spans="1:18" s="154" customFormat="1" ht="20.100000000000001" customHeight="1" x14ac:dyDescent="0.25">
      <c r="A897" s="245"/>
      <c r="B897" s="246" t="s">
        <v>1420</v>
      </c>
      <c r="C897" s="246"/>
      <c r="D897" s="246"/>
      <c r="E897" s="246"/>
      <c r="F897" s="247"/>
      <c r="G897" s="249">
        <v>20.7</v>
      </c>
      <c r="H897" s="249">
        <v>3.3</v>
      </c>
      <c r="I897" s="249">
        <f>2*2*1.1+0.9*2.1</f>
        <v>6.2900000000000009</v>
      </c>
      <c r="J897" s="248"/>
      <c r="K897" s="249">
        <f t="shared" si="54"/>
        <v>62.02</v>
      </c>
      <c r="L897" s="250"/>
      <c r="M897" s="149"/>
      <c r="N897" s="149"/>
      <c r="O897" s="149"/>
      <c r="P897" s="149"/>
      <c r="Q897" s="149"/>
      <c r="R897" s="149"/>
    </row>
    <row r="898" spans="1:18" s="154" customFormat="1" ht="18.75" customHeight="1" x14ac:dyDescent="0.25">
      <c r="A898" s="245"/>
      <c r="B898" s="246" t="s">
        <v>1688</v>
      </c>
      <c r="C898" s="246"/>
      <c r="D898" s="246"/>
      <c r="E898" s="246"/>
      <c r="F898" s="247"/>
      <c r="G898" s="249">
        <v>15.7</v>
      </c>
      <c r="H898" s="249">
        <v>1.4</v>
      </c>
      <c r="I898" s="249">
        <f>0.2*0.9+2*1</f>
        <v>2.1800000000000002</v>
      </c>
      <c r="J898" s="248"/>
      <c r="K898" s="249">
        <f t="shared" si="54"/>
        <v>19.8</v>
      </c>
      <c r="L898" s="250"/>
      <c r="M898" s="149"/>
      <c r="N898" s="149"/>
      <c r="O898" s="149"/>
      <c r="P898" s="149"/>
      <c r="Q898" s="149"/>
      <c r="R898" s="149"/>
    </row>
    <row r="899" spans="1:18" s="154" customFormat="1" ht="18.75" customHeight="1" x14ac:dyDescent="0.25">
      <c r="A899" s="245"/>
      <c r="B899" s="246" t="s">
        <v>813</v>
      </c>
      <c r="C899" s="246"/>
      <c r="D899" s="246"/>
      <c r="E899" s="246"/>
      <c r="F899" s="247"/>
      <c r="G899" s="249">
        <v>9.4</v>
      </c>
      <c r="H899" s="249">
        <v>3.3</v>
      </c>
      <c r="I899" s="249">
        <f>1.25*2.1+0.9*2.1</f>
        <v>4.5150000000000006</v>
      </c>
      <c r="J899" s="248"/>
      <c r="K899" s="249">
        <f t="shared" si="54"/>
        <v>26.5</v>
      </c>
      <c r="L899" s="250"/>
      <c r="M899" s="149"/>
      <c r="N899" s="149"/>
      <c r="O899" s="149"/>
      <c r="P899" s="149"/>
      <c r="Q899" s="149"/>
      <c r="R899" s="149"/>
    </row>
    <row r="900" spans="1:18" s="154" customFormat="1" ht="18.75" customHeight="1" x14ac:dyDescent="0.25">
      <c r="A900" s="245"/>
      <c r="B900" s="246" t="s">
        <v>1689</v>
      </c>
      <c r="C900" s="246"/>
      <c r="D900" s="246"/>
      <c r="E900" s="246"/>
      <c r="F900" s="247"/>
      <c r="G900" s="249">
        <v>10.7</v>
      </c>
      <c r="H900" s="249">
        <v>1.4</v>
      </c>
      <c r="I900" s="249">
        <f>0.2*2.1+1.2*0.75</f>
        <v>1.3199999999999998</v>
      </c>
      <c r="J900" s="248"/>
      <c r="K900" s="249">
        <f t="shared" si="54"/>
        <v>13.66</v>
      </c>
      <c r="L900" s="250"/>
      <c r="M900" s="149"/>
      <c r="N900" s="149"/>
      <c r="O900" s="149"/>
      <c r="P900" s="149"/>
      <c r="Q900" s="149"/>
      <c r="R900" s="149"/>
    </row>
    <row r="901" spans="1:18" s="154" customFormat="1" ht="18.75" customHeight="1" x14ac:dyDescent="0.25">
      <c r="A901" s="245"/>
      <c r="B901" s="246" t="s">
        <v>1690</v>
      </c>
      <c r="C901" s="246"/>
      <c r="D901" s="246"/>
      <c r="E901" s="246"/>
      <c r="F901" s="247"/>
      <c r="G901" s="249">
        <v>10.7</v>
      </c>
      <c r="H901" s="249">
        <v>1.4</v>
      </c>
      <c r="I901" s="249">
        <f>0.2*2.1+1.2*0.75</f>
        <v>1.3199999999999998</v>
      </c>
      <c r="J901" s="248"/>
      <c r="K901" s="249">
        <f t="shared" si="54"/>
        <v>13.66</v>
      </c>
      <c r="L901" s="250"/>
      <c r="M901" s="149"/>
      <c r="N901" s="149"/>
      <c r="O901" s="149"/>
      <c r="P901" s="149"/>
      <c r="Q901" s="149"/>
      <c r="R901" s="149"/>
    </row>
    <row r="902" spans="1:18" s="154" customFormat="1" ht="18.75" customHeight="1" x14ac:dyDescent="0.25">
      <c r="A902" s="245"/>
      <c r="B902" s="246" t="s">
        <v>813</v>
      </c>
      <c r="C902" s="246"/>
      <c r="D902" s="246"/>
      <c r="E902" s="246"/>
      <c r="F902" s="247"/>
      <c r="G902" s="249">
        <v>9.3800000000000008</v>
      </c>
      <c r="H902" s="249">
        <v>3.3</v>
      </c>
      <c r="I902" s="249">
        <f>1.1*2.1+0.9*2.1</f>
        <v>4.2000000000000011</v>
      </c>
      <c r="J902" s="248"/>
      <c r="K902" s="249">
        <f t="shared" si="54"/>
        <v>26.75</v>
      </c>
      <c r="L902" s="250"/>
      <c r="M902" s="149"/>
      <c r="N902" s="149"/>
      <c r="O902" s="149"/>
      <c r="P902" s="149"/>
      <c r="Q902" s="149"/>
      <c r="R902" s="149"/>
    </row>
    <row r="903" spans="1:18" s="154" customFormat="1" ht="18.75" customHeight="1" x14ac:dyDescent="0.25">
      <c r="A903" s="245"/>
      <c r="B903" s="246" t="s">
        <v>1691</v>
      </c>
      <c r="C903" s="246"/>
      <c r="D903" s="246"/>
      <c r="E903" s="246"/>
      <c r="F903" s="247"/>
      <c r="G903" s="249">
        <v>15.7</v>
      </c>
      <c r="H903" s="249">
        <v>1.4</v>
      </c>
      <c r="I903" s="249">
        <f>0.2*2.1+2.35*0.8</f>
        <v>2.3000000000000003</v>
      </c>
      <c r="J903" s="248"/>
      <c r="K903" s="249">
        <f t="shared" si="54"/>
        <v>19.68</v>
      </c>
      <c r="L903" s="250"/>
      <c r="M903" s="149"/>
      <c r="N903" s="149"/>
      <c r="O903" s="149"/>
      <c r="P903" s="149"/>
      <c r="Q903" s="149"/>
      <c r="R903" s="149"/>
    </row>
    <row r="904" spans="1:18" s="154" customFormat="1" ht="18.75" customHeight="1" x14ac:dyDescent="0.25">
      <c r="A904" s="245"/>
      <c r="B904" s="246" t="s">
        <v>1692</v>
      </c>
      <c r="C904" s="246"/>
      <c r="D904" s="246"/>
      <c r="E904" s="246"/>
      <c r="F904" s="247"/>
      <c r="G904" s="249">
        <v>53.4</v>
      </c>
      <c r="H904" s="249">
        <v>3.3</v>
      </c>
      <c r="I904" s="249" t="b">
        <f>0.7*0.7=3*2.3*1.5+2*2.1+2.35*0.8+1.1*2.1+1.25*2.1+2*0.9*2.1+2.3*1.5</f>
        <v>0</v>
      </c>
      <c r="J904" s="248"/>
      <c r="K904" s="249">
        <f t="shared" si="54"/>
        <v>176.22</v>
      </c>
      <c r="L904" s="250"/>
      <c r="M904" s="149"/>
      <c r="N904" s="149"/>
      <c r="O904" s="149"/>
      <c r="P904" s="149"/>
      <c r="Q904" s="149"/>
      <c r="R904" s="149"/>
    </row>
    <row r="905" spans="1:18" s="154" customFormat="1" ht="18.75" customHeight="1" x14ac:dyDescent="0.25">
      <c r="A905" s="470" t="s">
        <v>163</v>
      </c>
      <c r="B905" s="471"/>
      <c r="C905" s="471"/>
      <c r="D905" s="471"/>
      <c r="E905" s="471"/>
      <c r="F905" s="472"/>
      <c r="G905" s="472"/>
      <c r="H905" s="472"/>
      <c r="I905" s="472"/>
      <c r="J905" s="472"/>
      <c r="K905" s="252">
        <f>SUM(K809:K904)</f>
        <v>4173.32</v>
      </c>
      <c r="L905" s="250"/>
      <c r="M905" s="149"/>
      <c r="N905" s="149"/>
      <c r="O905" s="149"/>
      <c r="P905" s="149"/>
      <c r="Q905" s="149"/>
      <c r="R905" s="149"/>
    </row>
    <row r="906" spans="1:18" s="154" customFormat="1" ht="18.75" customHeight="1" x14ac:dyDescent="0.25">
      <c r="A906" s="272"/>
      <c r="B906" s="269"/>
      <c r="C906" s="269"/>
      <c r="D906" s="269"/>
      <c r="E906" s="269"/>
      <c r="F906" s="184"/>
      <c r="G906" s="184"/>
      <c r="H906" s="184"/>
      <c r="I906" s="184"/>
      <c r="J906" s="184"/>
      <c r="K906" s="273"/>
      <c r="L906" s="250"/>
      <c r="M906" s="149"/>
      <c r="N906" s="149"/>
      <c r="O906" s="149"/>
      <c r="P906" s="149"/>
      <c r="Q906" s="149"/>
      <c r="R906" s="149"/>
    </row>
    <row r="907" spans="1:18" s="154" customFormat="1" ht="18.75" customHeight="1" x14ac:dyDescent="0.25">
      <c r="A907" s="177" t="s">
        <v>3</v>
      </c>
      <c r="B907" s="171" t="s">
        <v>1693</v>
      </c>
      <c r="C907" s="171"/>
      <c r="D907" s="171"/>
      <c r="E907" s="171"/>
      <c r="F907" s="243" t="s">
        <v>24</v>
      </c>
      <c r="G907" s="244" t="s">
        <v>1694</v>
      </c>
      <c r="H907" s="244" t="s">
        <v>1695</v>
      </c>
      <c r="I907" s="244" t="s">
        <v>1696</v>
      </c>
      <c r="J907" s="244"/>
      <c r="K907" s="244" t="s">
        <v>50</v>
      </c>
      <c r="L907" s="250"/>
      <c r="M907" s="149"/>
      <c r="N907" s="149"/>
      <c r="O907" s="149"/>
      <c r="P907" s="149"/>
      <c r="Q907" s="149"/>
      <c r="R907" s="149"/>
    </row>
    <row r="908" spans="1:18" s="154" customFormat="1" ht="20.100000000000001" customHeight="1" x14ac:dyDescent="0.25">
      <c r="A908" s="475" t="s">
        <v>1382</v>
      </c>
      <c r="B908" s="476"/>
      <c r="C908" s="476"/>
      <c r="D908" s="476"/>
      <c r="E908" s="476"/>
      <c r="F908" s="476"/>
      <c r="G908" s="476"/>
      <c r="H908" s="476"/>
      <c r="I908" s="476"/>
      <c r="J908" s="476"/>
      <c r="K908" s="477"/>
      <c r="L908" s="250"/>
      <c r="M908" s="149"/>
      <c r="N908" s="149"/>
      <c r="O908" s="149"/>
      <c r="P908" s="149"/>
      <c r="Q908" s="149"/>
      <c r="R908" s="149"/>
    </row>
    <row r="909" spans="1:18" s="154" customFormat="1" ht="18.75" customHeight="1" x14ac:dyDescent="0.25">
      <c r="A909" s="245"/>
      <c r="B909" s="246" t="s">
        <v>1658</v>
      </c>
      <c r="C909" s="246"/>
      <c r="D909" s="246"/>
      <c r="E909" s="246"/>
      <c r="F909" s="247"/>
      <c r="G909" s="248">
        <v>17.100000000000001</v>
      </c>
      <c r="H909" s="249">
        <v>3.3</v>
      </c>
      <c r="I909" s="249">
        <f>2*2.3*1.5+2*2.1*0.9</f>
        <v>10.68</v>
      </c>
      <c r="J909" s="248"/>
      <c r="K909" s="249">
        <f>TRUNC(G909*H909-I909,2)</f>
        <v>45.75</v>
      </c>
      <c r="L909" s="250"/>
      <c r="M909" s="149"/>
      <c r="N909" s="149"/>
      <c r="O909" s="149"/>
      <c r="P909" s="149"/>
      <c r="Q909" s="149"/>
      <c r="R909" s="149"/>
    </row>
    <row r="910" spans="1:18" s="154" customFormat="1" ht="18.75" customHeight="1" x14ac:dyDescent="0.25">
      <c r="A910" s="245"/>
      <c r="B910" s="246" t="s">
        <v>812</v>
      </c>
      <c r="C910" s="246"/>
      <c r="D910" s="246"/>
      <c r="E910" s="246"/>
      <c r="F910" s="247"/>
      <c r="G910" s="248">
        <v>12.44</v>
      </c>
      <c r="H910" s="249">
        <v>3.3</v>
      </c>
      <c r="I910" s="249">
        <f>3*0.9*2.1+2.3*0.75</f>
        <v>7.3950000000000005</v>
      </c>
      <c r="J910" s="248"/>
      <c r="K910" s="249">
        <f t="shared" ref="K910:K926" si="55">TRUNC(G910*H910-I910,2)</f>
        <v>33.65</v>
      </c>
      <c r="L910" s="250"/>
      <c r="M910" s="149"/>
      <c r="N910" s="149"/>
      <c r="O910" s="149"/>
      <c r="P910" s="149"/>
      <c r="Q910" s="149"/>
      <c r="R910" s="149"/>
    </row>
    <row r="911" spans="1:18" s="154" customFormat="1" ht="18.75" customHeight="1" x14ac:dyDescent="0.25">
      <c r="A911" s="245"/>
      <c r="B911" s="246" t="s">
        <v>1659</v>
      </c>
      <c r="C911" s="246"/>
      <c r="D911" s="246"/>
      <c r="E911" s="246"/>
      <c r="F911" s="247"/>
      <c r="G911" s="248">
        <v>15.66</v>
      </c>
      <c r="H911" s="249">
        <v>3.3</v>
      </c>
      <c r="I911" s="249">
        <f>2*2.3*1.55+0.9*2.1</f>
        <v>9.02</v>
      </c>
      <c r="J911" s="248"/>
      <c r="K911" s="249">
        <f t="shared" si="55"/>
        <v>42.65</v>
      </c>
      <c r="L911" s="250"/>
      <c r="M911" s="149"/>
      <c r="N911" s="149"/>
      <c r="O911" s="149"/>
      <c r="P911" s="149"/>
      <c r="Q911" s="149"/>
      <c r="R911" s="149"/>
    </row>
    <row r="912" spans="1:18" s="154" customFormat="1" ht="18.75" customHeight="1" x14ac:dyDescent="0.25">
      <c r="A912" s="245"/>
      <c r="B912" s="246" t="s">
        <v>1660</v>
      </c>
      <c r="C912" s="246"/>
      <c r="D912" s="246"/>
      <c r="E912" s="246"/>
      <c r="F912" s="247"/>
      <c r="G912" s="248">
        <v>14.5</v>
      </c>
      <c r="H912" s="249">
        <v>3.3</v>
      </c>
      <c r="I912" s="249">
        <f>2.3*1.5+3*0.9*2.1</f>
        <v>9.120000000000001</v>
      </c>
      <c r="J912" s="248"/>
      <c r="K912" s="249">
        <f t="shared" si="55"/>
        <v>38.729999999999997</v>
      </c>
      <c r="L912" s="250"/>
      <c r="M912" s="149"/>
      <c r="N912" s="149"/>
      <c r="O912" s="149"/>
      <c r="P912" s="149"/>
      <c r="Q912" s="149"/>
      <c r="R912" s="149"/>
    </row>
    <row r="913" spans="1:18" s="154" customFormat="1" ht="18.75" customHeight="1" x14ac:dyDescent="0.25">
      <c r="A913" s="245"/>
      <c r="B913" s="246" t="s">
        <v>1661</v>
      </c>
      <c r="C913" s="246"/>
      <c r="D913" s="246"/>
      <c r="E913" s="246"/>
      <c r="F913" s="247"/>
      <c r="G913" s="248">
        <v>14.6</v>
      </c>
      <c r="H913" s="249">
        <v>3.3</v>
      </c>
      <c r="I913" s="249">
        <f>1.2*0.75+2*2.1*0.9</f>
        <v>4.68</v>
      </c>
      <c r="J913" s="248"/>
      <c r="K913" s="249">
        <f t="shared" si="55"/>
        <v>43.5</v>
      </c>
      <c r="L913" s="250"/>
      <c r="M913" s="149"/>
      <c r="N913" s="149"/>
      <c r="O913" s="149"/>
      <c r="P913" s="149"/>
      <c r="Q913" s="149"/>
      <c r="R913" s="149"/>
    </row>
    <row r="914" spans="1:18" s="154" customFormat="1" ht="18.75" customHeight="1" x14ac:dyDescent="0.25">
      <c r="A914" s="245"/>
      <c r="B914" s="246" t="s">
        <v>1662</v>
      </c>
      <c r="C914" s="246"/>
      <c r="D914" s="246"/>
      <c r="E914" s="246"/>
      <c r="F914" s="247"/>
      <c r="G914" s="248">
        <v>17</v>
      </c>
      <c r="H914" s="249">
        <v>3.3</v>
      </c>
      <c r="I914" s="249">
        <f>2.3*0.5+2.3*0.75+2*0.9*2.1</f>
        <v>6.6550000000000002</v>
      </c>
      <c r="J914" s="248"/>
      <c r="K914" s="249">
        <f t="shared" si="55"/>
        <v>49.44</v>
      </c>
      <c r="L914" s="250"/>
      <c r="M914" s="149"/>
      <c r="N914" s="149"/>
      <c r="O914" s="149"/>
      <c r="P914" s="149"/>
      <c r="Q914" s="149"/>
      <c r="R914" s="149"/>
    </row>
    <row r="915" spans="1:18" s="154" customFormat="1" ht="18.75" customHeight="1" x14ac:dyDescent="0.25">
      <c r="A915" s="245"/>
      <c r="B915" s="246" t="s">
        <v>1663</v>
      </c>
      <c r="C915" s="246"/>
      <c r="D915" s="246"/>
      <c r="E915" s="246"/>
      <c r="F915" s="247"/>
      <c r="G915" s="248">
        <v>14.5</v>
      </c>
      <c r="H915" s="249">
        <v>3.3</v>
      </c>
      <c r="I915" s="249">
        <f>1.2*0.75+2*2.1*0.9</f>
        <v>4.68</v>
      </c>
      <c r="J915" s="248"/>
      <c r="K915" s="249">
        <f t="shared" si="55"/>
        <v>43.17</v>
      </c>
      <c r="L915" s="250"/>
      <c r="M915" s="149"/>
      <c r="N915" s="149"/>
      <c r="O915" s="149"/>
      <c r="P915" s="149"/>
      <c r="Q915" s="149"/>
      <c r="R915" s="149"/>
    </row>
    <row r="916" spans="1:18" s="154" customFormat="1" ht="18.75" customHeight="1" x14ac:dyDescent="0.25">
      <c r="A916" s="245"/>
      <c r="B916" s="246" t="s">
        <v>1584</v>
      </c>
      <c r="C916" s="246"/>
      <c r="D916" s="246"/>
      <c r="E916" s="246"/>
      <c r="F916" s="247"/>
      <c r="G916" s="248">
        <v>15.8</v>
      </c>
      <c r="H916" s="249">
        <f>3.3-1.9</f>
        <v>1.4</v>
      </c>
      <c r="I916" s="249">
        <f>2.3*0.75+2.1*0.9</f>
        <v>3.6150000000000002</v>
      </c>
      <c r="J916" s="248"/>
      <c r="K916" s="249">
        <f t="shared" si="55"/>
        <v>18.5</v>
      </c>
      <c r="L916" s="250"/>
      <c r="M916" s="149"/>
      <c r="N916" s="149"/>
      <c r="O916" s="149"/>
      <c r="P916" s="149"/>
      <c r="Q916" s="149"/>
      <c r="R916" s="149"/>
    </row>
    <row r="917" spans="1:18" s="154" customFormat="1" ht="18.75" customHeight="1" x14ac:dyDescent="0.25">
      <c r="A917" s="245"/>
      <c r="B917" s="246" t="s">
        <v>1620</v>
      </c>
      <c r="C917" s="246"/>
      <c r="D917" s="246"/>
      <c r="E917" s="246"/>
      <c r="F917" s="247"/>
      <c r="G917" s="248">
        <v>15.8</v>
      </c>
      <c r="H917" s="249">
        <f>3.3-1.9</f>
        <v>1.4</v>
      </c>
      <c r="I917" s="249">
        <f>2.3*0.75+2.1*0.9</f>
        <v>3.6150000000000002</v>
      </c>
      <c r="J917" s="248"/>
      <c r="K917" s="249">
        <f t="shared" si="55"/>
        <v>18.5</v>
      </c>
      <c r="L917" s="250"/>
      <c r="M917" s="149"/>
      <c r="N917" s="149"/>
      <c r="O917" s="149"/>
      <c r="P917" s="149"/>
      <c r="Q917" s="149"/>
      <c r="R917" s="149"/>
    </row>
    <row r="918" spans="1:18" s="154" customFormat="1" ht="18.75" customHeight="1" x14ac:dyDescent="0.25">
      <c r="A918" s="245"/>
      <c r="B918" s="246" t="s">
        <v>1664</v>
      </c>
      <c r="C918" s="246"/>
      <c r="D918" s="246"/>
      <c r="E918" s="246"/>
      <c r="F918" s="247"/>
      <c r="G918" s="248">
        <v>19.399999999999999</v>
      </c>
      <c r="H918" s="249">
        <v>3.3</v>
      </c>
      <c r="I918" s="249">
        <f>2.1*0.9+1.75*0.75+2.3*1.5</f>
        <v>6.6524999999999999</v>
      </c>
      <c r="J918" s="248"/>
      <c r="K918" s="249">
        <f t="shared" si="55"/>
        <v>57.36</v>
      </c>
      <c r="L918" s="250"/>
      <c r="M918" s="149"/>
      <c r="N918" s="149"/>
      <c r="O918" s="149"/>
      <c r="P918" s="149"/>
      <c r="Q918" s="149"/>
      <c r="R918" s="149"/>
    </row>
    <row r="919" spans="1:18" s="154" customFormat="1" ht="18.75" customHeight="1" x14ac:dyDescent="0.25">
      <c r="A919" s="245"/>
      <c r="B919" s="246" t="s">
        <v>1469</v>
      </c>
      <c r="C919" s="246"/>
      <c r="D919" s="246"/>
      <c r="E919" s="246"/>
      <c r="F919" s="247"/>
      <c r="G919" s="248">
        <v>12</v>
      </c>
      <c r="H919" s="249">
        <v>3.3</v>
      </c>
      <c r="I919" s="249">
        <f>2.3*0.75+2*2.1*0.9</f>
        <v>5.5049999999999999</v>
      </c>
      <c r="J919" s="248"/>
      <c r="K919" s="249">
        <f t="shared" si="55"/>
        <v>34.090000000000003</v>
      </c>
      <c r="L919" s="250"/>
      <c r="M919" s="149"/>
      <c r="N919" s="149"/>
      <c r="O919" s="149"/>
      <c r="P919" s="149"/>
      <c r="Q919" s="149"/>
      <c r="R919" s="149"/>
    </row>
    <row r="920" spans="1:18" s="154" customFormat="1" ht="18.75" customHeight="1" x14ac:dyDescent="0.25">
      <c r="A920" s="245"/>
      <c r="B920" s="246" t="s">
        <v>1467</v>
      </c>
      <c r="C920" s="246"/>
      <c r="D920" s="246"/>
      <c r="E920" s="246"/>
      <c r="F920" s="247"/>
      <c r="G920" s="248">
        <v>12</v>
      </c>
      <c r="H920" s="249">
        <v>3.3</v>
      </c>
      <c r="I920" s="249">
        <f>2.3*0.75+2*2.1*0.9</f>
        <v>5.5049999999999999</v>
      </c>
      <c r="J920" s="248"/>
      <c r="K920" s="249">
        <f t="shared" si="55"/>
        <v>34.090000000000003</v>
      </c>
      <c r="L920" s="250"/>
      <c r="M920" s="149"/>
      <c r="N920" s="149"/>
      <c r="O920" s="149"/>
      <c r="P920" s="149"/>
      <c r="Q920" s="149"/>
      <c r="R920" s="149"/>
    </row>
    <row r="921" spans="1:18" s="154" customFormat="1" ht="18.75" customHeight="1" x14ac:dyDescent="0.25">
      <c r="A921" s="245"/>
      <c r="B921" s="246" t="s">
        <v>1665</v>
      </c>
      <c r="C921" s="246"/>
      <c r="D921" s="246"/>
      <c r="E921" s="246"/>
      <c r="F921" s="247"/>
      <c r="G921" s="248">
        <v>14.4</v>
      </c>
      <c r="H921" s="249">
        <v>3.3</v>
      </c>
      <c r="I921" s="249">
        <f>0.9*2.1+2.3*0.75</f>
        <v>3.6150000000000002</v>
      </c>
      <c r="J921" s="248"/>
      <c r="K921" s="249">
        <f t="shared" si="55"/>
        <v>43.9</v>
      </c>
      <c r="L921" s="250"/>
      <c r="M921" s="149"/>
      <c r="N921" s="149"/>
      <c r="O921" s="149"/>
      <c r="P921" s="149"/>
      <c r="Q921" s="149"/>
      <c r="R921" s="149"/>
    </row>
    <row r="922" spans="1:18" s="154" customFormat="1" ht="18.75" customHeight="1" x14ac:dyDescent="0.25">
      <c r="A922" s="245"/>
      <c r="B922" s="246" t="s">
        <v>1465</v>
      </c>
      <c r="C922" s="246"/>
      <c r="D922" s="246"/>
      <c r="E922" s="246"/>
      <c r="F922" s="247"/>
      <c r="G922" s="248">
        <v>25.1</v>
      </c>
      <c r="H922" s="249">
        <v>3.3</v>
      </c>
      <c r="I922" s="249">
        <f>2*2.3*0.75+2*0.9*2.1</f>
        <v>7.23</v>
      </c>
      <c r="J922" s="248"/>
      <c r="K922" s="249">
        <f t="shared" si="55"/>
        <v>75.599999999999994</v>
      </c>
      <c r="L922" s="250"/>
      <c r="M922" s="149"/>
      <c r="N922" s="149"/>
      <c r="O922" s="149"/>
      <c r="P922" s="149"/>
      <c r="Q922" s="149"/>
      <c r="R922" s="149"/>
    </row>
    <row r="923" spans="1:18" s="154" customFormat="1" ht="18.75" customHeight="1" x14ac:dyDescent="0.25">
      <c r="A923" s="245"/>
      <c r="B923" s="246" t="s">
        <v>1466</v>
      </c>
      <c r="C923" s="246"/>
      <c r="D923" s="246"/>
      <c r="E923" s="246"/>
      <c r="F923" s="247"/>
      <c r="G923" s="248">
        <v>12</v>
      </c>
      <c r="H923" s="249">
        <v>3.3</v>
      </c>
      <c r="I923" s="249">
        <f>2.1*0.9</f>
        <v>1.8900000000000001</v>
      </c>
      <c r="J923" s="248"/>
      <c r="K923" s="249">
        <f t="shared" si="55"/>
        <v>37.71</v>
      </c>
      <c r="L923" s="250"/>
      <c r="M923" s="149"/>
      <c r="N923" s="149"/>
      <c r="O923" s="149"/>
      <c r="P923" s="149"/>
      <c r="Q923" s="149"/>
      <c r="R923" s="149"/>
    </row>
    <row r="924" spans="1:18" s="154" customFormat="1" ht="18.75" customHeight="1" x14ac:dyDescent="0.25">
      <c r="A924" s="245"/>
      <c r="B924" s="246" t="s">
        <v>813</v>
      </c>
      <c r="C924" s="246"/>
      <c r="D924" s="246"/>
      <c r="E924" s="246"/>
      <c r="F924" s="247"/>
      <c r="G924" s="248">
        <v>48.27</v>
      </c>
      <c r="H924" s="249">
        <v>3.3</v>
      </c>
      <c r="I924" s="249">
        <f>13*2.1*0.9+2.4*2.1</f>
        <v>29.61</v>
      </c>
      <c r="J924" s="248"/>
      <c r="K924" s="249">
        <f t="shared" si="55"/>
        <v>129.68</v>
      </c>
      <c r="L924" s="250"/>
      <c r="M924" s="149"/>
      <c r="N924" s="149"/>
      <c r="O924" s="149"/>
      <c r="P924" s="149"/>
      <c r="Q924" s="149"/>
      <c r="R924" s="149"/>
    </row>
    <row r="925" spans="1:18" s="154" customFormat="1" ht="18.75" customHeight="1" x14ac:dyDescent="0.25">
      <c r="A925" s="245"/>
      <c r="B925" s="246" t="s">
        <v>1666</v>
      </c>
      <c r="C925" s="246"/>
      <c r="D925" s="246"/>
      <c r="E925" s="246"/>
      <c r="F925" s="247"/>
      <c r="G925" s="248">
        <v>29.3</v>
      </c>
      <c r="H925" s="249">
        <v>2.8</v>
      </c>
      <c r="I925" s="249"/>
      <c r="J925" s="248"/>
      <c r="K925" s="249">
        <f t="shared" si="55"/>
        <v>82.04</v>
      </c>
      <c r="L925" s="250"/>
      <c r="M925" s="149"/>
      <c r="N925" s="149"/>
      <c r="O925" s="149"/>
      <c r="P925" s="149"/>
      <c r="Q925" s="149"/>
      <c r="R925" s="149"/>
    </row>
    <row r="926" spans="1:18" s="154" customFormat="1" ht="18.75" customHeight="1" x14ac:dyDescent="0.25">
      <c r="A926" s="245"/>
      <c r="B926" s="246" t="s">
        <v>1667</v>
      </c>
      <c r="C926" s="246"/>
      <c r="D926" s="246"/>
      <c r="E926" s="246"/>
      <c r="F926" s="247"/>
      <c r="G926" s="248">
        <v>36.5</v>
      </c>
      <c r="H926" s="249">
        <v>2.8</v>
      </c>
      <c r="I926" s="249">
        <f>0.9*2.1+0.8*2.1+2*1.1</f>
        <v>5.7700000000000005</v>
      </c>
      <c r="J926" s="248"/>
      <c r="K926" s="249">
        <f t="shared" si="55"/>
        <v>96.43</v>
      </c>
      <c r="L926" s="250"/>
      <c r="M926" s="149"/>
      <c r="N926" s="149"/>
      <c r="O926" s="149"/>
      <c r="P926" s="149"/>
      <c r="Q926" s="149"/>
      <c r="R926" s="149"/>
    </row>
    <row r="927" spans="1:18" s="154" customFormat="1" ht="20.100000000000001" customHeight="1" x14ac:dyDescent="0.25">
      <c r="A927" s="475" t="s">
        <v>1384</v>
      </c>
      <c r="B927" s="476"/>
      <c r="C927" s="476"/>
      <c r="D927" s="476"/>
      <c r="E927" s="476"/>
      <c r="F927" s="476"/>
      <c r="G927" s="476"/>
      <c r="H927" s="476"/>
      <c r="I927" s="476"/>
      <c r="J927" s="476"/>
      <c r="K927" s="477"/>
      <c r="L927" s="250"/>
      <c r="M927" s="149"/>
      <c r="N927" s="149"/>
      <c r="O927" s="149"/>
      <c r="P927" s="149"/>
      <c r="Q927" s="149"/>
      <c r="R927" s="149"/>
    </row>
    <row r="928" spans="1:18" s="154" customFormat="1" ht="20.100000000000001" customHeight="1" x14ac:dyDescent="0.25">
      <c r="A928" s="245"/>
      <c r="B928" s="246" t="s">
        <v>810</v>
      </c>
      <c r="C928" s="246"/>
      <c r="D928" s="246"/>
      <c r="E928" s="246"/>
      <c r="F928" s="247"/>
      <c r="G928" s="248">
        <v>15.1</v>
      </c>
      <c r="H928" s="249">
        <v>3.3</v>
      </c>
      <c r="I928" s="249">
        <f>0.9*2.1+2.3*0.75</f>
        <v>3.6150000000000002</v>
      </c>
      <c r="J928" s="248"/>
      <c r="K928" s="249">
        <f t="shared" ref="K928:K934" si="56">TRUNC(G928*H928-I928,2)</f>
        <v>46.21</v>
      </c>
      <c r="L928" s="250"/>
      <c r="M928" s="149"/>
      <c r="N928" s="149"/>
      <c r="O928" s="149"/>
      <c r="P928" s="149"/>
      <c r="Q928" s="149"/>
      <c r="R928" s="149"/>
    </row>
    <row r="929" spans="1:18" s="154" customFormat="1" ht="20.100000000000001" customHeight="1" x14ac:dyDescent="0.25">
      <c r="A929" s="245"/>
      <c r="B929" s="246" t="s">
        <v>1602</v>
      </c>
      <c r="C929" s="246"/>
      <c r="D929" s="246"/>
      <c r="E929" s="246"/>
      <c r="F929" s="247"/>
      <c r="G929" s="248">
        <v>9.4</v>
      </c>
      <c r="H929" s="249">
        <v>3.3</v>
      </c>
      <c r="I929" s="249">
        <f>2*0.9*2.1+0.6*0.4</f>
        <v>4.0200000000000005</v>
      </c>
      <c r="J929" s="248"/>
      <c r="K929" s="249">
        <f t="shared" si="56"/>
        <v>27</v>
      </c>
      <c r="L929" s="250"/>
      <c r="M929" s="149"/>
      <c r="N929" s="149"/>
      <c r="O929" s="149"/>
      <c r="P929" s="149"/>
      <c r="Q929" s="149"/>
      <c r="R929" s="149"/>
    </row>
    <row r="930" spans="1:18" s="154" customFormat="1" ht="20.100000000000001" customHeight="1" x14ac:dyDescent="0.25">
      <c r="A930" s="245"/>
      <c r="B930" s="246" t="s">
        <v>1622</v>
      </c>
      <c r="C930" s="246"/>
      <c r="D930" s="246"/>
      <c r="E930" s="246"/>
      <c r="F930" s="247"/>
      <c r="G930" s="248">
        <v>23.6</v>
      </c>
      <c r="H930" s="249">
        <v>3.3</v>
      </c>
      <c r="I930" s="249">
        <f>2*3*0.8+1*0.8+3*0.9*2.1+2.1*1.2</f>
        <v>13.790000000000001</v>
      </c>
      <c r="J930" s="248"/>
      <c r="K930" s="249">
        <f t="shared" si="56"/>
        <v>64.09</v>
      </c>
      <c r="L930" s="250"/>
      <c r="M930" s="149"/>
      <c r="N930" s="149"/>
      <c r="O930" s="149"/>
      <c r="P930" s="149"/>
      <c r="Q930" s="149"/>
      <c r="R930" s="149"/>
    </row>
    <row r="931" spans="1:18" s="154" customFormat="1" ht="20.100000000000001" customHeight="1" x14ac:dyDescent="0.25">
      <c r="A931" s="245"/>
      <c r="B931" s="246" t="s">
        <v>1552</v>
      </c>
      <c r="C931" s="246"/>
      <c r="D931" s="246"/>
      <c r="E931" s="246"/>
      <c r="F931" s="247"/>
      <c r="G931" s="248">
        <v>11.86</v>
      </c>
      <c r="H931" s="249">
        <f>3.3-1.9</f>
        <v>1.4</v>
      </c>
      <c r="I931" s="249">
        <f>2.1*0.9+1*0.8*0.6*0.4</f>
        <v>2.0820000000000003</v>
      </c>
      <c r="J931" s="248"/>
      <c r="K931" s="249">
        <f t="shared" si="56"/>
        <v>14.52</v>
      </c>
      <c r="L931" s="250"/>
      <c r="M931" s="149"/>
      <c r="N931" s="149"/>
      <c r="O931" s="149"/>
      <c r="P931" s="149"/>
      <c r="Q931" s="149"/>
      <c r="R931" s="149"/>
    </row>
    <row r="932" spans="1:18" s="154" customFormat="1" ht="20.100000000000001" customHeight="1" x14ac:dyDescent="0.25">
      <c r="A932" s="245"/>
      <c r="B932" s="246" t="s">
        <v>811</v>
      </c>
      <c r="C932" s="246"/>
      <c r="D932" s="246"/>
      <c r="E932" s="246"/>
      <c r="F932" s="247"/>
      <c r="G932" s="248">
        <v>12.58</v>
      </c>
      <c r="H932" s="249">
        <f>3.3-1.9</f>
        <v>1.4</v>
      </c>
      <c r="I932" s="249">
        <f>1.5*1+0.9*2.1</f>
        <v>3.39</v>
      </c>
      <c r="J932" s="248"/>
      <c r="K932" s="249">
        <f t="shared" si="56"/>
        <v>14.22</v>
      </c>
      <c r="L932" s="250"/>
      <c r="M932" s="149"/>
      <c r="N932" s="149"/>
      <c r="O932" s="149"/>
      <c r="P932" s="149"/>
      <c r="Q932" s="149"/>
      <c r="R932" s="149"/>
    </row>
    <row r="933" spans="1:18" s="154" customFormat="1" ht="20.100000000000001" customHeight="1" x14ac:dyDescent="0.25">
      <c r="A933" s="245"/>
      <c r="B933" s="246" t="s">
        <v>1668</v>
      </c>
      <c r="C933" s="246"/>
      <c r="D933" s="246"/>
      <c r="E933" s="246"/>
      <c r="F933" s="247"/>
      <c r="G933" s="248">
        <v>7.6</v>
      </c>
      <c r="H933" s="249">
        <f t="shared" ref="H933:H936" si="57">3.3-1.9</f>
        <v>1.4</v>
      </c>
      <c r="I933" s="249">
        <f>2.1*0.9</f>
        <v>1.8900000000000001</v>
      </c>
      <c r="J933" s="248"/>
      <c r="K933" s="249">
        <f t="shared" si="56"/>
        <v>8.75</v>
      </c>
      <c r="L933" s="250"/>
      <c r="M933" s="149"/>
      <c r="N933" s="149"/>
      <c r="O933" s="149"/>
      <c r="P933" s="149"/>
      <c r="Q933" s="149"/>
      <c r="R933" s="149"/>
    </row>
    <row r="934" spans="1:18" s="154" customFormat="1" ht="20.100000000000001" customHeight="1" x14ac:dyDescent="0.25">
      <c r="A934" s="245"/>
      <c r="B934" s="246" t="s">
        <v>1669</v>
      </c>
      <c r="C934" s="246"/>
      <c r="D934" s="246"/>
      <c r="E934" s="246"/>
      <c r="F934" s="247"/>
      <c r="G934" s="248">
        <v>8.1999999999999993</v>
      </c>
      <c r="H934" s="249">
        <f t="shared" si="57"/>
        <v>1.4</v>
      </c>
      <c r="I934" s="249">
        <f>2.1*0.9</f>
        <v>1.8900000000000001</v>
      </c>
      <c r="J934" s="248"/>
      <c r="K934" s="249">
        <f t="shared" si="56"/>
        <v>9.59</v>
      </c>
      <c r="L934" s="250"/>
      <c r="M934" s="149"/>
      <c r="N934" s="149"/>
      <c r="O934" s="149"/>
      <c r="P934" s="149"/>
      <c r="Q934" s="149"/>
      <c r="R934" s="149"/>
    </row>
    <row r="935" spans="1:18" s="154" customFormat="1" ht="18.75" customHeight="1" x14ac:dyDescent="0.25">
      <c r="A935" s="245"/>
      <c r="B935" s="246" t="s">
        <v>1670</v>
      </c>
      <c r="C935" s="246"/>
      <c r="D935" s="246"/>
      <c r="E935" s="246"/>
      <c r="F935" s="247"/>
      <c r="G935" s="248">
        <v>11.7</v>
      </c>
      <c r="H935" s="249">
        <v>3.3</v>
      </c>
      <c r="I935" s="249">
        <f>2.3*0.75+0.9*2.1</f>
        <v>3.6150000000000002</v>
      </c>
      <c r="J935" s="248"/>
      <c r="K935" s="249">
        <f>TRUNC(G935*H935-I935,2)</f>
        <v>34.99</v>
      </c>
      <c r="L935" s="250"/>
      <c r="M935" s="149"/>
      <c r="N935" s="149"/>
      <c r="O935" s="149"/>
      <c r="P935" s="149"/>
      <c r="Q935" s="149"/>
      <c r="R935" s="149"/>
    </row>
    <row r="936" spans="1:18" s="154" customFormat="1" ht="18.75" customHeight="1" x14ac:dyDescent="0.25">
      <c r="A936" s="245"/>
      <c r="B936" s="246" t="s">
        <v>1553</v>
      </c>
      <c r="C936" s="246"/>
      <c r="D936" s="246"/>
      <c r="E936" s="246"/>
      <c r="F936" s="247"/>
      <c r="G936" s="248">
        <v>11.86</v>
      </c>
      <c r="H936" s="249">
        <f t="shared" si="57"/>
        <v>1.4</v>
      </c>
      <c r="I936" s="249">
        <f>2.1*0.9+0.6*0.4+0.6*0.4</f>
        <v>2.37</v>
      </c>
      <c r="J936" s="248"/>
      <c r="K936" s="249">
        <f t="shared" ref="K936:K951" si="58">TRUNC(G936*H936-I936,2)</f>
        <v>14.23</v>
      </c>
      <c r="L936" s="250"/>
      <c r="M936" s="149"/>
      <c r="N936" s="149"/>
      <c r="O936" s="149"/>
      <c r="P936" s="149"/>
      <c r="Q936" s="149"/>
      <c r="R936" s="149"/>
    </row>
    <row r="937" spans="1:18" s="154" customFormat="1" ht="18.75" customHeight="1" x14ac:dyDescent="0.25">
      <c r="A937" s="245"/>
      <c r="B937" s="246" t="s">
        <v>1604</v>
      </c>
      <c r="C937" s="246"/>
      <c r="D937" s="246"/>
      <c r="E937" s="246"/>
      <c r="F937" s="247"/>
      <c r="G937" s="248">
        <v>13.25</v>
      </c>
      <c r="H937" s="249">
        <v>3.3</v>
      </c>
      <c r="I937" s="249">
        <f>2.3*0.75+0.9*2.1</f>
        <v>3.6150000000000002</v>
      </c>
      <c r="J937" s="248"/>
      <c r="K937" s="249">
        <f t="shared" si="58"/>
        <v>40.11</v>
      </c>
      <c r="L937" s="250"/>
      <c r="M937" s="149"/>
      <c r="N937" s="149"/>
      <c r="O937" s="149"/>
      <c r="P937" s="149"/>
      <c r="Q937" s="149"/>
      <c r="R937" s="149"/>
    </row>
    <row r="938" spans="1:18" s="154" customFormat="1" ht="18.75" customHeight="1" x14ac:dyDescent="0.25">
      <c r="A938" s="245"/>
      <c r="B938" s="246" t="s">
        <v>1605</v>
      </c>
      <c r="C938" s="246"/>
      <c r="D938" s="246"/>
      <c r="E938" s="246"/>
      <c r="F938" s="247"/>
      <c r="G938" s="248">
        <v>13.25</v>
      </c>
      <c r="H938" s="249">
        <v>3.3</v>
      </c>
      <c r="I938" s="249">
        <f t="shared" ref="I938:I942" si="59">2.3*0.75+0.9*2.1</f>
        <v>3.6150000000000002</v>
      </c>
      <c r="J938" s="248"/>
      <c r="K938" s="249">
        <f t="shared" si="58"/>
        <v>40.11</v>
      </c>
      <c r="L938" s="250"/>
      <c r="M938" s="149"/>
      <c r="N938" s="149"/>
      <c r="O938" s="149"/>
      <c r="P938" s="149"/>
      <c r="Q938" s="149"/>
      <c r="R938" s="149"/>
    </row>
    <row r="939" spans="1:18" s="154" customFormat="1" ht="18.75" customHeight="1" x14ac:dyDescent="0.25">
      <c r="A939" s="245"/>
      <c r="B939" s="246" t="s">
        <v>1606</v>
      </c>
      <c r="C939" s="246"/>
      <c r="D939" s="246"/>
      <c r="E939" s="246"/>
      <c r="F939" s="247"/>
      <c r="G939" s="248">
        <v>13.25</v>
      </c>
      <c r="H939" s="249">
        <v>3.3</v>
      </c>
      <c r="I939" s="249">
        <f t="shared" si="59"/>
        <v>3.6150000000000002</v>
      </c>
      <c r="J939" s="248"/>
      <c r="K939" s="249">
        <f t="shared" si="58"/>
        <v>40.11</v>
      </c>
      <c r="L939" s="250"/>
      <c r="M939" s="149"/>
      <c r="N939" s="149"/>
      <c r="O939" s="149"/>
      <c r="P939" s="149"/>
      <c r="Q939" s="149"/>
      <c r="R939" s="149"/>
    </row>
    <row r="940" spans="1:18" s="154" customFormat="1" ht="18.75" customHeight="1" x14ac:dyDescent="0.25">
      <c r="A940" s="245"/>
      <c r="B940" s="246" t="s">
        <v>1607</v>
      </c>
      <c r="C940" s="246"/>
      <c r="D940" s="246"/>
      <c r="E940" s="246"/>
      <c r="F940" s="247"/>
      <c r="G940" s="248">
        <v>13.25</v>
      </c>
      <c r="H940" s="249">
        <v>3.3</v>
      </c>
      <c r="I940" s="249">
        <f t="shared" si="59"/>
        <v>3.6150000000000002</v>
      </c>
      <c r="J940" s="248"/>
      <c r="K940" s="249">
        <f t="shared" si="58"/>
        <v>40.11</v>
      </c>
      <c r="L940" s="250"/>
      <c r="M940" s="149"/>
      <c r="N940" s="149"/>
      <c r="O940" s="149"/>
      <c r="P940" s="149"/>
      <c r="Q940" s="149"/>
      <c r="R940" s="149"/>
    </row>
    <row r="941" spans="1:18" s="154" customFormat="1" ht="18.75" customHeight="1" x14ac:dyDescent="0.25">
      <c r="A941" s="245"/>
      <c r="B941" s="246" t="s">
        <v>1608</v>
      </c>
      <c r="C941" s="246"/>
      <c r="D941" s="246"/>
      <c r="E941" s="246"/>
      <c r="F941" s="247"/>
      <c r="G941" s="248">
        <v>13.25</v>
      </c>
      <c r="H941" s="249">
        <v>3.3</v>
      </c>
      <c r="I941" s="249">
        <f t="shared" si="59"/>
        <v>3.6150000000000002</v>
      </c>
      <c r="J941" s="248"/>
      <c r="K941" s="249">
        <f t="shared" si="58"/>
        <v>40.11</v>
      </c>
      <c r="L941" s="250"/>
      <c r="M941" s="149"/>
      <c r="N941" s="149"/>
      <c r="O941" s="149"/>
      <c r="P941" s="149"/>
      <c r="Q941" s="149"/>
      <c r="R941" s="149"/>
    </row>
    <row r="942" spans="1:18" s="154" customFormat="1" ht="18.75" customHeight="1" x14ac:dyDescent="0.25">
      <c r="A942" s="245"/>
      <c r="B942" s="246" t="s">
        <v>1609</v>
      </c>
      <c r="C942" s="246"/>
      <c r="D942" s="246"/>
      <c r="E942" s="246"/>
      <c r="F942" s="247"/>
      <c r="G942" s="248">
        <v>13.25</v>
      </c>
      <c r="H942" s="249">
        <v>3.3</v>
      </c>
      <c r="I942" s="249">
        <f t="shared" si="59"/>
        <v>3.6150000000000002</v>
      </c>
      <c r="J942" s="248"/>
      <c r="K942" s="249">
        <f t="shared" si="58"/>
        <v>40.11</v>
      </c>
      <c r="L942" s="250"/>
      <c r="M942" s="149"/>
      <c r="N942" s="149"/>
      <c r="O942" s="149"/>
      <c r="P942" s="149"/>
      <c r="Q942" s="149"/>
      <c r="R942" s="149"/>
    </row>
    <row r="943" spans="1:18" s="154" customFormat="1" ht="18.75" customHeight="1" x14ac:dyDescent="0.25">
      <c r="A943" s="245"/>
      <c r="B943" s="246" t="s">
        <v>1671</v>
      </c>
      <c r="C943" s="246"/>
      <c r="D943" s="246"/>
      <c r="E943" s="246"/>
      <c r="F943" s="247"/>
      <c r="G943" s="248">
        <v>18.18</v>
      </c>
      <c r="H943" s="249">
        <v>3.3</v>
      </c>
      <c r="I943" s="249">
        <f>2*2.3*0.75+2.1*0.9</f>
        <v>5.34</v>
      </c>
      <c r="J943" s="248"/>
      <c r="K943" s="249">
        <f t="shared" si="58"/>
        <v>54.65</v>
      </c>
      <c r="L943" s="250"/>
      <c r="M943" s="149"/>
      <c r="N943" s="149"/>
      <c r="O943" s="149"/>
      <c r="P943" s="149"/>
      <c r="Q943" s="149"/>
      <c r="R943" s="149"/>
    </row>
    <row r="944" spans="1:18" s="154" customFormat="1" ht="18.75" customHeight="1" x14ac:dyDescent="0.25">
      <c r="A944" s="245"/>
      <c r="B944" s="246" t="s">
        <v>1672</v>
      </c>
      <c r="C944" s="246"/>
      <c r="D944" s="246"/>
      <c r="E944" s="246"/>
      <c r="F944" s="247"/>
      <c r="G944" s="248">
        <v>13.11</v>
      </c>
      <c r="H944" s="249">
        <v>3.3</v>
      </c>
      <c r="I944" s="249">
        <f>2.1*0.9+2.3*0.75</f>
        <v>3.6150000000000002</v>
      </c>
      <c r="J944" s="248"/>
      <c r="K944" s="249">
        <f t="shared" si="58"/>
        <v>39.64</v>
      </c>
      <c r="L944" s="250"/>
      <c r="M944" s="149"/>
      <c r="N944" s="149"/>
      <c r="O944" s="149"/>
      <c r="P944" s="149"/>
      <c r="Q944" s="149"/>
      <c r="R944" s="149"/>
    </row>
    <row r="945" spans="1:18" s="154" customFormat="1" ht="18.75" customHeight="1" x14ac:dyDescent="0.25">
      <c r="A945" s="245"/>
      <c r="B945" s="246" t="s">
        <v>1610</v>
      </c>
      <c r="C945" s="246"/>
      <c r="D945" s="246"/>
      <c r="E945" s="246"/>
      <c r="F945" s="247"/>
      <c r="G945" s="248">
        <v>13</v>
      </c>
      <c r="H945" s="249">
        <v>3.3</v>
      </c>
      <c r="I945" s="249">
        <f>2.1*0.9+2.3*0.75</f>
        <v>3.6150000000000002</v>
      </c>
      <c r="J945" s="248"/>
      <c r="K945" s="249">
        <f t="shared" si="58"/>
        <v>39.28</v>
      </c>
      <c r="L945" s="250"/>
      <c r="M945" s="149"/>
      <c r="N945" s="149"/>
      <c r="O945" s="149"/>
      <c r="P945" s="149"/>
      <c r="Q945" s="149"/>
      <c r="R945" s="149"/>
    </row>
    <row r="946" spans="1:18" s="154" customFormat="1" ht="18.75" customHeight="1" x14ac:dyDescent="0.25">
      <c r="A946" s="245"/>
      <c r="B946" s="246" t="s">
        <v>1569</v>
      </c>
      <c r="C946" s="246"/>
      <c r="D946" s="246"/>
      <c r="E946" s="246"/>
      <c r="F946" s="247"/>
      <c r="G946" s="248">
        <v>13</v>
      </c>
      <c r="H946" s="249">
        <f t="shared" ref="H946:H947" si="60">3.3-1.9</f>
        <v>1.4</v>
      </c>
      <c r="I946" s="249">
        <f>2.1*0.9+2.3*0.75</f>
        <v>3.6150000000000002</v>
      </c>
      <c r="J946" s="248"/>
      <c r="K946" s="249">
        <f t="shared" si="58"/>
        <v>14.58</v>
      </c>
      <c r="L946" s="250"/>
      <c r="M946" s="149"/>
      <c r="N946" s="149"/>
      <c r="O946" s="149"/>
      <c r="P946" s="149"/>
      <c r="Q946" s="149"/>
      <c r="R946" s="149"/>
    </row>
    <row r="947" spans="1:18" s="154" customFormat="1" ht="18.75" customHeight="1" x14ac:dyDescent="0.25">
      <c r="A947" s="245"/>
      <c r="B947" s="246" t="s">
        <v>1584</v>
      </c>
      <c r="C947" s="246"/>
      <c r="D947" s="246"/>
      <c r="E947" s="246"/>
      <c r="F947" s="247"/>
      <c r="G947" s="248">
        <v>13</v>
      </c>
      <c r="H947" s="249">
        <f t="shared" si="60"/>
        <v>1.4</v>
      </c>
      <c r="I947" s="249">
        <f>2.1*0.9+2.3*0.75</f>
        <v>3.6150000000000002</v>
      </c>
      <c r="J947" s="248"/>
      <c r="K947" s="249">
        <f t="shared" si="58"/>
        <v>14.58</v>
      </c>
      <c r="L947" s="250"/>
      <c r="M947" s="149"/>
      <c r="N947" s="149"/>
      <c r="O947" s="149"/>
      <c r="P947" s="149"/>
      <c r="Q947" s="149"/>
      <c r="R947" s="149"/>
    </row>
    <row r="948" spans="1:18" s="154" customFormat="1" ht="18.75" customHeight="1" x14ac:dyDescent="0.25">
      <c r="A948" s="245"/>
      <c r="B948" s="246" t="s">
        <v>1391</v>
      </c>
      <c r="C948" s="246"/>
      <c r="D948" s="246"/>
      <c r="E948" s="246"/>
      <c r="F948" s="247"/>
      <c r="G948" s="248">
        <v>10.86</v>
      </c>
      <c r="H948" s="249">
        <v>3.3</v>
      </c>
      <c r="I948" s="249">
        <f>1.4*0.7+2.1*0.9</f>
        <v>2.87</v>
      </c>
      <c r="J948" s="248"/>
      <c r="K948" s="249">
        <f t="shared" si="58"/>
        <v>32.96</v>
      </c>
      <c r="L948" s="250"/>
      <c r="M948" s="149"/>
      <c r="N948" s="149"/>
      <c r="O948" s="149"/>
      <c r="P948" s="149"/>
      <c r="Q948" s="149"/>
      <c r="R948" s="149"/>
    </row>
    <row r="949" spans="1:18" s="154" customFormat="1" ht="18.75" customHeight="1" x14ac:dyDescent="0.25">
      <c r="A949" s="245"/>
      <c r="B949" s="246" t="s">
        <v>1453</v>
      </c>
      <c r="C949" s="246"/>
      <c r="D949" s="246"/>
      <c r="E949" s="246"/>
      <c r="F949" s="247"/>
      <c r="G949" s="248">
        <v>9.5</v>
      </c>
      <c r="H949" s="249">
        <v>3.3</v>
      </c>
      <c r="I949" s="249">
        <f>2*0.9*2.1</f>
        <v>3.7800000000000002</v>
      </c>
      <c r="J949" s="248"/>
      <c r="K949" s="249">
        <f t="shared" si="58"/>
        <v>27.57</v>
      </c>
      <c r="L949" s="250"/>
      <c r="M949" s="149"/>
      <c r="N949" s="149"/>
      <c r="O949" s="149"/>
      <c r="P949" s="149"/>
      <c r="Q949" s="149"/>
      <c r="R949" s="149"/>
    </row>
    <row r="950" spans="1:18" s="154" customFormat="1" ht="18.75" customHeight="1" x14ac:dyDescent="0.25">
      <c r="A950" s="245"/>
      <c r="B950" s="246" t="s">
        <v>812</v>
      </c>
      <c r="C950" s="246"/>
      <c r="D950" s="246"/>
      <c r="E950" s="246"/>
      <c r="F950" s="247"/>
      <c r="G950" s="248">
        <v>25.74</v>
      </c>
      <c r="H950" s="249">
        <v>3.3</v>
      </c>
      <c r="I950" s="249">
        <f>0.9*0.65+1.2*2.1+2*2.1*0.9+2.3*0.75+2.1*1.2</f>
        <v>11.129999999999999</v>
      </c>
      <c r="J950" s="248"/>
      <c r="K950" s="249">
        <f t="shared" si="58"/>
        <v>73.81</v>
      </c>
      <c r="L950" s="250"/>
      <c r="M950" s="149"/>
      <c r="N950" s="149"/>
      <c r="O950" s="149"/>
      <c r="P950" s="149"/>
      <c r="Q950" s="149"/>
      <c r="R950" s="149"/>
    </row>
    <row r="951" spans="1:18" s="154" customFormat="1" ht="18.75" customHeight="1" x14ac:dyDescent="0.25">
      <c r="A951" s="245"/>
      <c r="B951" s="246" t="s">
        <v>813</v>
      </c>
      <c r="C951" s="246"/>
      <c r="D951" s="246"/>
      <c r="E951" s="246"/>
      <c r="F951" s="247"/>
      <c r="G951" s="248">
        <v>35.200000000000003</v>
      </c>
      <c r="H951" s="249">
        <v>3.3</v>
      </c>
      <c r="I951" s="249">
        <f>12*0.9*2.1-1.2*2.1-1.2*2.1</f>
        <v>17.640000000000004</v>
      </c>
      <c r="J951" s="248"/>
      <c r="K951" s="249">
        <f t="shared" si="58"/>
        <v>98.52</v>
      </c>
      <c r="L951" s="250"/>
      <c r="M951" s="149"/>
      <c r="N951" s="149"/>
      <c r="O951" s="149"/>
      <c r="P951" s="149"/>
      <c r="Q951" s="149"/>
      <c r="R951" s="149"/>
    </row>
    <row r="952" spans="1:18" s="154" customFormat="1" ht="20.100000000000001" customHeight="1" x14ac:dyDescent="0.25">
      <c r="A952" s="475" t="s">
        <v>1409</v>
      </c>
      <c r="B952" s="476"/>
      <c r="C952" s="476"/>
      <c r="D952" s="476"/>
      <c r="E952" s="476"/>
      <c r="F952" s="476"/>
      <c r="G952" s="476"/>
      <c r="H952" s="476"/>
      <c r="I952" s="476"/>
      <c r="J952" s="476"/>
      <c r="K952" s="477"/>
      <c r="L952" s="250"/>
      <c r="M952" s="149"/>
      <c r="N952" s="149"/>
      <c r="O952" s="149"/>
      <c r="P952" s="149"/>
      <c r="Q952" s="149"/>
      <c r="R952" s="149"/>
    </row>
    <row r="953" spans="1:18" s="154" customFormat="1" ht="20.100000000000001" customHeight="1" x14ac:dyDescent="0.25">
      <c r="A953" s="245"/>
      <c r="B953" s="246" t="s">
        <v>1556</v>
      </c>
      <c r="C953" s="246"/>
      <c r="D953" s="246"/>
      <c r="E953" s="246"/>
      <c r="F953" s="247"/>
      <c r="G953" s="249">
        <f>23.6</f>
        <v>23.6</v>
      </c>
      <c r="H953" s="249">
        <v>3.3</v>
      </c>
      <c r="I953" s="249">
        <f>0.9*2.1+2.3*0.75</f>
        <v>3.6150000000000002</v>
      </c>
      <c r="J953" s="248"/>
      <c r="K953" s="249">
        <f>TRUNC(G953*H953-I953,2)</f>
        <v>74.260000000000005</v>
      </c>
      <c r="L953" s="250"/>
      <c r="M953" s="149"/>
      <c r="N953" s="149"/>
      <c r="O953" s="149"/>
      <c r="P953" s="149"/>
      <c r="Q953" s="149"/>
      <c r="R953" s="149"/>
    </row>
    <row r="954" spans="1:18" s="154" customFormat="1" ht="20.100000000000001" customHeight="1" x14ac:dyDescent="0.25">
      <c r="A954" s="245"/>
      <c r="B954" s="246" t="s">
        <v>811</v>
      </c>
      <c r="C954" s="246"/>
      <c r="D954" s="246"/>
      <c r="E954" s="246"/>
      <c r="F954" s="247"/>
      <c r="G954" s="249">
        <f>11.5</f>
        <v>11.5</v>
      </c>
      <c r="H954" s="249">
        <v>3.3</v>
      </c>
      <c r="I954" s="249">
        <f>0.9*2.1</f>
        <v>1.8900000000000001</v>
      </c>
      <c r="J954" s="248"/>
      <c r="K954" s="249">
        <f t="shared" ref="K954:K968" si="61">TRUNC(G954*H954-I954,2)</f>
        <v>36.06</v>
      </c>
      <c r="L954" s="250"/>
      <c r="M954" s="149"/>
      <c r="N954" s="149"/>
      <c r="O954" s="149"/>
      <c r="P954" s="149"/>
      <c r="Q954" s="149"/>
      <c r="R954" s="149"/>
    </row>
    <row r="955" spans="1:18" s="154" customFormat="1" ht="20.100000000000001" customHeight="1" x14ac:dyDescent="0.25">
      <c r="A955" s="245"/>
      <c r="B955" s="246" t="s">
        <v>1673</v>
      </c>
      <c r="C955" s="246"/>
      <c r="D955" s="246"/>
      <c r="E955" s="246"/>
      <c r="F955" s="247"/>
      <c r="G955" s="249">
        <f>8.2</f>
        <v>8.1999999999999993</v>
      </c>
      <c r="H955" s="249">
        <f>3.3-1.9</f>
        <v>1.4</v>
      </c>
      <c r="I955" s="249">
        <f>0.9*2.1+1.4*0.7</f>
        <v>2.87</v>
      </c>
      <c r="J955" s="248"/>
      <c r="K955" s="249">
        <f t="shared" si="61"/>
        <v>8.61</v>
      </c>
      <c r="L955" s="250"/>
      <c r="M955" s="149"/>
      <c r="N955" s="149"/>
      <c r="O955" s="149"/>
      <c r="P955" s="149"/>
      <c r="Q955" s="149"/>
      <c r="R955" s="149"/>
    </row>
    <row r="956" spans="1:18" s="154" customFormat="1" ht="20.100000000000001" customHeight="1" x14ac:dyDescent="0.25">
      <c r="A956" s="245"/>
      <c r="B956" s="246" t="s">
        <v>1674</v>
      </c>
      <c r="C956" s="246"/>
      <c r="D956" s="246"/>
      <c r="E956" s="246"/>
      <c r="F956" s="247"/>
      <c r="G956" s="249">
        <f>8.2</f>
        <v>8.1999999999999993</v>
      </c>
      <c r="H956" s="249">
        <f>3.3-1.9</f>
        <v>1.4</v>
      </c>
      <c r="I956" s="249">
        <f>0.9*2.1+1.4*0.7</f>
        <v>2.87</v>
      </c>
      <c r="J956" s="248"/>
      <c r="K956" s="249">
        <f t="shared" si="61"/>
        <v>8.61</v>
      </c>
      <c r="L956" s="250"/>
      <c r="M956" s="149"/>
      <c r="N956" s="149"/>
      <c r="O956" s="149"/>
      <c r="P956" s="149"/>
      <c r="Q956" s="149"/>
      <c r="R956" s="149"/>
    </row>
    <row r="957" spans="1:18" s="154" customFormat="1" ht="20.100000000000001" customHeight="1" x14ac:dyDescent="0.25">
      <c r="A957" s="245"/>
      <c r="B957" s="246" t="s">
        <v>813</v>
      </c>
      <c r="C957" s="246"/>
      <c r="D957" s="246"/>
      <c r="E957" s="246"/>
      <c r="F957" s="247"/>
      <c r="G957" s="249">
        <f>26.86-4.95-1</f>
        <v>20.91</v>
      </c>
      <c r="H957" s="249">
        <v>3.3</v>
      </c>
      <c r="I957" s="249">
        <f>(4.95+1)*2.1+2.3*0.8</f>
        <v>14.335000000000001</v>
      </c>
      <c r="J957" s="248"/>
      <c r="K957" s="249">
        <f t="shared" si="61"/>
        <v>54.66</v>
      </c>
      <c r="L957" s="250"/>
      <c r="M957" s="149"/>
      <c r="N957" s="149"/>
      <c r="O957" s="149"/>
      <c r="P957" s="149"/>
      <c r="Q957" s="149"/>
      <c r="R957" s="149"/>
    </row>
    <row r="958" spans="1:18" s="154" customFormat="1" ht="20.100000000000001" customHeight="1" x14ac:dyDescent="0.25">
      <c r="A958" s="245"/>
      <c r="B958" s="246" t="s">
        <v>1675</v>
      </c>
      <c r="C958" s="246"/>
      <c r="D958" s="246"/>
      <c r="E958" s="246"/>
      <c r="F958" s="247"/>
      <c r="G958" s="249">
        <f>49.45</f>
        <v>49.45</v>
      </c>
      <c r="H958" s="249">
        <v>3.3</v>
      </c>
      <c r="I958" s="249">
        <f>2.1*9*0.9+2.3*0.75</f>
        <v>18.735000000000003</v>
      </c>
      <c r="J958" s="248"/>
      <c r="K958" s="249">
        <f t="shared" si="61"/>
        <v>144.44999999999999</v>
      </c>
      <c r="L958" s="250"/>
      <c r="M958" s="149"/>
      <c r="N958" s="149"/>
      <c r="O958" s="149"/>
      <c r="P958" s="149"/>
      <c r="Q958" s="149"/>
      <c r="R958" s="149"/>
    </row>
    <row r="959" spans="1:18" s="154" customFormat="1" ht="20.100000000000001" customHeight="1" x14ac:dyDescent="0.25">
      <c r="A959" s="245"/>
      <c r="B959" s="246" t="s">
        <v>1558</v>
      </c>
      <c r="C959" s="246"/>
      <c r="D959" s="246"/>
      <c r="E959" s="246"/>
      <c r="F959" s="247"/>
      <c r="G959" s="249">
        <f>29.5</f>
        <v>29.5</v>
      </c>
      <c r="H959" s="249">
        <v>3.3</v>
      </c>
      <c r="I959" s="249">
        <f>2.1*0.9+2*2.3*0.75</f>
        <v>5.34</v>
      </c>
      <c r="J959" s="248"/>
      <c r="K959" s="249">
        <f t="shared" si="61"/>
        <v>92.01</v>
      </c>
      <c r="L959" s="250"/>
      <c r="M959" s="149"/>
      <c r="N959" s="149"/>
      <c r="O959" s="149"/>
      <c r="P959" s="149"/>
      <c r="Q959" s="149"/>
      <c r="R959" s="149"/>
    </row>
    <row r="960" spans="1:18" s="154" customFormat="1" ht="18.75" customHeight="1" x14ac:dyDescent="0.25">
      <c r="A960" s="245"/>
      <c r="B960" s="246" t="s">
        <v>1558</v>
      </c>
      <c r="C960" s="246"/>
      <c r="D960" s="246"/>
      <c r="E960" s="246"/>
      <c r="F960" s="247"/>
      <c r="G960" s="249">
        <f>15.99</f>
        <v>15.99</v>
      </c>
      <c r="H960" s="249">
        <v>3.3</v>
      </c>
      <c r="I960" s="249">
        <f>2.1*0.9+2*2.3*0.75</f>
        <v>5.34</v>
      </c>
      <c r="J960" s="248"/>
      <c r="K960" s="249">
        <f t="shared" si="61"/>
        <v>47.42</v>
      </c>
      <c r="L960" s="250"/>
      <c r="M960" s="149"/>
      <c r="N960" s="149"/>
      <c r="O960" s="149"/>
      <c r="P960" s="149"/>
      <c r="Q960" s="149"/>
      <c r="R960" s="149"/>
    </row>
    <row r="961" spans="1:18" s="154" customFormat="1" ht="18.75" customHeight="1" x14ac:dyDescent="0.25">
      <c r="A961" s="245"/>
      <c r="B961" s="246" t="s">
        <v>1676</v>
      </c>
      <c r="C961" s="246"/>
      <c r="D961" s="246"/>
      <c r="E961" s="246"/>
      <c r="F961" s="247"/>
      <c r="G961" s="249">
        <f>16.9</f>
        <v>16.899999999999999</v>
      </c>
      <c r="H961" s="249">
        <v>3.3</v>
      </c>
      <c r="I961" s="249">
        <f>2.1*0.9+2.3*1.5+1.2*0.75</f>
        <v>6.24</v>
      </c>
      <c r="J961" s="248"/>
      <c r="K961" s="249">
        <f t="shared" si="61"/>
        <v>49.53</v>
      </c>
      <c r="L961" s="250"/>
      <c r="M961" s="149"/>
      <c r="N961" s="149"/>
      <c r="O961" s="149"/>
      <c r="P961" s="149"/>
      <c r="Q961" s="149"/>
      <c r="R961" s="149"/>
    </row>
    <row r="962" spans="1:18" s="154" customFormat="1" ht="18.75" customHeight="1" x14ac:dyDescent="0.25">
      <c r="A962" s="245"/>
      <c r="B962" s="246" t="s">
        <v>1558</v>
      </c>
      <c r="C962" s="246"/>
      <c r="D962" s="246"/>
      <c r="E962" s="246"/>
      <c r="F962" s="247"/>
      <c r="G962" s="249">
        <f>14.5</f>
        <v>14.5</v>
      </c>
      <c r="H962" s="249">
        <v>3.3</v>
      </c>
      <c r="I962" s="249">
        <f>2.1*0.9+2.3*0.75</f>
        <v>3.6150000000000002</v>
      </c>
      <c r="J962" s="248"/>
      <c r="K962" s="249">
        <f t="shared" si="61"/>
        <v>44.23</v>
      </c>
      <c r="L962" s="250"/>
      <c r="M962" s="149"/>
      <c r="N962" s="149"/>
      <c r="O962" s="149"/>
      <c r="P962" s="149"/>
      <c r="Q962" s="149"/>
      <c r="R962" s="149"/>
    </row>
    <row r="963" spans="1:18" s="154" customFormat="1" ht="18.75" customHeight="1" x14ac:dyDescent="0.25">
      <c r="A963" s="245"/>
      <c r="B963" s="246" t="s">
        <v>1558</v>
      </c>
      <c r="C963" s="246"/>
      <c r="D963" s="246"/>
      <c r="E963" s="246"/>
      <c r="F963" s="247"/>
      <c r="G963" s="249">
        <f>14.5</f>
        <v>14.5</v>
      </c>
      <c r="H963" s="249">
        <v>3.3</v>
      </c>
      <c r="I963" s="249">
        <f>2.1*0.9+2.3*0.75</f>
        <v>3.6150000000000002</v>
      </c>
      <c r="J963" s="248"/>
      <c r="K963" s="249">
        <f t="shared" si="61"/>
        <v>44.23</v>
      </c>
      <c r="L963" s="250"/>
      <c r="M963" s="149"/>
      <c r="N963" s="149"/>
      <c r="O963" s="149"/>
      <c r="P963" s="149"/>
      <c r="Q963" s="149"/>
      <c r="R963" s="149"/>
    </row>
    <row r="964" spans="1:18" s="154" customFormat="1" ht="18.75" customHeight="1" x14ac:dyDescent="0.25">
      <c r="A964" s="245"/>
      <c r="B964" s="246" t="s">
        <v>1677</v>
      </c>
      <c r="C964" s="246"/>
      <c r="D964" s="246"/>
      <c r="E964" s="246"/>
      <c r="F964" s="247"/>
      <c r="G964" s="249">
        <f>9.4</f>
        <v>9.4</v>
      </c>
      <c r="H964" s="249">
        <f t="shared" ref="H964:H965" si="62">3.3-1.9</f>
        <v>1.4</v>
      </c>
      <c r="I964" s="249">
        <f>2.1*0.9+2.3*0.75</f>
        <v>3.6150000000000002</v>
      </c>
      <c r="J964" s="248"/>
      <c r="K964" s="249">
        <f t="shared" si="61"/>
        <v>9.5399999999999991</v>
      </c>
      <c r="L964" s="250"/>
      <c r="M964" s="149"/>
      <c r="N964" s="149"/>
      <c r="O964" s="149"/>
      <c r="P964" s="149"/>
      <c r="Q964" s="149"/>
      <c r="R964" s="149"/>
    </row>
    <row r="965" spans="1:18" s="154" customFormat="1" ht="18.75" customHeight="1" x14ac:dyDescent="0.25">
      <c r="A965" s="245"/>
      <c r="B965" s="246" t="s">
        <v>745</v>
      </c>
      <c r="C965" s="246"/>
      <c r="D965" s="246"/>
      <c r="E965" s="246"/>
      <c r="F965" s="247"/>
      <c r="G965" s="249">
        <f>9.4</f>
        <v>9.4</v>
      </c>
      <c r="H965" s="249">
        <f t="shared" si="62"/>
        <v>1.4</v>
      </c>
      <c r="I965" s="249">
        <f>2.1*0.9+2.3*0.75</f>
        <v>3.6150000000000002</v>
      </c>
      <c r="J965" s="248"/>
      <c r="K965" s="249">
        <f t="shared" si="61"/>
        <v>9.5399999999999991</v>
      </c>
      <c r="L965" s="250"/>
      <c r="M965" s="149"/>
      <c r="N965" s="149"/>
      <c r="O965" s="149"/>
      <c r="P965" s="149"/>
      <c r="Q965" s="149"/>
      <c r="R965" s="149"/>
    </row>
    <row r="966" spans="1:18" s="154" customFormat="1" ht="18.75" customHeight="1" x14ac:dyDescent="0.25">
      <c r="A966" s="245"/>
      <c r="B966" s="246" t="s">
        <v>1678</v>
      </c>
      <c r="C966" s="246"/>
      <c r="D966" s="246"/>
      <c r="E966" s="246"/>
      <c r="F966" s="247"/>
      <c r="G966" s="249">
        <f>29.5</f>
        <v>29.5</v>
      </c>
      <c r="H966" s="249">
        <v>3.3</v>
      </c>
      <c r="I966" s="249">
        <f>(2.35+2.4+0.9)*2.1+4*2.3*0.75</f>
        <v>18.765000000000001</v>
      </c>
      <c r="J966" s="248"/>
      <c r="K966" s="249">
        <f t="shared" si="61"/>
        <v>78.58</v>
      </c>
      <c r="L966" s="250"/>
      <c r="M966" s="149"/>
      <c r="N966" s="149"/>
      <c r="O966" s="149"/>
      <c r="P966" s="149"/>
      <c r="Q966" s="149"/>
      <c r="R966" s="149"/>
    </row>
    <row r="967" spans="1:18" s="154" customFormat="1" ht="18.75" customHeight="1" x14ac:dyDescent="0.25">
      <c r="A967" s="245"/>
      <c r="B967" s="246" t="s">
        <v>1679</v>
      </c>
      <c r="C967" s="246"/>
      <c r="D967" s="246"/>
      <c r="E967" s="246"/>
      <c r="F967" s="247"/>
      <c r="G967" s="249">
        <f>14.45</f>
        <v>14.45</v>
      </c>
      <c r="H967" s="249">
        <v>3.3</v>
      </c>
      <c r="I967" s="249">
        <f>0.9*2.1+2.3*0.75</f>
        <v>3.6150000000000002</v>
      </c>
      <c r="J967" s="248"/>
      <c r="K967" s="249">
        <f t="shared" si="61"/>
        <v>44.07</v>
      </c>
      <c r="L967" s="250"/>
      <c r="M967" s="149"/>
      <c r="N967" s="149"/>
      <c r="O967" s="149"/>
      <c r="P967" s="149"/>
      <c r="Q967" s="149"/>
      <c r="R967" s="149"/>
    </row>
    <row r="968" spans="1:18" s="154" customFormat="1" ht="18.75" customHeight="1" x14ac:dyDescent="0.25">
      <c r="A968" s="245"/>
      <c r="B968" s="246" t="s">
        <v>1680</v>
      </c>
      <c r="C968" s="246"/>
      <c r="D968" s="246"/>
      <c r="E968" s="246"/>
      <c r="F968" s="247"/>
      <c r="G968" s="249">
        <f>14.45</f>
        <v>14.45</v>
      </c>
      <c r="H968" s="249">
        <v>3.3</v>
      </c>
      <c r="I968" s="249">
        <f>(2.4+2.4)*2.1+2.3*0.75</f>
        <v>11.805</v>
      </c>
      <c r="J968" s="248"/>
      <c r="K968" s="249">
        <f t="shared" si="61"/>
        <v>35.880000000000003</v>
      </c>
      <c r="L968" s="250"/>
      <c r="M968" s="149"/>
      <c r="N968" s="149"/>
      <c r="O968" s="149"/>
      <c r="P968" s="149"/>
      <c r="Q968" s="149"/>
      <c r="R968" s="149"/>
    </row>
    <row r="969" spans="1:18" s="154" customFormat="1" ht="20.100000000000001" customHeight="1" x14ac:dyDescent="0.25">
      <c r="A969" s="475" t="s">
        <v>1411</v>
      </c>
      <c r="B969" s="476"/>
      <c r="C969" s="476"/>
      <c r="D969" s="476"/>
      <c r="E969" s="476"/>
      <c r="F969" s="476"/>
      <c r="G969" s="476"/>
      <c r="H969" s="476"/>
      <c r="I969" s="476"/>
      <c r="J969" s="476"/>
      <c r="K969" s="477"/>
      <c r="L969" s="250"/>
      <c r="M969" s="149"/>
      <c r="N969" s="149"/>
      <c r="O969" s="149"/>
      <c r="P969" s="149"/>
      <c r="Q969" s="149"/>
      <c r="R969" s="149"/>
    </row>
    <row r="970" spans="1:18" s="154" customFormat="1" ht="20.100000000000001" customHeight="1" x14ac:dyDescent="0.25">
      <c r="A970" s="245"/>
      <c r="B970" s="246" t="s">
        <v>1466</v>
      </c>
      <c r="C970" s="246"/>
      <c r="D970" s="246"/>
      <c r="E970" s="246"/>
      <c r="F970" s="247"/>
      <c r="G970" s="249">
        <v>13.3</v>
      </c>
      <c r="H970" s="249">
        <v>3.3</v>
      </c>
      <c r="I970" s="249">
        <f>0.9*2.1+2.3*0.8</f>
        <v>3.73</v>
      </c>
      <c r="J970" s="248"/>
      <c r="K970" s="249">
        <f t="shared" ref="K970:K986" si="63">TRUNC(G970*H970-I970,2)</f>
        <v>40.159999999999997</v>
      </c>
      <c r="L970" s="250"/>
      <c r="M970" s="149"/>
      <c r="N970" s="149"/>
      <c r="O970" s="149"/>
      <c r="P970" s="149"/>
      <c r="Q970" s="149"/>
      <c r="R970" s="149"/>
    </row>
    <row r="971" spans="1:18" s="154" customFormat="1" ht="20.100000000000001" customHeight="1" x14ac:dyDescent="0.25">
      <c r="A971" s="245"/>
      <c r="B971" s="246" t="s">
        <v>1467</v>
      </c>
      <c r="C971" s="246"/>
      <c r="D971" s="246"/>
      <c r="E971" s="246"/>
      <c r="F971" s="247"/>
      <c r="G971" s="249">
        <v>12.6</v>
      </c>
      <c r="H971" s="249">
        <v>3.3</v>
      </c>
      <c r="I971" s="249">
        <f>0.9*2.1+2.15*0.8</f>
        <v>3.6100000000000003</v>
      </c>
      <c r="J971" s="248"/>
      <c r="K971" s="249">
        <f t="shared" si="63"/>
        <v>37.97</v>
      </c>
      <c r="L971" s="250"/>
      <c r="M971" s="149"/>
      <c r="N971" s="149"/>
      <c r="O971" s="149"/>
      <c r="P971" s="149"/>
      <c r="Q971" s="149"/>
      <c r="R971" s="149"/>
    </row>
    <row r="972" spans="1:18" s="154" customFormat="1" ht="20.100000000000001" customHeight="1" x14ac:dyDescent="0.25">
      <c r="A972" s="245"/>
      <c r="B972" s="246" t="s">
        <v>1681</v>
      </c>
      <c r="C972" s="246"/>
      <c r="D972" s="246"/>
      <c r="E972" s="246"/>
      <c r="F972" s="247"/>
      <c r="G972" s="249">
        <v>18.8</v>
      </c>
      <c r="H972" s="249">
        <v>3.3</v>
      </c>
      <c r="I972" s="249">
        <f>0.9*2.1+2.3*0.8</f>
        <v>3.73</v>
      </c>
      <c r="J972" s="248"/>
      <c r="K972" s="249">
        <f t="shared" si="63"/>
        <v>58.31</v>
      </c>
      <c r="L972" s="250"/>
      <c r="M972" s="149"/>
      <c r="N972" s="149"/>
      <c r="O972" s="149"/>
      <c r="P972" s="149"/>
      <c r="Q972" s="149"/>
      <c r="R972" s="149"/>
    </row>
    <row r="973" spans="1:18" s="154" customFormat="1" ht="20.100000000000001" customHeight="1" x14ac:dyDescent="0.25">
      <c r="A973" s="245"/>
      <c r="B973" s="246" t="s">
        <v>813</v>
      </c>
      <c r="C973" s="246"/>
      <c r="D973" s="246"/>
      <c r="E973" s="246"/>
      <c r="F973" s="247"/>
      <c r="G973" s="249">
        <v>49.45</v>
      </c>
      <c r="H973" s="249">
        <v>3.3</v>
      </c>
      <c r="I973" s="249">
        <f>4*2.1*0.9+1.8*3.3+2*2.3*0.75</f>
        <v>16.95</v>
      </c>
      <c r="J973" s="248"/>
      <c r="K973" s="249">
        <f t="shared" si="63"/>
        <v>146.22999999999999</v>
      </c>
      <c r="L973" s="250"/>
      <c r="M973" s="149"/>
      <c r="N973" s="149"/>
      <c r="O973" s="149"/>
      <c r="P973" s="149"/>
      <c r="Q973" s="149"/>
      <c r="R973" s="149"/>
    </row>
    <row r="974" spans="1:18" s="154" customFormat="1" ht="20.100000000000001" customHeight="1" x14ac:dyDescent="0.25">
      <c r="A974" s="267"/>
      <c r="B974" s="246" t="s">
        <v>1682</v>
      </c>
      <c r="C974" s="246"/>
      <c r="D974" s="246"/>
      <c r="E974" s="246"/>
      <c r="F974" s="247"/>
      <c r="G974" s="249">
        <f>17.5</f>
        <v>17.5</v>
      </c>
      <c r="H974" s="249">
        <v>3.3</v>
      </c>
      <c r="I974" s="249">
        <f>2.1*0.9+2*2.3*1.5</f>
        <v>8.7899999999999991</v>
      </c>
      <c r="J974" s="248"/>
      <c r="K974" s="249">
        <f t="shared" si="63"/>
        <v>48.96</v>
      </c>
      <c r="L974" s="250"/>
      <c r="M974" s="149"/>
      <c r="N974" s="149"/>
      <c r="O974" s="149"/>
      <c r="P974" s="149"/>
      <c r="Q974" s="149"/>
      <c r="R974" s="149"/>
    </row>
    <row r="975" spans="1:18" s="154" customFormat="1" ht="20.100000000000001" customHeight="1" x14ac:dyDescent="0.25">
      <c r="A975" s="267"/>
      <c r="B975" s="246" t="s">
        <v>1665</v>
      </c>
      <c r="C975" s="246"/>
      <c r="D975" s="246"/>
      <c r="E975" s="246"/>
      <c r="F975" s="247"/>
      <c r="G975" s="249">
        <f>13.1</f>
        <v>13.1</v>
      </c>
      <c r="H975" s="249">
        <v>3.3</v>
      </c>
      <c r="I975" s="249">
        <f>0.9*2.1+2.3*0.75</f>
        <v>3.6150000000000002</v>
      </c>
      <c r="J975" s="248"/>
      <c r="K975" s="249">
        <f t="shared" si="63"/>
        <v>39.61</v>
      </c>
      <c r="L975" s="250"/>
      <c r="M975" s="149"/>
      <c r="N975" s="149"/>
      <c r="O975" s="149"/>
      <c r="P975" s="149"/>
      <c r="Q975" s="149"/>
      <c r="R975" s="149"/>
    </row>
    <row r="976" spans="1:18" s="154" customFormat="1" ht="20.100000000000001" customHeight="1" x14ac:dyDescent="0.25">
      <c r="A976" s="267"/>
      <c r="B976" s="246" t="s">
        <v>1469</v>
      </c>
      <c r="C976" s="246"/>
      <c r="D976" s="246"/>
      <c r="E976" s="246"/>
      <c r="F976" s="247"/>
      <c r="G976" s="249">
        <f>17.2</f>
        <v>17.2</v>
      </c>
      <c r="H976" s="249">
        <v>3.3</v>
      </c>
      <c r="I976" s="249">
        <f>0.9*2.1+1*3.3+2*2.3*1.5</f>
        <v>12.09</v>
      </c>
      <c r="J976" s="248"/>
      <c r="K976" s="249">
        <f t="shared" si="63"/>
        <v>44.67</v>
      </c>
      <c r="L976" s="250"/>
      <c r="M976" s="149"/>
      <c r="N976" s="149"/>
      <c r="O976" s="149"/>
      <c r="P976" s="149"/>
      <c r="Q976" s="149"/>
      <c r="R976" s="149"/>
    </row>
    <row r="977" spans="1:18" s="154" customFormat="1" ht="20.100000000000001" customHeight="1" x14ac:dyDescent="0.25">
      <c r="A977" s="267"/>
      <c r="B977" s="246" t="s">
        <v>1664</v>
      </c>
      <c r="C977" s="246"/>
      <c r="D977" s="246"/>
      <c r="E977" s="246"/>
      <c r="F977" s="247"/>
      <c r="G977" s="249">
        <f>17.1</f>
        <v>17.100000000000001</v>
      </c>
      <c r="H977" s="249">
        <v>3.3</v>
      </c>
      <c r="I977" s="249">
        <f>2.3*2.25+2.1*0.9</f>
        <v>7.0649999999999995</v>
      </c>
      <c r="J977" s="248"/>
      <c r="K977" s="249">
        <f t="shared" si="63"/>
        <v>49.36</v>
      </c>
      <c r="L977" s="250"/>
      <c r="M977" s="149"/>
      <c r="N977" s="149"/>
      <c r="O977" s="149"/>
      <c r="P977" s="149"/>
      <c r="Q977" s="149"/>
      <c r="R977" s="149"/>
    </row>
    <row r="978" spans="1:18" s="154" customFormat="1" ht="20.100000000000001" customHeight="1" x14ac:dyDescent="0.25">
      <c r="A978" s="267"/>
      <c r="B978" s="246" t="s">
        <v>1683</v>
      </c>
      <c r="C978" s="246"/>
      <c r="D978" s="246"/>
      <c r="E978" s="246"/>
      <c r="F978" s="247"/>
      <c r="G978" s="249">
        <f>36.3</f>
        <v>36.299999999999997</v>
      </c>
      <c r="H978" s="249">
        <v>3.3</v>
      </c>
      <c r="I978" s="249">
        <f>4*2.1*0.9+2.45*3.3+1.5*3.3+2.3*0.75+3*2.3*2.25</f>
        <v>37.844999999999999</v>
      </c>
      <c r="J978" s="248"/>
      <c r="K978" s="249">
        <f t="shared" si="63"/>
        <v>81.94</v>
      </c>
      <c r="L978" s="250"/>
      <c r="M978" s="149"/>
      <c r="N978" s="149"/>
      <c r="O978" s="149"/>
      <c r="P978" s="149"/>
      <c r="Q978" s="149"/>
      <c r="R978" s="149"/>
    </row>
    <row r="979" spans="1:18" s="154" customFormat="1" ht="20.100000000000001" customHeight="1" x14ac:dyDescent="0.25">
      <c r="A979" s="267"/>
      <c r="B979" s="246" t="s">
        <v>1684</v>
      </c>
      <c r="C979" s="246"/>
      <c r="D979" s="246"/>
      <c r="E979" s="246"/>
      <c r="F979" s="247"/>
      <c r="G979" s="249">
        <f>17.1</f>
        <v>17.100000000000001</v>
      </c>
      <c r="H979" s="249">
        <v>3.3</v>
      </c>
      <c r="I979" s="249">
        <f>2*2.3*2.25+2.1*0.9</f>
        <v>12.24</v>
      </c>
      <c r="J979" s="248"/>
      <c r="K979" s="249">
        <f t="shared" si="63"/>
        <v>44.19</v>
      </c>
      <c r="L979" s="250"/>
      <c r="M979" s="149"/>
      <c r="N979" s="149"/>
      <c r="O979" s="149"/>
      <c r="P979" s="149"/>
      <c r="Q979" s="149"/>
      <c r="R979" s="149"/>
    </row>
    <row r="980" spans="1:18" s="154" customFormat="1" ht="20.100000000000001" customHeight="1" x14ac:dyDescent="0.25">
      <c r="A980" s="267"/>
      <c r="B980" s="246" t="s">
        <v>1685</v>
      </c>
      <c r="C980" s="246"/>
      <c r="D980" s="246"/>
      <c r="E980" s="246"/>
      <c r="F980" s="247"/>
      <c r="G980" s="249">
        <f>12.9</f>
        <v>12.9</v>
      </c>
      <c r="H980" s="249">
        <v>3.3</v>
      </c>
      <c r="I980" s="249">
        <f>0.9*2.1+2.3*2.25</f>
        <v>7.0649999999999995</v>
      </c>
      <c r="J980" s="248"/>
      <c r="K980" s="249">
        <f t="shared" si="63"/>
        <v>35.5</v>
      </c>
      <c r="L980" s="250"/>
      <c r="M980" s="149"/>
      <c r="N980" s="149"/>
      <c r="O980" s="149"/>
      <c r="P980" s="149"/>
      <c r="Q980" s="149"/>
      <c r="R980" s="149"/>
    </row>
    <row r="981" spans="1:18" s="154" customFormat="1" ht="20.100000000000001" customHeight="1" x14ac:dyDescent="0.25">
      <c r="A981" s="267"/>
      <c r="B981" s="246" t="s">
        <v>1686</v>
      </c>
      <c r="C981" s="246"/>
      <c r="D981" s="246"/>
      <c r="E981" s="246"/>
      <c r="F981" s="247"/>
      <c r="G981" s="249">
        <f>12.9</f>
        <v>12.9</v>
      </c>
      <c r="H981" s="249">
        <v>3.3</v>
      </c>
      <c r="I981" s="249">
        <f>2.35*2.25+2.1*0.9</f>
        <v>7.1775000000000002</v>
      </c>
      <c r="J981" s="248"/>
      <c r="K981" s="249">
        <f t="shared" si="63"/>
        <v>35.39</v>
      </c>
      <c r="L981" s="250"/>
      <c r="M981" s="149"/>
      <c r="N981" s="149"/>
      <c r="O981" s="149"/>
      <c r="P981" s="149"/>
      <c r="Q981" s="149"/>
      <c r="R981" s="149"/>
    </row>
    <row r="982" spans="1:18" s="154" customFormat="1" ht="20.100000000000001" customHeight="1" x14ac:dyDescent="0.25">
      <c r="A982" s="267"/>
      <c r="B982" s="246" t="s">
        <v>813</v>
      </c>
      <c r="C982" s="246"/>
      <c r="D982" s="246"/>
      <c r="E982" s="246"/>
      <c r="F982" s="247"/>
      <c r="G982" s="249">
        <f>18.3</f>
        <v>18.3</v>
      </c>
      <c r="H982" s="249">
        <v>3.3</v>
      </c>
      <c r="I982" s="249">
        <f>6*2.1*0.9+1.5*3.3</f>
        <v>16.29</v>
      </c>
      <c r="J982" s="248"/>
      <c r="K982" s="249">
        <f t="shared" si="63"/>
        <v>44.1</v>
      </c>
      <c r="L982" s="250"/>
      <c r="M982" s="149"/>
      <c r="N982" s="149"/>
      <c r="O982" s="149"/>
      <c r="P982" s="149"/>
      <c r="Q982" s="149"/>
      <c r="R982" s="149"/>
    </row>
    <row r="983" spans="1:18" s="154" customFormat="1" ht="20.100000000000001" customHeight="1" x14ac:dyDescent="0.25">
      <c r="A983" s="267"/>
      <c r="B983" s="246" t="s">
        <v>1584</v>
      </c>
      <c r="C983" s="246"/>
      <c r="D983" s="246"/>
      <c r="E983" s="246"/>
      <c r="F983" s="247"/>
      <c r="G983" s="249">
        <f>12.9</f>
        <v>12.9</v>
      </c>
      <c r="H983" s="249">
        <v>1.4</v>
      </c>
      <c r="I983" s="249">
        <f>2.3*0.75+0.9*0.2</f>
        <v>1.9049999999999998</v>
      </c>
      <c r="J983" s="248"/>
      <c r="K983" s="249">
        <f t="shared" si="63"/>
        <v>16.149999999999999</v>
      </c>
      <c r="L983" s="250"/>
      <c r="M983" s="149"/>
      <c r="N983" s="149"/>
      <c r="O983" s="149"/>
      <c r="P983" s="149"/>
      <c r="Q983" s="149"/>
      <c r="R983" s="149"/>
    </row>
    <row r="984" spans="1:18" s="154" customFormat="1" ht="20.100000000000001" customHeight="1" x14ac:dyDescent="0.25">
      <c r="A984" s="267"/>
      <c r="B984" s="246" t="s">
        <v>1620</v>
      </c>
      <c r="C984" s="246"/>
      <c r="D984" s="246"/>
      <c r="E984" s="246"/>
      <c r="F984" s="247"/>
      <c r="G984" s="249">
        <f>12.9</f>
        <v>12.9</v>
      </c>
      <c r="H984" s="249">
        <v>1.4</v>
      </c>
      <c r="I984" s="249">
        <f>2.3*0.75+0.9*0.2</f>
        <v>1.9049999999999998</v>
      </c>
      <c r="J984" s="248"/>
      <c r="K984" s="249">
        <f t="shared" si="63"/>
        <v>16.149999999999999</v>
      </c>
      <c r="L984" s="250"/>
      <c r="M984" s="149"/>
      <c r="N984" s="149"/>
      <c r="O984" s="149"/>
      <c r="P984" s="149"/>
      <c r="Q984" s="149"/>
      <c r="R984" s="149"/>
    </row>
    <row r="985" spans="1:18" s="154" customFormat="1" ht="20.100000000000001" customHeight="1" x14ac:dyDescent="0.25">
      <c r="A985" s="267"/>
      <c r="B985" s="246" t="s">
        <v>1660</v>
      </c>
      <c r="C985" s="246"/>
      <c r="D985" s="246"/>
      <c r="E985" s="246"/>
      <c r="F985" s="247"/>
      <c r="G985" s="249">
        <f>12.9</f>
        <v>12.9</v>
      </c>
      <c r="H985" s="249">
        <v>1.4</v>
      </c>
      <c r="I985" s="249">
        <f>2.3*0.75+2.1*0.9</f>
        <v>3.6150000000000002</v>
      </c>
      <c r="J985" s="248"/>
      <c r="K985" s="249">
        <f t="shared" si="63"/>
        <v>14.44</v>
      </c>
      <c r="L985" s="250"/>
      <c r="M985" s="149"/>
      <c r="N985" s="149"/>
      <c r="O985" s="149"/>
      <c r="P985" s="149"/>
      <c r="Q985" s="149"/>
      <c r="R985" s="149"/>
    </row>
    <row r="986" spans="1:18" s="154" customFormat="1" ht="20.100000000000001" customHeight="1" x14ac:dyDescent="0.25">
      <c r="A986" s="267"/>
      <c r="B986" s="246" t="s">
        <v>1658</v>
      </c>
      <c r="C986" s="246"/>
      <c r="D986" s="246"/>
      <c r="E986" s="246"/>
      <c r="F986" s="247"/>
      <c r="G986" s="249">
        <f>12.9</f>
        <v>12.9</v>
      </c>
      <c r="H986" s="249">
        <v>1.4</v>
      </c>
      <c r="I986" s="249">
        <f>2.3*0.75+2.1*0.9</f>
        <v>3.6150000000000002</v>
      </c>
      <c r="J986" s="248"/>
      <c r="K986" s="249">
        <f t="shared" si="63"/>
        <v>14.44</v>
      </c>
      <c r="L986" s="250"/>
      <c r="M986" s="149"/>
      <c r="N986" s="149"/>
      <c r="O986" s="149"/>
      <c r="P986" s="149"/>
      <c r="Q986" s="149"/>
      <c r="R986" s="149"/>
    </row>
    <row r="987" spans="1:18" s="154" customFormat="1" ht="20.100000000000001" customHeight="1" x14ac:dyDescent="0.25">
      <c r="A987" s="475" t="s">
        <v>1413</v>
      </c>
      <c r="B987" s="476"/>
      <c r="C987" s="476"/>
      <c r="D987" s="476"/>
      <c r="E987" s="476"/>
      <c r="F987" s="476"/>
      <c r="G987" s="476"/>
      <c r="H987" s="476"/>
      <c r="I987" s="476"/>
      <c r="J987" s="476"/>
      <c r="K987" s="477"/>
      <c r="L987" s="250"/>
      <c r="M987" s="149"/>
      <c r="N987" s="149"/>
      <c r="O987" s="149"/>
      <c r="P987" s="149"/>
      <c r="Q987" s="149"/>
      <c r="R987" s="149"/>
    </row>
    <row r="988" spans="1:18" s="154" customFormat="1" ht="20.100000000000001" customHeight="1" x14ac:dyDescent="0.25">
      <c r="A988" s="245"/>
      <c r="B988" s="246" t="s">
        <v>1568</v>
      </c>
      <c r="C988" s="246"/>
      <c r="D988" s="246"/>
      <c r="E988" s="246"/>
      <c r="F988" s="247"/>
      <c r="G988" s="249">
        <v>14.4</v>
      </c>
      <c r="H988" s="249">
        <v>3.3</v>
      </c>
      <c r="I988" s="249">
        <f>1.5*1.2+1.1*2.1</f>
        <v>4.1100000000000003</v>
      </c>
      <c r="J988" s="248"/>
      <c r="K988" s="249">
        <f>TRUNC(G988*H988-I988,2)</f>
        <v>43.41</v>
      </c>
      <c r="L988" s="250"/>
      <c r="M988" s="149"/>
      <c r="N988" s="149"/>
      <c r="O988" s="149"/>
      <c r="P988" s="149"/>
      <c r="Q988" s="149"/>
      <c r="R988" s="149"/>
    </row>
    <row r="989" spans="1:18" s="154" customFormat="1" ht="20.100000000000001" customHeight="1" x14ac:dyDescent="0.25">
      <c r="A989" s="245"/>
      <c r="B989" s="246" t="s">
        <v>1568</v>
      </c>
      <c r="C989" s="246"/>
      <c r="D989" s="246"/>
      <c r="E989" s="246"/>
      <c r="F989" s="247"/>
      <c r="G989" s="249">
        <v>12.7</v>
      </c>
      <c r="H989" s="249">
        <v>3.3</v>
      </c>
      <c r="I989" s="249">
        <f>0.6*0.4+1.1*2.1</f>
        <v>2.5500000000000007</v>
      </c>
      <c r="J989" s="248"/>
      <c r="K989" s="249">
        <f t="shared" ref="K989:K1004" si="64">TRUNC(G989*H989-I989,2)</f>
        <v>39.36</v>
      </c>
      <c r="L989" s="250"/>
      <c r="M989" s="149"/>
      <c r="N989" s="149"/>
      <c r="O989" s="149"/>
      <c r="P989" s="149"/>
      <c r="Q989" s="149"/>
      <c r="R989" s="149"/>
    </row>
    <row r="990" spans="1:18" s="154" customFormat="1" ht="18.75" customHeight="1" x14ac:dyDescent="0.25">
      <c r="A990" s="245"/>
      <c r="B990" s="246" t="s">
        <v>1568</v>
      </c>
      <c r="C990" s="246"/>
      <c r="D990" s="246"/>
      <c r="E990" s="246"/>
      <c r="F990" s="247"/>
      <c r="G990" s="249">
        <v>16.739999999999998</v>
      </c>
      <c r="H990" s="249">
        <v>3.3</v>
      </c>
      <c r="I990" s="249">
        <f>2.3*0.75+1.1*2.1+0.9*2.1</f>
        <v>5.9250000000000007</v>
      </c>
      <c r="J990" s="248"/>
      <c r="K990" s="249">
        <f t="shared" si="64"/>
        <v>49.31</v>
      </c>
      <c r="L990" s="250"/>
      <c r="M990" s="149"/>
      <c r="N990" s="149"/>
      <c r="O990" s="149"/>
      <c r="P990" s="149"/>
      <c r="Q990" s="149"/>
      <c r="R990" s="149"/>
    </row>
    <row r="991" spans="1:18" s="154" customFormat="1" ht="20.100000000000001" customHeight="1" x14ac:dyDescent="0.25">
      <c r="A991" s="245"/>
      <c r="B991" s="246" t="s">
        <v>1568</v>
      </c>
      <c r="C991" s="246"/>
      <c r="D991" s="246"/>
      <c r="E991" s="246"/>
      <c r="F991" s="247"/>
      <c r="G991" s="249">
        <v>16.100000000000001</v>
      </c>
      <c r="H991" s="249">
        <v>3.3</v>
      </c>
      <c r="I991" s="249">
        <f>0.9*2.1+1.1*2.1+2*1.1</f>
        <v>6.4000000000000012</v>
      </c>
      <c r="J991" s="248"/>
      <c r="K991" s="249">
        <f t="shared" si="64"/>
        <v>46.73</v>
      </c>
      <c r="L991" s="250"/>
      <c r="M991" s="149"/>
      <c r="N991" s="149"/>
      <c r="O991" s="149"/>
      <c r="P991" s="149"/>
      <c r="Q991" s="149"/>
      <c r="R991" s="149"/>
    </row>
    <row r="992" spans="1:18" s="154" customFormat="1" ht="20.100000000000001" customHeight="1" x14ac:dyDescent="0.25">
      <c r="A992" s="245"/>
      <c r="B992" s="246" t="s">
        <v>813</v>
      </c>
      <c r="C992" s="246"/>
      <c r="D992" s="246"/>
      <c r="E992" s="246"/>
      <c r="F992" s="247"/>
      <c r="G992" s="249">
        <v>48.2</v>
      </c>
      <c r="H992" s="249">
        <v>3.3</v>
      </c>
      <c r="I992" s="249">
        <f>6*0.9*2.1+(1.65+2.5+1.65)*3.3</f>
        <v>30.480000000000004</v>
      </c>
      <c r="J992" s="248"/>
      <c r="K992" s="249">
        <f t="shared" si="64"/>
        <v>128.58000000000001</v>
      </c>
      <c r="L992" s="250"/>
      <c r="M992" s="149"/>
      <c r="N992" s="149"/>
      <c r="O992" s="149"/>
      <c r="P992" s="149"/>
      <c r="Q992" s="149"/>
      <c r="R992" s="149"/>
    </row>
    <row r="993" spans="1:18" s="154" customFormat="1" ht="20.100000000000001" customHeight="1" x14ac:dyDescent="0.25">
      <c r="A993" s="245"/>
      <c r="B993" s="246" t="s">
        <v>1568</v>
      </c>
      <c r="C993" s="246"/>
      <c r="D993" s="246"/>
      <c r="E993" s="246"/>
      <c r="F993" s="247"/>
      <c r="G993" s="249">
        <v>24.4</v>
      </c>
      <c r="H993" s="249">
        <v>3.3</v>
      </c>
      <c r="I993" s="249">
        <f>0.9*2.1+2*0.75*2.3</f>
        <v>5.34</v>
      </c>
      <c r="J993" s="248"/>
      <c r="K993" s="249">
        <f t="shared" si="64"/>
        <v>75.180000000000007</v>
      </c>
      <c r="L993" s="250"/>
      <c r="M993" s="149"/>
      <c r="N993" s="149"/>
      <c r="O993" s="149"/>
      <c r="P993" s="149"/>
      <c r="Q993" s="149"/>
      <c r="R993" s="149"/>
    </row>
    <row r="994" spans="1:18" s="154" customFormat="1" ht="20.100000000000001" customHeight="1" x14ac:dyDescent="0.25">
      <c r="A994" s="245"/>
      <c r="B994" s="246" t="s">
        <v>1673</v>
      </c>
      <c r="C994" s="246"/>
      <c r="D994" s="246"/>
      <c r="E994" s="246"/>
      <c r="F994" s="247"/>
      <c r="G994" s="249">
        <v>8.0500000000000007</v>
      </c>
      <c r="H994" s="249">
        <v>1.4</v>
      </c>
      <c r="I994" s="249">
        <f>0.9*0.2</f>
        <v>0.18000000000000002</v>
      </c>
      <c r="J994" s="248"/>
      <c r="K994" s="249">
        <f t="shared" si="64"/>
        <v>11.09</v>
      </c>
      <c r="L994" s="250"/>
      <c r="M994" s="149"/>
      <c r="N994" s="149"/>
      <c r="O994" s="149"/>
      <c r="P994" s="149"/>
      <c r="Q994" s="149"/>
      <c r="R994" s="149"/>
    </row>
    <row r="995" spans="1:18" s="154" customFormat="1" ht="20.100000000000001" customHeight="1" x14ac:dyDescent="0.25">
      <c r="A995" s="245"/>
      <c r="B995" s="246" t="s">
        <v>1674</v>
      </c>
      <c r="C995" s="246"/>
      <c r="D995" s="246"/>
      <c r="E995" s="246"/>
      <c r="F995" s="247"/>
      <c r="G995" s="249">
        <v>8.0500000000000007</v>
      </c>
      <c r="H995" s="249">
        <v>1.4</v>
      </c>
      <c r="I995" s="249">
        <f>0.9*0.2</f>
        <v>0.18000000000000002</v>
      </c>
      <c r="J995" s="248"/>
      <c r="K995" s="249">
        <f t="shared" si="64"/>
        <v>11.09</v>
      </c>
      <c r="L995" s="250"/>
      <c r="M995" s="149"/>
      <c r="N995" s="149"/>
      <c r="O995" s="149"/>
      <c r="P995" s="149"/>
      <c r="Q995" s="149"/>
      <c r="R995" s="149"/>
    </row>
    <row r="996" spans="1:18" s="154" customFormat="1" ht="20.100000000000001" customHeight="1" x14ac:dyDescent="0.25">
      <c r="A996" s="245"/>
      <c r="B996" s="246" t="s">
        <v>1687</v>
      </c>
      <c r="C996" s="246"/>
      <c r="D996" s="246"/>
      <c r="E996" s="246"/>
      <c r="F996" s="247"/>
      <c r="G996" s="249">
        <v>24.4</v>
      </c>
      <c r="H996" s="249">
        <v>3.3</v>
      </c>
      <c r="I996" s="249">
        <f>2*0.9*2.1+3*2.3*1.5</f>
        <v>14.129999999999999</v>
      </c>
      <c r="J996" s="248"/>
      <c r="K996" s="249">
        <f t="shared" si="64"/>
        <v>66.39</v>
      </c>
      <c r="L996" s="250"/>
      <c r="M996" s="149"/>
      <c r="N996" s="149"/>
      <c r="O996" s="149"/>
      <c r="P996" s="149"/>
      <c r="Q996" s="149"/>
      <c r="R996" s="149"/>
    </row>
    <row r="997" spans="1:18" s="154" customFormat="1" ht="20.100000000000001" customHeight="1" x14ac:dyDescent="0.25">
      <c r="A997" s="245"/>
      <c r="B997" s="246" t="s">
        <v>1420</v>
      </c>
      <c r="C997" s="246"/>
      <c r="D997" s="246"/>
      <c r="E997" s="246"/>
      <c r="F997" s="247"/>
      <c r="G997" s="249">
        <v>20.7</v>
      </c>
      <c r="H997" s="249">
        <v>3.3</v>
      </c>
      <c r="I997" s="249">
        <f>2*2*1.1+0.9*2.1</f>
        <v>6.2900000000000009</v>
      </c>
      <c r="J997" s="248"/>
      <c r="K997" s="249">
        <f t="shared" si="64"/>
        <v>62.02</v>
      </c>
      <c r="L997" s="250"/>
      <c r="M997" s="149"/>
      <c r="N997" s="149"/>
      <c r="O997" s="149"/>
      <c r="P997" s="149"/>
      <c r="Q997" s="149"/>
      <c r="R997" s="149"/>
    </row>
    <row r="998" spans="1:18" s="154" customFormat="1" ht="18.75" customHeight="1" x14ac:dyDescent="0.25">
      <c r="A998" s="245"/>
      <c r="B998" s="246" t="s">
        <v>1688</v>
      </c>
      <c r="C998" s="246"/>
      <c r="D998" s="246"/>
      <c r="E998" s="246"/>
      <c r="F998" s="247"/>
      <c r="G998" s="249">
        <v>15.7</v>
      </c>
      <c r="H998" s="249">
        <v>1.4</v>
      </c>
      <c r="I998" s="249">
        <f>0.2*0.9+2*1</f>
        <v>2.1800000000000002</v>
      </c>
      <c r="J998" s="248"/>
      <c r="K998" s="249">
        <f t="shared" si="64"/>
        <v>19.8</v>
      </c>
      <c r="L998" s="250"/>
      <c r="M998" s="149"/>
      <c r="N998" s="149"/>
      <c r="O998" s="149"/>
      <c r="P998" s="149"/>
      <c r="Q998" s="149"/>
      <c r="R998" s="149"/>
    </row>
    <row r="999" spans="1:18" s="154" customFormat="1" ht="18.75" customHeight="1" x14ac:dyDescent="0.25">
      <c r="A999" s="245"/>
      <c r="B999" s="246" t="s">
        <v>813</v>
      </c>
      <c r="C999" s="246"/>
      <c r="D999" s="246"/>
      <c r="E999" s="246"/>
      <c r="F999" s="247"/>
      <c r="G999" s="249">
        <v>9.4</v>
      </c>
      <c r="H999" s="249">
        <v>3.3</v>
      </c>
      <c r="I999" s="249">
        <f>1.25*2.1+0.9*2.1</f>
        <v>4.5150000000000006</v>
      </c>
      <c r="J999" s="248"/>
      <c r="K999" s="249">
        <f t="shared" si="64"/>
        <v>26.5</v>
      </c>
      <c r="L999" s="250"/>
      <c r="M999" s="149"/>
      <c r="N999" s="149"/>
      <c r="O999" s="149"/>
      <c r="P999" s="149"/>
      <c r="Q999" s="149"/>
      <c r="R999" s="149"/>
    </row>
    <row r="1000" spans="1:18" s="154" customFormat="1" ht="18.75" customHeight="1" x14ac:dyDescent="0.25">
      <c r="A1000" s="245"/>
      <c r="B1000" s="246" t="s">
        <v>1689</v>
      </c>
      <c r="C1000" s="246"/>
      <c r="D1000" s="246"/>
      <c r="E1000" s="246"/>
      <c r="F1000" s="247"/>
      <c r="G1000" s="249">
        <v>10.7</v>
      </c>
      <c r="H1000" s="249">
        <v>1.4</v>
      </c>
      <c r="I1000" s="249">
        <f>0.2*2.1+1.2*0.75</f>
        <v>1.3199999999999998</v>
      </c>
      <c r="J1000" s="248"/>
      <c r="K1000" s="249">
        <f t="shared" si="64"/>
        <v>13.66</v>
      </c>
      <c r="L1000" s="250"/>
      <c r="M1000" s="149"/>
      <c r="N1000" s="149"/>
      <c r="O1000" s="149"/>
      <c r="P1000" s="149"/>
      <c r="Q1000" s="149"/>
      <c r="R1000" s="149"/>
    </row>
    <row r="1001" spans="1:18" s="154" customFormat="1" ht="18.75" customHeight="1" x14ac:dyDescent="0.25">
      <c r="A1001" s="245"/>
      <c r="B1001" s="246" t="s">
        <v>1690</v>
      </c>
      <c r="C1001" s="246"/>
      <c r="D1001" s="246"/>
      <c r="E1001" s="246"/>
      <c r="F1001" s="247"/>
      <c r="G1001" s="249">
        <v>10.7</v>
      </c>
      <c r="H1001" s="249">
        <v>1.4</v>
      </c>
      <c r="I1001" s="249">
        <f>0.2*2.1+1.2*0.75</f>
        <v>1.3199999999999998</v>
      </c>
      <c r="J1001" s="248"/>
      <c r="K1001" s="249">
        <f t="shared" si="64"/>
        <v>13.66</v>
      </c>
      <c r="L1001" s="250"/>
      <c r="M1001" s="149"/>
      <c r="N1001" s="149"/>
      <c r="O1001" s="149"/>
      <c r="P1001" s="149"/>
      <c r="Q1001" s="149"/>
      <c r="R1001" s="149"/>
    </row>
    <row r="1002" spans="1:18" s="154" customFormat="1" ht="18.75" customHeight="1" x14ac:dyDescent="0.25">
      <c r="A1002" s="245"/>
      <c r="B1002" s="246" t="s">
        <v>813</v>
      </c>
      <c r="C1002" s="246"/>
      <c r="D1002" s="246"/>
      <c r="E1002" s="246"/>
      <c r="F1002" s="247"/>
      <c r="G1002" s="249">
        <v>9.3800000000000008</v>
      </c>
      <c r="H1002" s="249">
        <v>3.3</v>
      </c>
      <c r="I1002" s="249">
        <f>1.1*2.1+0.9*2.1</f>
        <v>4.2000000000000011</v>
      </c>
      <c r="J1002" s="248"/>
      <c r="K1002" s="249">
        <f t="shared" si="64"/>
        <v>26.75</v>
      </c>
      <c r="L1002" s="250"/>
      <c r="M1002" s="149"/>
      <c r="N1002" s="149"/>
      <c r="O1002" s="149"/>
      <c r="P1002" s="149"/>
      <c r="Q1002" s="149"/>
      <c r="R1002" s="149"/>
    </row>
    <row r="1003" spans="1:18" s="154" customFormat="1" ht="18.75" customHeight="1" x14ac:dyDescent="0.25">
      <c r="A1003" s="245"/>
      <c r="B1003" s="246" t="s">
        <v>1691</v>
      </c>
      <c r="C1003" s="246"/>
      <c r="D1003" s="246"/>
      <c r="E1003" s="246"/>
      <c r="F1003" s="247"/>
      <c r="G1003" s="249">
        <v>15.7</v>
      </c>
      <c r="H1003" s="249">
        <v>1.4</v>
      </c>
      <c r="I1003" s="249">
        <f>0.2*2.1+2.35*0.8</f>
        <v>2.3000000000000003</v>
      </c>
      <c r="J1003" s="248"/>
      <c r="K1003" s="249">
        <f t="shared" si="64"/>
        <v>19.68</v>
      </c>
      <c r="L1003" s="250"/>
      <c r="M1003" s="149"/>
      <c r="N1003" s="149"/>
      <c r="O1003" s="149"/>
      <c r="P1003" s="149"/>
      <c r="Q1003" s="149"/>
      <c r="R1003" s="149"/>
    </row>
    <row r="1004" spans="1:18" s="154" customFormat="1" ht="18.75" customHeight="1" x14ac:dyDescent="0.25">
      <c r="A1004" s="245"/>
      <c r="B1004" s="246" t="s">
        <v>1692</v>
      </c>
      <c r="C1004" s="246"/>
      <c r="D1004" s="246"/>
      <c r="E1004" s="246"/>
      <c r="F1004" s="247"/>
      <c r="G1004" s="249">
        <v>53.4</v>
      </c>
      <c r="H1004" s="249">
        <v>3.3</v>
      </c>
      <c r="I1004" s="249" t="b">
        <f>0.7*0.7=3*2.3*1.5+2*2.1+2.35*0.8+1.1*2.1+1.25*2.1+2*0.9*2.1+2.3*1.5</f>
        <v>0</v>
      </c>
      <c r="J1004" s="248"/>
      <c r="K1004" s="249">
        <f t="shared" si="64"/>
        <v>176.22</v>
      </c>
      <c r="L1004" s="250"/>
      <c r="M1004" s="149"/>
      <c r="N1004" s="149"/>
      <c r="O1004" s="149"/>
      <c r="P1004" s="149"/>
      <c r="Q1004" s="149"/>
      <c r="R1004" s="149"/>
    </row>
    <row r="1005" spans="1:18" s="154" customFormat="1" ht="18.75" customHeight="1" x14ac:dyDescent="0.25">
      <c r="A1005" s="470" t="s">
        <v>163</v>
      </c>
      <c r="B1005" s="471"/>
      <c r="C1005" s="471"/>
      <c r="D1005" s="471"/>
      <c r="E1005" s="471"/>
      <c r="F1005" s="472"/>
      <c r="G1005" s="472"/>
      <c r="H1005" s="472"/>
      <c r="I1005" s="472"/>
      <c r="J1005" s="472"/>
      <c r="K1005" s="252">
        <f>SUM(K909:K1004)</f>
        <v>4173.32</v>
      </c>
      <c r="L1005" s="250"/>
      <c r="M1005" s="149"/>
      <c r="N1005" s="149"/>
      <c r="O1005" s="149"/>
      <c r="P1005" s="149"/>
      <c r="Q1005" s="149"/>
      <c r="R1005" s="149"/>
    </row>
    <row r="1006" spans="1:18" s="154" customFormat="1" ht="20.100000000000001" customHeight="1" x14ac:dyDescent="0.25">
      <c r="A1006" s="177" t="s">
        <v>791</v>
      </c>
      <c r="B1006" s="171" t="s">
        <v>1697</v>
      </c>
      <c r="C1006" s="171"/>
      <c r="D1006" s="171"/>
      <c r="E1006" s="171"/>
      <c r="F1006" s="243" t="s">
        <v>24</v>
      </c>
      <c r="G1006" s="244"/>
      <c r="H1006" s="244" t="s">
        <v>705</v>
      </c>
      <c r="I1006" s="244"/>
      <c r="J1006" s="244"/>
      <c r="K1006" s="244" t="s">
        <v>50</v>
      </c>
      <c r="L1006" s="250"/>
      <c r="M1006" s="149"/>
      <c r="N1006" s="149"/>
      <c r="O1006" s="149"/>
      <c r="P1006" s="149"/>
      <c r="Q1006" s="149"/>
      <c r="R1006" s="149"/>
    </row>
    <row r="1007" spans="1:18" s="154" customFormat="1" ht="20.100000000000001" customHeight="1" x14ac:dyDescent="0.25">
      <c r="A1007" s="475" t="s">
        <v>1384</v>
      </c>
      <c r="B1007" s="476"/>
      <c r="C1007" s="476"/>
      <c r="D1007" s="476"/>
      <c r="E1007" s="476"/>
      <c r="F1007" s="476"/>
      <c r="G1007" s="476"/>
      <c r="H1007" s="476"/>
      <c r="I1007" s="476"/>
      <c r="J1007" s="476"/>
      <c r="K1007" s="477"/>
      <c r="L1007" s="250"/>
      <c r="M1007" s="149"/>
      <c r="N1007" s="149"/>
      <c r="O1007" s="149"/>
      <c r="P1007" s="149"/>
      <c r="Q1007" s="149"/>
      <c r="R1007" s="149"/>
    </row>
    <row r="1008" spans="1:18" s="149" customFormat="1" ht="20.100000000000001" customHeight="1" x14ac:dyDescent="0.25">
      <c r="A1008" s="267"/>
      <c r="B1008" s="246" t="s">
        <v>810</v>
      </c>
      <c r="C1008" s="246"/>
      <c r="D1008" s="246"/>
      <c r="E1008" s="246"/>
      <c r="F1008" s="247"/>
      <c r="G1008" s="248"/>
      <c r="H1008" s="249">
        <v>13.3</v>
      </c>
      <c r="J1008" s="248"/>
      <c r="K1008" s="136">
        <f>H1008</f>
        <v>13.3</v>
      </c>
      <c r="L1008" s="250"/>
    </row>
    <row r="1009" spans="1:18" s="149" customFormat="1" ht="20.100000000000001" customHeight="1" x14ac:dyDescent="0.25">
      <c r="A1009" s="267"/>
      <c r="B1009" s="246" t="s">
        <v>1602</v>
      </c>
      <c r="C1009" s="246"/>
      <c r="D1009" s="246"/>
      <c r="E1009" s="246"/>
      <c r="F1009" s="247"/>
      <c r="G1009" s="248"/>
      <c r="H1009" s="249">
        <v>5.32</v>
      </c>
      <c r="J1009" s="248"/>
      <c r="K1009" s="136">
        <f>H1009</f>
        <v>5.32</v>
      </c>
      <c r="L1009" s="250"/>
    </row>
    <row r="1010" spans="1:18" s="149" customFormat="1" ht="20.100000000000001" customHeight="1" x14ac:dyDescent="0.25">
      <c r="A1010" s="267"/>
      <c r="B1010" s="246" t="s">
        <v>811</v>
      </c>
      <c r="C1010" s="246"/>
      <c r="D1010" s="246"/>
      <c r="E1010" s="246"/>
      <c r="F1010" s="247"/>
      <c r="G1010" s="248"/>
      <c r="H1010" s="249">
        <v>8.18</v>
      </c>
      <c r="J1010" s="248"/>
      <c r="K1010" s="136">
        <f>H1010</f>
        <v>8.18</v>
      </c>
      <c r="L1010" s="250"/>
    </row>
    <row r="1011" spans="1:18" s="149" customFormat="1" ht="20.100000000000001" customHeight="1" x14ac:dyDescent="0.25">
      <c r="A1011" s="267"/>
      <c r="B1011" s="246" t="s">
        <v>1391</v>
      </c>
      <c r="C1011" s="246"/>
      <c r="D1011" s="246"/>
      <c r="E1011" s="246"/>
      <c r="F1011" s="247"/>
      <c r="G1011" s="248"/>
      <c r="H1011" s="249">
        <v>7.37</v>
      </c>
      <c r="J1011" s="248"/>
      <c r="K1011" s="136">
        <f>H1011</f>
        <v>7.37</v>
      </c>
      <c r="L1011" s="250"/>
    </row>
    <row r="1012" spans="1:18" s="149" customFormat="1" ht="20.100000000000001" customHeight="1" x14ac:dyDescent="0.25">
      <c r="A1012" s="267"/>
      <c r="B1012" s="246" t="s">
        <v>1453</v>
      </c>
      <c r="C1012" s="246"/>
      <c r="D1012" s="246"/>
      <c r="E1012" s="246"/>
      <c r="F1012" s="247"/>
      <c r="G1012" s="248"/>
      <c r="H1012" s="249">
        <v>12.13</v>
      </c>
      <c r="J1012" s="248"/>
      <c r="K1012" s="136">
        <f>H1012</f>
        <v>12.13</v>
      </c>
      <c r="L1012" s="250"/>
    </row>
    <row r="1013" spans="1:18" s="154" customFormat="1" ht="20.100000000000001" customHeight="1" x14ac:dyDescent="0.25">
      <c r="A1013" s="475" t="s">
        <v>1413</v>
      </c>
      <c r="B1013" s="476"/>
      <c r="C1013" s="476"/>
      <c r="D1013" s="476"/>
      <c r="E1013" s="476"/>
      <c r="F1013" s="476"/>
      <c r="G1013" s="476"/>
      <c r="H1013" s="476"/>
      <c r="I1013" s="476"/>
      <c r="J1013" s="476"/>
      <c r="K1013" s="477"/>
      <c r="L1013" s="250"/>
      <c r="M1013" s="149"/>
      <c r="N1013" s="149"/>
      <c r="O1013" s="149"/>
      <c r="P1013" s="149"/>
      <c r="Q1013" s="149"/>
      <c r="R1013" s="149"/>
    </row>
    <row r="1014" spans="1:18" s="154" customFormat="1" ht="20.100000000000001" customHeight="1" x14ac:dyDescent="0.25">
      <c r="A1014" s="245"/>
      <c r="B1014" s="246" t="s">
        <v>1420</v>
      </c>
      <c r="C1014" s="246"/>
      <c r="D1014" s="246"/>
      <c r="E1014" s="246"/>
      <c r="F1014" s="247"/>
      <c r="G1014" s="248"/>
      <c r="H1014" s="249">
        <v>21.98</v>
      </c>
      <c r="I1014" s="249"/>
      <c r="J1014" s="248"/>
      <c r="K1014" s="249">
        <f>H1014</f>
        <v>21.98</v>
      </c>
      <c r="L1014" s="250"/>
      <c r="M1014" s="149"/>
      <c r="N1014" s="149"/>
      <c r="O1014" s="149"/>
      <c r="P1014" s="149"/>
      <c r="Q1014" s="149"/>
      <c r="R1014" s="149"/>
    </row>
    <row r="1015" spans="1:18" s="154" customFormat="1" ht="20.100000000000001" customHeight="1" x14ac:dyDescent="0.25">
      <c r="A1015" s="245"/>
      <c r="B1015" s="246" t="s">
        <v>1569</v>
      </c>
      <c r="C1015" s="246"/>
      <c r="D1015" s="246"/>
      <c r="E1015" s="246"/>
      <c r="F1015" s="247"/>
      <c r="G1015" s="248"/>
      <c r="H1015" s="249">
        <v>26.67</v>
      </c>
      <c r="I1015" s="249"/>
      <c r="J1015" s="248"/>
      <c r="K1015" s="249">
        <f t="shared" ref="K1015:K1016" si="65">H1015</f>
        <v>26.67</v>
      </c>
      <c r="L1015" s="250"/>
      <c r="M1015" s="149"/>
      <c r="N1015" s="149"/>
      <c r="O1015" s="149"/>
      <c r="P1015" s="149"/>
      <c r="Q1015" s="149"/>
      <c r="R1015" s="149"/>
    </row>
    <row r="1016" spans="1:18" s="154" customFormat="1" ht="20.100000000000001" customHeight="1" x14ac:dyDescent="0.25">
      <c r="A1016" s="245"/>
      <c r="B1016" s="246" t="s">
        <v>1584</v>
      </c>
      <c r="C1016" s="246"/>
      <c r="D1016" s="246"/>
      <c r="E1016" s="246"/>
      <c r="F1016" s="247"/>
      <c r="G1016" s="248"/>
      <c r="H1016" s="249">
        <v>26.67</v>
      </c>
      <c r="I1016" s="249"/>
      <c r="J1016" s="248"/>
      <c r="K1016" s="249">
        <f t="shared" si="65"/>
        <v>26.67</v>
      </c>
      <c r="L1016" s="250"/>
      <c r="M1016" s="149"/>
      <c r="N1016" s="149"/>
      <c r="O1016" s="149"/>
      <c r="P1016" s="149"/>
      <c r="Q1016" s="149"/>
      <c r="R1016" s="149"/>
    </row>
    <row r="1017" spans="1:18" s="154" customFormat="1" ht="20.100000000000001" customHeight="1" x14ac:dyDescent="0.25">
      <c r="A1017" s="475" t="s">
        <v>1402</v>
      </c>
      <c r="B1017" s="476"/>
      <c r="C1017" s="476"/>
      <c r="D1017" s="476"/>
      <c r="E1017" s="476"/>
      <c r="F1017" s="476"/>
      <c r="G1017" s="476"/>
      <c r="H1017" s="476"/>
      <c r="I1017" s="476"/>
      <c r="J1017" s="476"/>
      <c r="K1017" s="477"/>
      <c r="L1017" s="250"/>
      <c r="M1017" s="149"/>
      <c r="N1017" s="149"/>
      <c r="O1017" s="149"/>
      <c r="P1017" s="149"/>
      <c r="Q1017" s="149"/>
      <c r="R1017" s="149"/>
    </row>
    <row r="1018" spans="1:18" s="154" customFormat="1" ht="20.100000000000001" customHeight="1" x14ac:dyDescent="0.25">
      <c r="A1018" s="245"/>
      <c r="B1018" s="246" t="s">
        <v>1698</v>
      </c>
      <c r="C1018" s="246"/>
      <c r="D1018" s="246"/>
      <c r="E1018" s="246"/>
      <c r="F1018" s="247"/>
      <c r="G1018" s="248"/>
      <c r="H1018" s="249">
        <f>7.48*4</f>
        <v>29.92</v>
      </c>
      <c r="I1018" s="249"/>
      <c r="J1018" s="248"/>
      <c r="K1018" s="249">
        <f>29.92</f>
        <v>29.92</v>
      </c>
      <c r="L1018" s="250"/>
      <c r="M1018" s="149"/>
      <c r="N1018" s="149"/>
      <c r="O1018" s="149"/>
      <c r="P1018" s="149"/>
      <c r="Q1018" s="149"/>
      <c r="R1018" s="149"/>
    </row>
    <row r="1019" spans="1:18" s="154" customFormat="1" ht="18.75" customHeight="1" x14ac:dyDescent="0.25">
      <c r="A1019" s="470" t="s">
        <v>163</v>
      </c>
      <c r="B1019" s="471"/>
      <c r="C1019" s="471"/>
      <c r="D1019" s="471"/>
      <c r="E1019" s="471"/>
      <c r="F1019" s="472"/>
      <c r="G1019" s="472"/>
      <c r="H1019" s="472"/>
      <c r="I1019" s="472"/>
      <c r="J1019" s="472"/>
      <c r="K1019" s="252">
        <f>SUM(K1008:K1018)</f>
        <v>151.54000000000002</v>
      </c>
      <c r="L1019" s="250"/>
      <c r="M1019" s="149"/>
      <c r="N1019" s="149"/>
      <c r="O1019" s="149"/>
      <c r="P1019" s="149"/>
      <c r="Q1019" s="149"/>
      <c r="R1019" s="149"/>
    </row>
    <row r="1020" spans="1:18" s="154" customFormat="1" ht="20.100000000000001" customHeight="1" x14ac:dyDescent="0.25">
      <c r="A1020" s="177" t="s">
        <v>791</v>
      </c>
      <c r="B1020" s="171" t="s">
        <v>1699</v>
      </c>
      <c r="C1020" s="171"/>
      <c r="D1020" s="171"/>
      <c r="E1020" s="171"/>
      <c r="F1020" s="243" t="s">
        <v>24</v>
      </c>
      <c r="G1020" s="244"/>
      <c r="H1020" s="244" t="s">
        <v>705</v>
      </c>
      <c r="I1020" s="244"/>
      <c r="J1020" s="244"/>
      <c r="K1020" s="244" t="s">
        <v>50</v>
      </c>
      <c r="L1020" s="250"/>
      <c r="M1020" s="149"/>
      <c r="N1020" s="149"/>
      <c r="O1020" s="149"/>
      <c r="P1020" s="149"/>
      <c r="Q1020" s="149"/>
      <c r="R1020" s="149"/>
    </row>
    <row r="1021" spans="1:18" s="154" customFormat="1" ht="20.100000000000001" customHeight="1" x14ac:dyDescent="0.25">
      <c r="A1021" s="475" t="s">
        <v>1382</v>
      </c>
      <c r="B1021" s="476"/>
      <c r="C1021" s="476"/>
      <c r="D1021" s="476"/>
      <c r="E1021" s="476"/>
      <c r="F1021" s="476"/>
      <c r="G1021" s="476"/>
      <c r="H1021" s="476"/>
      <c r="I1021" s="476"/>
      <c r="J1021" s="476"/>
      <c r="K1021" s="477"/>
      <c r="L1021" s="250"/>
      <c r="M1021" s="149"/>
      <c r="N1021" s="149"/>
      <c r="O1021" s="149"/>
      <c r="P1021" s="149"/>
      <c r="Q1021" s="149"/>
      <c r="R1021" s="149"/>
    </row>
    <row r="1022" spans="1:18" s="154" customFormat="1" ht="18.75" customHeight="1" x14ac:dyDescent="0.25">
      <c r="A1022" s="245"/>
      <c r="B1022" s="246" t="s">
        <v>1658</v>
      </c>
      <c r="C1022" s="246"/>
      <c r="D1022" s="246"/>
      <c r="E1022" s="246"/>
      <c r="F1022" s="247"/>
      <c r="G1022" s="248"/>
      <c r="H1022" s="249">
        <v>17.940000000000001</v>
      </c>
      <c r="I1022" s="249"/>
      <c r="J1022" s="248"/>
      <c r="K1022" s="249">
        <f>H1022</f>
        <v>17.940000000000001</v>
      </c>
      <c r="L1022" s="250"/>
      <c r="M1022" s="149"/>
      <c r="N1022" s="149"/>
      <c r="O1022" s="149"/>
      <c r="P1022" s="149"/>
      <c r="Q1022" s="149"/>
      <c r="R1022" s="149"/>
    </row>
    <row r="1023" spans="1:18" s="154" customFormat="1" ht="18.75" customHeight="1" x14ac:dyDescent="0.25">
      <c r="A1023" s="245"/>
      <c r="B1023" s="246" t="s">
        <v>812</v>
      </c>
      <c r="C1023" s="246"/>
      <c r="D1023" s="246"/>
      <c r="E1023" s="246"/>
      <c r="F1023" s="247"/>
      <c r="G1023" s="248"/>
      <c r="H1023" s="249">
        <v>9.66</v>
      </c>
      <c r="I1023" s="249"/>
      <c r="J1023" s="248"/>
      <c r="K1023" s="249">
        <f t="shared" ref="K1023:K1039" si="66">H1023</f>
        <v>9.66</v>
      </c>
      <c r="L1023" s="250"/>
      <c r="M1023" s="149"/>
      <c r="N1023" s="149"/>
      <c r="O1023" s="149"/>
      <c r="P1023" s="149"/>
      <c r="Q1023" s="149"/>
      <c r="R1023" s="149"/>
    </row>
    <row r="1024" spans="1:18" s="154" customFormat="1" ht="18.75" customHeight="1" x14ac:dyDescent="0.25">
      <c r="A1024" s="245"/>
      <c r="B1024" s="246" t="s">
        <v>1700</v>
      </c>
      <c r="C1024" s="246"/>
      <c r="D1024" s="246"/>
      <c r="E1024" s="246"/>
      <c r="F1024" s="247"/>
      <c r="G1024" s="248"/>
      <c r="H1024" s="249">
        <v>4.53</v>
      </c>
      <c r="I1024" s="249"/>
      <c r="J1024" s="248"/>
      <c r="K1024" s="249">
        <f t="shared" si="66"/>
        <v>4.53</v>
      </c>
      <c r="L1024" s="250"/>
      <c r="M1024" s="149"/>
      <c r="N1024" s="149"/>
      <c r="O1024" s="149"/>
      <c r="P1024" s="149"/>
      <c r="Q1024" s="149"/>
      <c r="R1024" s="149"/>
    </row>
    <row r="1025" spans="1:18" s="154" customFormat="1" ht="18.75" customHeight="1" x14ac:dyDescent="0.25">
      <c r="A1025" s="245"/>
      <c r="B1025" s="246" t="s">
        <v>1659</v>
      </c>
      <c r="C1025" s="246"/>
      <c r="D1025" s="246"/>
      <c r="E1025" s="246"/>
      <c r="F1025" s="247"/>
      <c r="G1025" s="248"/>
      <c r="H1025" s="249">
        <v>14.45</v>
      </c>
      <c r="I1025" s="249"/>
      <c r="J1025" s="248"/>
      <c r="K1025" s="249">
        <f t="shared" si="66"/>
        <v>14.45</v>
      </c>
      <c r="L1025" s="250"/>
      <c r="M1025" s="149"/>
      <c r="N1025" s="149"/>
      <c r="O1025" s="149"/>
      <c r="P1025" s="149"/>
      <c r="Q1025" s="149"/>
      <c r="R1025" s="149"/>
    </row>
    <row r="1026" spans="1:18" s="154" customFormat="1" ht="18.75" customHeight="1" x14ac:dyDescent="0.25">
      <c r="A1026" s="245"/>
      <c r="B1026" s="246" t="s">
        <v>1660</v>
      </c>
      <c r="C1026" s="246"/>
      <c r="D1026" s="246"/>
      <c r="E1026" s="246"/>
      <c r="F1026" s="247"/>
      <c r="G1026" s="248"/>
      <c r="H1026" s="249">
        <v>11.64</v>
      </c>
      <c r="I1026" s="249"/>
      <c r="J1026" s="248"/>
      <c r="K1026" s="249">
        <f t="shared" si="66"/>
        <v>11.64</v>
      </c>
      <c r="L1026" s="250"/>
      <c r="M1026" s="149"/>
      <c r="N1026" s="149"/>
      <c r="O1026" s="149"/>
      <c r="P1026" s="149"/>
      <c r="Q1026" s="149"/>
      <c r="R1026" s="149"/>
    </row>
    <row r="1027" spans="1:18" s="154" customFormat="1" ht="18.75" customHeight="1" x14ac:dyDescent="0.25">
      <c r="A1027" s="245"/>
      <c r="B1027" s="246" t="s">
        <v>1661</v>
      </c>
      <c r="C1027" s="246"/>
      <c r="D1027" s="246"/>
      <c r="E1027" s="246"/>
      <c r="F1027" s="247"/>
      <c r="G1027" s="248"/>
      <c r="H1027" s="249">
        <v>11.88</v>
      </c>
      <c r="I1027" s="249"/>
      <c r="J1027" s="248"/>
      <c r="K1027" s="249">
        <f t="shared" si="66"/>
        <v>11.88</v>
      </c>
      <c r="L1027" s="250"/>
      <c r="M1027" s="149"/>
      <c r="N1027" s="149"/>
      <c r="O1027" s="149"/>
      <c r="P1027" s="149"/>
      <c r="Q1027" s="149"/>
      <c r="R1027" s="149"/>
    </row>
    <row r="1028" spans="1:18" s="154" customFormat="1" ht="18.75" customHeight="1" x14ac:dyDescent="0.25">
      <c r="A1028" s="245"/>
      <c r="B1028" s="246" t="s">
        <v>1662</v>
      </c>
      <c r="C1028" s="246"/>
      <c r="D1028" s="246"/>
      <c r="E1028" s="246"/>
      <c r="F1028" s="247"/>
      <c r="G1028" s="248"/>
      <c r="H1028" s="249">
        <v>17.7</v>
      </c>
      <c r="I1028" s="249"/>
      <c r="J1028" s="248"/>
      <c r="K1028" s="249">
        <f t="shared" si="66"/>
        <v>17.7</v>
      </c>
      <c r="L1028" s="250"/>
      <c r="M1028" s="149"/>
      <c r="N1028" s="149"/>
      <c r="O1028" s="149"/>
      <c r="P1028" s="149"/>
      <c r="Q1028" s="149"/>
      <c r="R1028" s="149"/>
    </row>
    <row r="1029" spans="1:18" s="154" customFormat="1" ht="18.75" customHeight="1" x14ac:dyDescent="0.25">
      <c r="A1029" s="245"/>
      <c r="B1029" s="246" t="s">
        <v>1663</v>
      </c>
      <c r="C1029" s="246"/>
      <c r="D1029" s="246"/>
      <c r="E1029" s="246"/>
      <c r="F1029" s="247"/>
      <c r="G1029" s="248"/>
      <c r="H1029" s="249">
        <v>11.64</v>
      </c>
      <c r="I1029" s="249"/>
      <c r="J1029" s="248"/>
      <c r="K1029" s="249">
        <f t="shared" si="66"/>
        <v>11.64</v>
      </c>
      <c r="L1029" s="250"/>
      <c r="M1029" s="149"/>
      <c r="N1029" s="149"/>
      <c r="O1029" s="149"/>
      <c r="P1029" s="149"/>
      <c r="Q1029" s="149"/>
      <c r="R1029" s="149"/>
    </row>
    <row r="1030" spans="1:18" s="154" customFormat="1" ht="18.75" customHeight="1" x14ac:dyDescent="0.25">
      <c r="A1030" s="245"/>
      <c r="B1030" s="246" t="s">
        <v>1584</v>
      </c>
      <c r="C1030" s="246"/>
      <c r="D1030" s="246"/>
      <c r="E1030" s="246"/>
      <c r="F1030" s="247"/>
      <c r="G1030" s="248"/>
      <c r="H1030" s="249">
        <v>8.2899999999999991</v>
      </c>
      <c r="I1030" s="249"/>
      <c r="J1030" s="248"/>
      <c r="K1030" s="249">
        <f t="shared" si="66"/>
        <v>8.2899999999999991</v>
      </c>
      <c r="L1030" s="250"/>
      <c r="M1030" s="149"/>
      <c r="N1030" s="149"/>
      <c r="O1030" s="149"/>
      <c r="P1030" s="149"/>
      <c r="Q1030" s="149"/>
      <c r="R1030" s="149"/>
    </row>
    <row r="1031" spans="1:18" s="154" customFormat="1" ht="18.75" customHeight="1" x14ac:dyDescent="0.25">
      <c r="A1031" s="245"/>
      <c r="B1031" s="246" t="s">
        <v>1620</v>
      </c>
      <c r="C1031" s="246"/>
      <c r="D1031" s="246"/>
      <c r="E1031" s="246"/>
      <c r="F1031" s="247"/>
      <c r="G1031" s="248"/>
      <c r="H1031" s="249">
        <v>8.2899999999999991</v>
      </c>
      <c r="I1031" s="249"/>
      <c r="J1031" s="248"/>
      <c r="K1031" s="249">
        <f t="shared" si="66"/>
        <v>8.2899999999999991</v>
      </c>
      <c r="L1031" s="250"/>
      <c r="M1031" s="149"/>
      <c r="N1031" s="149"/>
      <c r="O1031" s="149"/>
      <c r="P1031" s="149"/>
      <c r="Q1031" s="149"/>
      <c r="R1031" s="149"/>
    </row>
    <row r="1032" spans="1:18" s="154" customFormat="1" ht="18.75" customHeight="1" x14ac:dyDescent="0.25">
      <c r="A1032" s="245"/>
      <c r="B1032" s="246" t="s">
        <v>1664</v>
      </c>
      <c r="C1032" s="246"/>
      <c r="D1032" s="246"/>
      <c r="E1032" s="246"/>
      <c r="F1032" s="247"/>
      <c r="G1032" s="248"/>
      <c r="H1032" s="249">
        <v>23.52</v>
      </c>
      <c r="I1032" s="249"/>
      <c r="J1032" s="248"/>
      <c r="K1032" s="249">
        <f t="shared" si="66"/>
        <v>23.52</v>
      </c>
      <c r="L1032" s="250"/>
      <c r="M1032" s="149"/>
      <c r="N1032" s="149"/>
      <c r="O1032" s="149"/>
      <c r="P1032" s="149"/>
      <c r="Q1032" s="149"/>
      <c r="R1032" s="149"/>
    </row>
    <row r="1033" spans="1:18" s="154" customFormat="1" ht="18.75" customHeight="1" x14ac:dyDescent="0.25">
      <c r="A1033" s="245"/>
      <c r="B1033" s="246" t="s">
        <v>1469</v>
      </c>
      <c r="C1033" s="246"/>
      <c r="D1033" s="246"/>
      <c r="E1033" s="246"/>
      <c r="F1033" s="247"/>
      <c r="G1033" s="248"/>
      <c r="H1033" s="249">
        <v>8.57</v>
      </c>
      <c r="I1033" s="249"/>
      <c r="J1033" s="248"/>
      <c r="K1033" s="249">
        <f t="shared" si="66"/>
        <v>8.57</v>
      </c>
      <c r="L1033" s="250"/>
      <c r="M1033" s="149"/>
      <c r="N1033" s="149"/>
      <c r="O1033" s="149"/>
      <c r="P1033" s="149"/>
      <c r="Q1033" s="149"/>
      <c r="R1033" s="149"/>
    </row>
    <row r="1034" spans="1:18" s="154" customFormat="1" ht="18.75" customHeight="1" x14ac:dyDescent="0.25">
      <c r="A1034" s="245"/>
      <c r="B1034" s="246" t="s">
        <v>1467</v>
      </c>
      <c r="C1034" s="246"/>
      <c r="D1034" s="246"/>
      <c r="E1034" s="246"/>
      <c r="F1034" s="247"/>
      <c r="G1034" s="248"/>
      <c r="H1034" s="249">
        <v>8.57</v>
      </c>
      <c r="I1034" s="249"/>
      <c r="J1034" s="248"/>
      <c r="K1034" s="249">
        <f t="shared" si="66"/>
        <v>8.57</v>
      </c>
      <c r="L1034" s="250"/>
      <c r="M1034" s="149"/>
      <c r="N1034" s="149"/>
      <c r="O1034" s="149"/>
      <c r="P1034" s="149"/>
      <c r="Q1034" s="149"/>
      <c r="R1034" s="149"/>
    </row>
    <row r="1035" spans="1:18" s="154" customFormat="1" ht="18.75" customHeight="1" x14ac:dyDescent="0.25">
      <c r="A1035" s="245"/>
      <c r="B1035" s="246" t="s">
        <v>1665</v>
      </c>
      <c r="C1035" s="246"/>
      <c r="D1035" s="246"/>
      <c r="E1035" s="246"/>
      <c r="F1035" s="247"/>
      <c r="G1035" s="248"/>
      <c r="H1035" s="249">
        <v>11.4</v>
      </c>
      <c r="I1035" s="249"/>
      <c r="J1035" s="248"/>
      <c r="K1035" s="249">
        <f t="shared" si="66"/>
        <v>11.4</v>
      </c>
      <c r="L1035" s="250"/>
      <c r="M1035" s="149"/>
      <c r="N1035" s="149"/>
      <c r="O1035" s="149"/>
      <c r="P1035" s="149"/>
      <c r="Q1035" s="149"/>
      <c r="R1035" s="149"/>
    </row>
    <row r="1036" spans="1:18" s="154" customFormat="1" ht="18.75" customHeight="1" x14ac:dyDescent="0.25">
      <c r="A1036" s="245"/>
      <c r="B1036" s="246" t="s">
        <v>1465</v>
      </c>
      <c r="C1036" s="246"/>
      <c r="D1036" s="246"/>
      <c r="E1036" s="246"/>
      <c r="F1036" s="247"/>
      <c r="G1036" s="248"/>
      <c r="H1036" s="249">
        <v>23.09</v>
      </c>
      <c r="I1036" s="249"/>
      <c r="J1036" s="248"/>
      <c r="K1036" s="249">
        <f t="shared" si="66"/>
        <v>23.09</v>
      </c>
      <c r="L1036" s="250"/>
      <c r="M1036" s="149"/>
      <c r="N1036" s="149"/>
      <c r="O1036" s="149"/>
      <c r="P1036" s="149"/>
      <c r="Q1036" s="149"/>
      <c r="R1036" s="149"/>
    </row>
    <row r="1037" spans="1:18" s="154" customFormat="1" ht="18.75" customHeight="1" x14ac:dyDescent="0.25">
      <c r="A1037" s="245"/>
      <c r="B1037" s="246" t="s">
        <v>1466</v>
      </c>
      <c r="C1037" s="246"/>
      <c r="D1037" s="246"/>
      <c r="E1037" s="246"/>
      <c r="F1037" s="247"/>
      <c r="G1037" s="248"/>
      <c r="H1037" s="249">
        <v>8.57</v>
      </c>
      <c r="I1037" s="249"/>
      <c r="J1037" s="248"/>
      <c r="K1037" s="249">
        <f t="shared" si="66"/>
        <v>8.57</v>
      </c>
      <c r="L1037" s="250"/>
      <c r="M1037" s="149"/>
      <c r="N1037" s="149"/>
      <c r="O1037" s="149"/>
      <c r="P1037" s="149"/>
      <c r="Q1037" s="149"/>
      <c r="R1037" s="149"/>
    </row>
    <row r="1038" spans="1:18" s="154" customFormat="1" ht="18.75" customHeight="1" x14ac:dyDescent="0.25">
      <c r="A1038" s="245"/>
      <c r="B1038" s="246" t="s">
        <v>813</v>
      </c>
      <c r="C1038" s="246"/>
      <c r="D1038" s="246"/>
      <c r="E1038" s="246"/>
      <c r="F1038" s="247"/>
      <c r="G1038" s="248"/>
      <c r="H1038" s="249">
        <v>31.7</v>
      </c>
      <c r="I1038" s="249"/>
      <c r="J1038" s="248"/>
      <c r="K1038" s="249">
        <f t="shared" si="66"/>
        <v>31.7</v>
      </c>
      <c r="L1038" s="250"/>
      <c r="M1038" s="149"/>
      <c r="N1038" s="149"/>
      <c r="O1038" s="149"/>
      <c r="P1038" s="149"/>
      <c r="Q1038" s="149"/>
      <c r="R1038" s="149"/>
    </row>
    <row r="1039" spans="1:18" s="154" customFormat="1" ht="18.75" customHeight="1" x14ac:dyDescent="0.25">
      <c r="A1039" s="245"/>
      <c r="B1039" s="246" t="s">
        <v>1667</v>
      </c>
      <c r="C1039" s="246"/>
      <c r="D1039" s="246"/>
      <c r="E1039" s="246"/>
      <c r="F1039" s="247"/>
      <c r="G1039" s="248"/>
      <c r="H1039" s="249">
        <v>45.31</v>
      </c>
      <c r="I1039" s="249"/>
      <c r="J1039" s="248"/>
      <c r="K1039" s="249">
        <f t="shared" si="66"/>
        <v>45.31</v>
      </c>
      <c r="L1039" s="250"/>
      <c r="M1039" s="149"/>
      <c r="N1039" s="149"/>
      <c r="O1039" s="149"/>
      <c r="P1039" s="149"/>
      <c r="Q1039" s="149"/>
      <c r="R1039" s="149"/>
    </row>
    <row r="1040" spans="1:18" s="154" customFormat="1" ht="20.100000000000001" customHeight="1" x14ac:dyDescent="0.25">
      <c r="A1040" s="475" t="s">
        <v>1384</v>
      </c>
      <c r="B1040" s="476"/>
      <c r="C1040" s="476"/>
      <c r="D1040" s="476"/>
      <c r="E1040" s="476"/>
      <c r="F1040" s="476"/>
      <c r="G1040" s="476"/>
      <c r="H1040" s="476"/>
      <c r="I1040" s="476"/>
      <c r="J1040" s="476"/>
      <c r="K1040" s="477"/>
      <c r="L1040" s="250"/>
      <c r="M1040" s="149"/>
      <c r="N1040" s="149"/>
      <c r="O1040" s="149"/>
      <c r="P1040" s="149"/>
      <c r="Q1040" s="149"/>
      <c r="R1040" s="149"/>
    </row>
    <row r="1041" spans="1:13" s="166" customFormat="1" ht="20.100000000000001" customHeight="1" x14ac:dyDescent="0.25">
      <c r="A1041" s="245"/>
      <c r="B1041" s="246" t="s">
        <v>810</v>
      </c>
      <c r="C1041" s="246"/>
      <c r="D1041" s="246"/>
      <c r="E1041" s="246"/>
      <c r="F1041" s="247"/>
      <c r="G1041" s="248"/>
      <c r="H1041" s="249"/>
      <c r="I1041" s="249">
        <v>13.3</v>
      </c>
      <c r="J1041" s="248"/>
      <c r="K1041" s="249">
        <f>I1041</f>
        <v>13.3</v>
      </c>
      <c r="L1041" s="250"/>
      <c r="M1041" s="149"/>
    </row>
    <row r="1042" spans="1:13" s="166" customFormat="1" ht="20.100000000000001" customHeight="1" x14ac:dyDescent="0.25">
      <c r="A1042" s="245"/>
      <c r="B1042" s="246" t="s">
        <v>1602</v>
      </c>
      <c r="C1042" s="246"/>
      <c r="D1042" s="246"/>
      <c r="E1042" s="246"/>
      <c r="F1042" s="247"/>
      <c r="G1042" s="248"/>
      <c r="H1042" s="249"/>
      <c r="I1042" s="249">
        <v>5.32</v>
      </c>
      <c r="J1042" s="248"/>
      <c r="K1042" s="249">
        <f t="shared" ref="K1042:K1065" si="67">I1042</f>
        <v>5.32</v>
      </c>
      <c r="L1042" s="250"/>
      <c r="M1042" s="149"/>
    </row>
    <row r="1043" spans="1:13" s="166" customFormat="1" ht="20.100000000000001" customHeight="1" x14ac:dyDescent="0.25">
      <c r="A1043" s="245"/>
      <c r="B1043" s="246" t="s">
        <v>1622</v>
      </c>
      <c r="C1043" s="246"/>
      <c r="D1043" s="246"/>
      <c r="E1043" s="246"/>
      <c r="F1043" s="247"/>
      <c r="G1043" s="248"/>
      <c r="H1043" s="249"/>
      <c r="I1043" s="249">
        <v>34.799999999999997</v>
      </c>
      <c r="J1043" s="248"/>
      <c r="K1043" s="249">
        <f t="shared" si="67"/>
        <v>34.799999999999997</v>
      </c>
      <c r="L1043" s="250"/>
      <c r="M1043" s="149"/>
    </row>
    <row r="1044" spans="1:13" s="166" customFormat="1" ht="20.100000000000001" customHeight="1" x14ac:dyDescent="0.25">
      <c r="A1044" s="245"/>
      <c r="B1044" s="246" t="s">
        <v>1552</v>
      </c>
      <c r="C1044" s="246"/>
      <c r="D1044" s="246"/>
      <c r="E1044" s="246"/>
      <c r="F1044" s="247"/>
      <c r="G1044" s="248"/>
      <c r="H1044" s="249"/>
      <c r="I1044" s="249">
        <v>7.39</v>
      </c>
      <c r="J1044" s="248"/>
      <c r="K1044" s="249">
        <f t="shared" si="67"/>
        <v>7.39</v>
      </c>
      <c r="L1044" s="250"/>
      <c r="M1044" s="149"/>
    </row>
    <row r="1045" spans="1:13" s="166" customFormat="1" ht="20.100000000000001" customHeight="1" x14ac:dyDescent="0.25">
      <c r="A1045" s="245"/>
      <c r="B1045" s="246" t="s">
        <v>811</v>
      </c>
      <c r="C1045" s="246"/>
      <c r="D1045" s="246"/>
      <c r="E1045" s="246"/>
      <c r="F1045" s="247"/>
      <c r="G1045" s="248"/>
      <c r="H1045" s="249"/>
      <c r="I1045" s="249">
        <v>8.18</v>
      </c>
      <c r="J1045" s="248"/>
      <c r="K1045" s="249">
        <f t="shared" si="67"/>
        <v>8.18</v>
      </c>
      <c r="L1045" s="250"/>
      <c r="M1045" s="149"/>
    </row>
    <row r="1046" spans="1:13" s="166" customFormat="1" ht="20.100000000000001" customHeight="1" x14ac:dyDescent="0.25">
      <c r="A1046" s="245"/>
      <c r="B1046" s="246" t="s">
        <v>1668</v>
      </c>
      <c r="C1046" s="246"/>
      <c r="D1046" s="246"/>
      <c r="E1046" s="246"/>
      <c r="F1046" s="247"/>
      <c r="G1046" s="248"/>
      <c r="H1046" s="249"/>
      <c r="I1046" s="249">
        <v>3.54</v>
      </c>
      <c r="J1046" s="248"/>
      <c r="K1046" s="249">
        <f t="shared" si="67"/>
        <v>3.54</v>
      </c>
      <c r="L1046" s="250"/>
      <c r="M1046" s="149"/>
    </row>
    <row r="1047" spans="1:13" s="166" customFormat="1" ht="20.100000000000001" customHeight="1" x14ac:dyDescent="0.25">
      <c r="A1047" s="245"/>
      <c r="B1047" s="246" t="s">
        <v>1669</v>
      </c>
      <c r="C1047" s="246"/>
      <c r="D1047" s="246"/>
      <c r="E1047" s="246"/>
      <c r="F1047" s="247"/>
      <c r="G1047" s="248"/>
      <c r="H1047" s="249"/>
      <c r="I1047" s="249">
        <v>4.1100000000000003</v>
      </c>
      <c r="J1047" s="248"/>
      <c r="K1047" s="249">
        <f t="shared" si="67"/>
        <v>4.1100000000000003</v>
      </c>
      <c r="L1047" s="250"/>
      <c r="M1047" s="149"/>
    </row>
    <row r="1048" spans="1:13" s="166" customFormat="1" ht="20.100000000000001" customHeight="1" x14ac:dyDescent="0.25">
      <c r="A1048" s="245"/>
      <c r="B1048" s="246" t="s">
        <v>1701</v>
      </c>
      <c r="C1048" s="246"/>
      <c r="D1048" s="246"/>
      <c r="E1048" s="246"/>
      <c r="F1048" s="247"/>
      <c r="G1048" s="248"/>
      <c r="H1048" s="249"/>
      <c r="I1048" s="249">
        <v>5.15</v>
      </c>
      <c r="J1048" s="248"/>
      <c r="K1048" s="249">
        <f t="shared" si="67"/>
        <v>5.15</v>
      </c>
      <c r="L1048" s="250"/>
      <c r="M1048" s="149"/>
    </row>
    <row r="1049" spans="1:13" s="166" customFormat="1" ht="20.100000000000001" customHeight="1" x14ac:dyDescent="0.25">
      <c r="A1049" s="245"/>
      <c r="B1049" s="246" t="s">
        <v>1670</v>
      </c>
      <c r="C1049" s="246"/>
      <c r="D1049" s="246"/>
      <c r="E1049" s="246"/>
      <c r="F1049" s="247"/>
      <c r="G1049" s="248"/>
      <c r="H1049" s="249"/>
      <c r="I1049" s="249">
        <v>7.05</v>
      </c>
      <c r="J1049" s="248"/>
      <c r="K1049" s="249">
        <f t="shared" si="67"/>
        <v>7.05</v>
      </c>
      <c r="L1049" s="250"/>
      <c r="M1049" s="149"/>
    </row>
    <row r="1050" spans="1:13" s="166" customFormat="1" ht="20.100000000000001" customHeight="1" x14ac:dyDescent="0.25">
      <c r="A1050" s="245"/>
      <c r="B1050" s="246" t="s">
        <v>1553</v>
      </c>
      <c r="C1050" s="246"/>
      <c r="D1050" s="246"/>
      <c r="E1050" s="246"/>
      <c r="F1050" s="247"/>
      <c r="G1050" s="248"/>
      <c r="H1050" s="249"/>
      <c r="I1050" s="249">
        <v>7.39</v>
      </c>
      <c r="J1050" s="248"/>
      <c r="K1050" s="249">
        <f t="shared" si="67"/>
        <v>7.39</v>
      </c>
      <c r="L1050" s="250"/>
      <c r="M1050" s="149"/>
    </row>
    <row r="1051" spans="1:13" s="166" customFormat="1" ht="20.100000000000001" customHeight="1" x14ac:dyDescent="0.25">
      <c r="A1051" s="245"/>
      <c r="B1051" s="246" t="s">
        <v>1604</v>
      </c>
      <c r="C1051" s="246"/>
      <c r="D1051" s="246"/>
      <c r="E1051" s="246"/>
      <c r="F1051" s="247"/>
      <c r="G1051" s="248"/>
      <c r="H1051" s="249"/>
      <c r="I1051" s="249">
        <v>10.14</v>
      </c>
      <c r="J1051" s="248"/>
      <c r="K1051" s="249">
        <f t="shared" si="67"/>
        <v>10.14</v>
      </c>
      <c r="L1051" s="250"/>
      <c r="M1051" s="149"/>
    </row>
    <row r="1052" spans="1:13" s="166" customFormat="1" ht="20.100000000000001" customHeight="1" x14ac:dyDescent="0.25">
      <c r="A1052" s="245"/>
      <c r="B1052" s="246" t="s">
        <v>1605</v>
      </c>
      <c r="C1052" s="246"/>
      <c r="D1052" s="246"/>
      <c r="E1052" s="246"/>
      <c r="F1052" s="247"/>
      <c r="G1052" s="248"/>
      <c r="H1052" s="249"/>
      <c r="I1052" s="249">
        <v>10.14</v>
      </c>
      <c r="J1052" s="248"/>
      <c r="K1052" s="249">
        <f t="shared" si="67"/>
        <v>10.14</v>
      </c>
      <c r="L1052" s="250"/>
      <c r="M1052" s="149"/>
    </row>
    <row r="1053" spans="1:13" s="166" customFormat="1" ht="20.100000000000001" customHeight="1" x14ac:dyDescent="0.25">
      <c r="A1053" s="245"/>
      <c r="B1053" s="246" t="s">
        <v>1606</v>
      </c>
      <c r="C1053" s="246"/>
      <c r="D1053" s="246"/>
      <c r="E1053" s="246"/>
      <c r="F1053" s="247"/>
      <c r="G1053" s="248"/>
      <c r="H1053" s="249"/>
      <c r="I1053" s="249">
        <v>10.14</v>
      </c>
      <c r="J1053" s="248"/>
      <c r="K1053" s="249">
        <f t="shared" si="67"/>
        <v>10.14</v>
      </c>
      <c r="L1053" s="250"/>
      <c r="M1053" s="149"/>
    </row>
    <row r="1054" spans="1:13" s="166" customFormat="1" ht="20.100000000000001" customHeight="1" x14ac:dyDescent="0.25">
      <c r="A1054" s="245"/>
      <c r="B1054" s="246" t="s">
        <v>1607</v>
      </c>
      <c r="C1054" s="246"/>
      <c r="D1054" s="246"/>
      <c r="E1054" s="246"/>
      <c r="F1054" s="247"/>
      <c r="G1054" s="248"/>
      <c r="H1054" s="249"/>
      <c r="I1054" s="249">
        <v>10.14</v>
      </c>
      <c r="J1054" s="248"/>
      <c r="K1054" s="249">
        <f t="shared" si="67"/>
        <v>10.14</v>
      </c>
      <c r="L1054" s="250"/>
      <c r="M1054" s="149"/>
    </row>
    <row r="1055" spans="1:13" s="166" customFormat="1" ht="20.100000000000001" customHeight="1" x14ac:dyDescent="0.25">
      <c r="A1055" s="245"/>
      <c r="B1055" s="246" t="s">
        <v>1608</v>
      </c>
      <c r="C1055" s="246"/>
      <c r="D1055" s="246"/>
      <c r="E1055" s="246"/>
      <c r="F1055" s="247"/>
      <c r="G1055" s="248"/>
      <c r="H1055" s="249"/>
      <c r="I1055" s="249">
        <v>10.14</v>
      </c>
      <c r="J1055" s="248"/>
      <c r="K1055" s="249">
        <f t="shared" si="67"/>
        <v>10.14</v>
      </c>
      <c r="L1055" s="250"/>
      <c r="M1055" s="149"/>
    </row>
    <row r="1056" spans="1:13" s="166" customFormat="1" ht="20.100000000000001" customHeight="1" x14ac:dyDescent="0.25">
      <c r="A1056" s="245"/>
      <c r="B1056" s="246" t="s">
        <v>1609</v>
      </c>
      <c r="C1056" s="246"/>
      <c r="D1056" s="246"/>
      <c r="E1056" s="246"/>
      <c r="F1056" s="247"/>
      <c r="G1056" s="248"/>
      <c r="H1056" s="249"/>
      <c r="I1056" s="249">
        <v>10.14</v>
      </c>
      <c r="J1056" s="248"/>
      <c r="K1056" s="249">
        <f t="shared" si="67"/>
        <v>10.14</v>
      </c>
      <c r="L1056" s="250"/>
      <c r="M1056" s="149"/>
    </row>
    <row r="1057" spans="1:18" s="166" customFormat="1" ht="20.100000000000001" customHeight="1" x14ac:dyDescent="0.25">
      <c r="A1057" s="245"/>
      <c r="B1057" s="246" t="s">
        <v>1671</v>
      </c>
      <c r="C1057" s="246"/>
      <c r="D1057" s="246"/>
      <c r="E1057" s="246"/>
      <c r="F1057" s="247"/>
      <c r="G1057" s="248"/>
      <c r="H1057" s="249"/>
      <c r="I1057" s="249">
        <v>20.5</v>
      </c>
      <c r="J1057" s="248"/>
      <c r="K1057" s="249">
        <f t="shared" si="67"/>
        <v>20.5</v>
      </c>
      <c r="L1057" s="250"/>
      <c r="M1057" s="149"/>
    </row>
    <row r="1058" spans="1:18" s="166" customFormat="1" ht="20.100000000000001" customHeight="1" x14ac:dyDescent="0.25">
      <c r="A1058" s="245"/>
      <c r="B1058" s="246" t="s">
        <v>1672</v>
      </c>
      <c r="C1058" s="246"/>
      <c r="D1058" s="246"/>
      <c r="E1058" s="246"/>
      <c r="F1058" s="247"/>
      <c r="G1058" s="248"/>
      <c r="H1058" s="249"/>
      <c r="I1058" s="249">
        <v>9.99</v>
      </c>
      <c r="J1058" s="248"/>
      <c r="K1058" s="249">
        <f t="shared" si="67"/>
        <v>9.99</v>
      </c>
      <c r="L1058" s="250"/>
      <c r="M1058" s="149"/>
    </row>
    <row r="1059" spans="1:18" s="166" customFormat="1" ht="20.100000000000001" customHeight="1" x14ac:dyDescent="0.25">
      <c r="A1059" s="245"/>
      <c r="B1059" s="246" t="s">
        <v>1610</v>
      </c>
      <c r="C1059" s="246"/>
      <c r="D1059" s="246"/>
      <c r="E1059" s="246"/>
      <c r="F1059" s="247"/>
      <c r="G1059" s="248"/>
      <c r="H1059" s="249"/>
      <c r="I1059" s="249">
        <v>9.75</v>
      </c>
      <c r="J1059" s="248"/>
      <c r="K1059" s="249">
        <f t="shared" si="67"/>
        <v>9.75</v>
      </c>
      <c r="L1059" s="250"/>
      <c r="M1059" s="149"/>
    </row>
    <row r="1060" spans="1:18" s="166" customFormat="1" ht="20.100000000000001" customHeight="1" x14ac:dyDescent="0.25">
      <c r="A1060" s="245"/>
      <c r="B1060" s="246" t="s">
        <v>1569</v>
      </c>
      <c r="C1060" s="246"/>
      <c r="D1060" s="246"/>
      <c r="E1060" s="246"/>
      <c r="F1060" s="247"/>
      <c r="G1060" s="248"/>
      <c r="H1060" s="249"/>
      <c r="I1060" s="249">
        <v>9.7200000000000006</v>
      </c>
      <c r="J1060" s="248"/>
      <c r="K1060" s="249">
        <f t="shared" si="67"/>
        <v>9.7200000000000006</v>
      </c>
      <c r="L1060" s="250"/>
      <c r="M1060" s="149"/>
    </row>
    <row r="1061" spans="1:18" s="166" customFormat="1" ht="20.100000000000001" customHeight="1" x14ac:dyDescent="0.25">
      <c r="A1061" s="245"/>
      <c r="B1061" s="246" t="s">
        <v>1584</v>
      </c>
      <c r="C1061" s="246"/>
      <c r="D1061" s="246"/>
      <c r="E1061" s="246"/>
      <c r="F1061" s="247"/>
      <c r="G1061" s="248"/>
      <c r="H1061" s="249"/>
      <c r="I1061" s="249">
        <v>9.7200000000000006</v>
      </c>
      <c r="J1061" s="248"/>
      <c r="K1061" s="249">
        <f t="shared" si="67"/>
        <v>9.7200000000000006</v>
      </c>
      <c r="L1061" s="250"/>
      <c r="M1061" s="149"/>
    </row>
    <row r="1062" spans="1:18" s="166" customFormat="1" ht="20.100000000000001" customHeight="1" x14ac:dyDescent="0.25">
      <c r="A1062" s="245"/>
      <c r="B1062" s="246" t="s">
        <v>1391</v>
      </c>
      <c r="C1062" s="246"/>
      <c r="D1062" s="246"/>
      <c r="E1062" s="246"/>
      <c r="F1062" s="247"/>
      <c r="G1062" s="248"/>
      <c r="H1062" s="249"/>
      <c r="I1062" s="249">
        <v>7.37</v>
      </c>
      <c r="J1062" s="248"/>
      <c r="K1062" s="249">
        <f t="shared" si="67"/>
        <v>7.37</v>
      </c>
      <c r="L1062" s="250"/>
      <c r="M1062" s="149"/>
    </row>
    <row r="1063" spans="1:18" s="166" customFormat="1" ht="20.100000000000001" customHeight="1" x14ac:dyDescent="0.25">
      <c r="A1063" s="245"/>
      <c r="B1063" s="246" t="s">
        <v>1453</v>
      </c>
      <c r="C1063" s="246"/>
      <c r="D1063" s="246"/>
      <c r="E1063" s="246"/>
      <c r="F1063" s="247"/>
      <c r="G1063" s="248"/>
      <c r="H1063" s="249"/>
      <c r="I1063" s="249">
        <v>5.25</v>
      </c>
      <c r="J1063" s="248"/>
      <c r="K1063" s="249">
        <f t="shared" si="67"/>
        <v>5.25</v>
      </c>
      <c r="L1063" s="250"/>
      <c r="M1063" s="149"/>
    </row>
    <row r="1064" spans="1:18" s="166" customFormat="1" ht="20.100000000000001" customHeight="1" x14ac:dyDescent="0.25">
      <c r="A1064" s="245"/>
      <c r="B1064" s="246" t="s">
        <v>812</v>
      </c>
      <c r="C1064" s="246"/>
      <c r="D1064" s="246"/>
      <c r="E1064" s="246"/>
      <c r="F1064" s="247"/>
      <c r="G1064" s="248"/>
      <c r="H1064" s="249"/>
      <c r="I1064" s="249">
        <v>32.659999999999997</v>
      </c>
      <c r="J1064" s="248"/>
      <c r="K1064" s="249">
        <f t="shared" si="67"/>
        <v>32.659999999999997</v>
      </c>
      <c r="L1064" s="250"/>
      <c r="M1064" s="149"/>
    </row>
    <row r="1065" spans="1:18" s="166" customFormat="1" ht="20.100000000000001" customHeight="1" x14ac:dyDescent="0.25">
      <c r="A1065" s="245"/>
      <c r="B1065" s="246" t="s">
        <v>813</v>
      </c>
      <c r="C1065" s="246"/>
      <c r="D1065" s="246"/>
      <c r="E1065" s="246"/>
      <c r="F1065" s="247"/>
      <c r="G1065" s="248"/>
      <c r="H1065" s="249"/>
      <c r="I1065" s="249">
        <v>19.68</v>
      </c>
      <c r="J1065" s="248"/>
      <c r="K1065" s="249">
        <f t="shared" si="67"/>
        <v>19.68</v>
      </c>
      <c r="L1065" s="250"/>
      <c r="M1065" s="149"/>
    </row>
    <row r="1066" spans="1:18" s="154" customFormat="1" ht="20.100000000000001" customHeight="1" x14ac:dyDescent="0.25">
      <c r="A1066" s="475" t="s">
        <v>1409</v>
      </c>
      <c r="B1066" s="476"/>
      <c r="C1066" s="476"/>
      <c r="D1066" s="476"/>
      <c r="E1066" s="476"/>
      <c r="F1066" s="476"/>
      <c r="G1066" s="476"/>
      <c r="H1066" s="476"/>
      <c r="I1066" s="476"/>
      <c r="J1066" s="476"/>
      <c r="K1066" s="477"/>
      <c r="L1066" s="250"/>
      <c r="M1066" s="149"/>
      <c r="N1066" s="149"/>
      <c r="O1066" s="149"/>
      <c r="P1066" s="149"/>
      <c r="Q1066" s="149"/>
      <c r="R1066" s="149"/>
    </row>
    <row r="1067" spans="1:18" s="166" customFormat="1" ht="20.100000000000001" customHeight="1" x14ac:dyDescent="0.25">
      <c r="A1067" s="245"/>
      <c r="B1067" s="246" t="s">
        <v>1556</v>
      </c>
      <c r="C1067" s="246"/>
      <c r="D1067" s="246"/>
      <c r="E1067" s="246"/>
      <c r="F1067" s="247"/>
      <c r="G1067" s="248"/>
      <c r="H1067" s="249"/>
      <c r="I1067" s="249">
        <v>34.799999999999997</v>
      </c>
      <c r="J1067" s="248"/>
      <c r="K1067" s="249">
        <f>I1067</f>
        <v>34.799999999999997</v>
      </c>
      <c r="L1067" s="250"/>
      <c r="M1067" s="149"/>
    </row>
    <row r="1068" spans="1:18" s="166" customFormat="1" ht="20.100000000000001" customHeight="1" x14ac:dyDescent="0.25">
      <c r="A1068" s="245"/>
      <c r="B1068" s="246" t="s">
        <v>811</v>
      </c>
      <c r="C1068" s="246"/>
      <c r="D1068" s="246"/>
      <c r="E1068" s="246"/>
      <c r="F1068" s="247"/>
      <c r="G1068" s="248"/>
      <c r="H1068" s="249"/>
      <c r="I1068" s="249">
        <v>7.31</v>
      </c>
      <c r="J1068" s="248"/>
      <c r="K1068" s="249">
        <f t="shared" ref="K1068:K1082" si="68">I1068</f>
        <v>7.31</v>
      </c>
      <c r="L1068" s="250"/>
      <c r="M1068" s="149"/>
    </row>
    <row r="1069" spans="1:18" s="166" customFormat="1" ht="20.100000000000001" customHeight="1" x14ac:dyDescent="0.25">
      <c r="A1069" s="245"/>
      <c r="B1069" s="246" t="s">
        <v>1673</v>
      </c>
      <c r="C1069" s="246"/>
      <c r="D1069" s="246"/>
      <c r="E1069" s="246"/>
      <c r="F1069" s="247"/>
      <c r="G1069" s="248"/>
      <c r="H1069" s="249"/>
      <c r="I1069" s="249">
        <v>4.08</v>
      </c>
      <c r="J1069" s="248"/>
      <c r="K1069" s="249">
        <f t="shared" si="68"/>
        <v>4.08</v>
      </c>
      <c r="L1069" s="250"/>
      <c r="M1069" s="149"/>
    </row>
    <row r="1070" spans="1:18" s="166" customFormat="1" ht="20.100000000000001" customHeight="1" x14ac:dyDescent="0.25">
      <c r="A1070" s="245"/>
      <c r="B1070" s="246" t="s">
        <v>1674</v>
      </c>
      <c r="C1070" s="246"/>
      <c r="D1070" s="246"/>
      <c r="E1070" s="246"/>
      <c r="F1070" s="247"/>
      <c r="G1070" s="248"/>
      <c r="H1070" s="249"/>
      <c r="I1070" s="249">
        <v>4.08</v>
      </c>
      <c r="J1070" s="248"/>
      <c r="K1070" s="249">
        <f t="shared" si="68"/>
        <v>4.08</v>
      </c>
      <c r="L1070" s="250"/>
      <c r="M1070" s="149"/>
    </row>
    <row r="1071" spans="1:18" s="166" customFormat="1" ht="20.100000000000001" customHeight="1" x14ac:dyDescent="0.25">
      <c r="A1071" s="245"/>
      <c r="B1071" s="246" t="s">
        <v>813</v>
      </c>
      <c r="C1071" s="246"/>
      <c r="D1071" s="246"/>
      <c r="E1071" s="246"/>
      <c r="F1071" s="247"/>
      <c r="G1071" s="248"/>
      <c r="H1071" s="249"/>
      <c r="I1071" s="249">
        <v>36.74</v>
      </c>
      <c r="J1071" s="248"/>
      <c r="K1071" s="249">
        <f t="shared" si="68"/>
        <v>36.74</v>
      </c>
      <c r="L1071" s="250"/>
      <c r="M1071" s="149"/>
    </row>
    <row r="1072" spans="1:18" s="166" customFormat="1" ht="20.100000000000001" customHeight="1" x14ac:dyDescent="0.25">
      <c r="A1072" s="245"/>
      <c r="B1072" s="246" t="s">
        <v>1675</v>
      </c>
      <c r="C1072" s="246"/>
      <c r="D1072" s="246"/>
      <c r="E1072" s="246"/>
      <c r="F1072" s="247"/>
      <c r="G1072" s="248"/>
      <c r="H1072" s="249"/>
      <c r="I1072" s="249">
        <v>34.35</v>
      </c>
      <c r="J1072" s="248"/>
      <c r="K1072" s="249">
        <f t="shared" si="68"/>
        <v>34.35</v>
      </c>
      <c r="L1072" s="250"/>
      <c r="M1072" s="149"/>
    </row>
    <row r="1073" spans="1:18" s="166" customFormat="1" ht="20.100000000000001" customHeight="1" x14ac:dyDescent="0.25">
      <c r="A1073" s="245"/>
      <c r="B1073" s="246" t="s">
        <v>1558</v>
      </c>
      <c r="C1073" s="246"/>
      <c r="D1073" s="246"/>
      <c r="E1073" s="246"/>
      <c r="F1073" s="247"/>
      <c r="G1073" s="248"/>
      <c r="H1073" s="249"/>
      <c r="I1073" s="249">
        <v>48.26</v>
      </c>
      <c r="J1073" s="248"/>
      <c r="K1073" s="249">
        <f t="shared" si="68"/>
        <v>48.26</v>
      </c>
      <c r="L1073" s="250"/>
      <c r="M1073" s="149"/>
    </row>
    <row r="1074" spans="1:18" s="166" customFormat="1" ht="20.100000000000001" customHeight="1" x14ac:dyDescent="0.25">
      <c r="A1074" s="245"/>
      <c r="B1074" s="246" t="s">
        <v>1558</v>
      </c>
      <c r="C1074" s="246"/>
      <c r="D1074" s="246"/>
      <c r="E1074" s="246"/>
      <c r="F1074" s="247"/>
      <c r="G1074" s="248"/>
      <c r="H1074" s="249"/>
      <c r="I1074" s="249">
        <v>16.239999999999998</v>
      </c>
      <c r="J1074" s="248"/>
      <c r="K1074" s="249">
        <f t="shared" si="68"/>
        <v>16.239999999999998</v>
      </c>
      <c r="L1074" s="250"/>
      <c r="M1074" s="149"/>
    </row>
    <row r="1075" spans="1:18" s="166" customFormat="1" ht="20.100000000000001" customHeight="1" x14ac:dyDescent="0.25">
      <c r="A1075" s="245"/>
      <c r="B1075" s="246" t="s">
        <v>1676</v>
      </c>
      <c r="C1075" s="246"/>
      <c r="D1075" s="246"/>
      <c r="E1075" s="246"/>
      <c r="F1075" s="247"/>
      <c r="G1075" s="248"/>
      <c r="H1075" s="249"/>
      <c r="I1075" s="249">
        <v>17.46</v>
      </c>
      <c r="J1075" s="248"/>
      <c r="K1075" s="249">
        <f t="shared" si="68"/>
        <v>17.46</v>
      </c>
      <c r="L1075" s="250"/>
      <c r="M1075" s="149"/>
    </row>
    <row r="1076" spans="1:18" s="166" customFormat="1" ht="20.100000000000001" customHeight="1" x14ac:dyDescent="0.25">
      <c r="A1076" s="245"/>
      <c r="B1076" s="246" t="s">
        <v>1558</v>
      </c>
      <c r="C1076" s="246"/>
      <c r="D1076" s="246"/>
      <c r="E1076" s="246"/>
      <c r="F1076" s="247"/>
      <c r="G1076" s="248"/>
      <c r="H1076" s="249"/>
      <c r="I1076" s="249">
        <v>11.51</v>
      </c>
      <c r="J1076" s="248"/>
      <c r="K1076" s="249">
        <f t="shared" si="68"/>
        <v>11.51</v>
      </c>
      <c r="L1076" s="250"/>
      <c r="M1076" s="149"/>
    </row>
    <row r="1077" spans="1:18" s="166" customFormat="1" ht="20.100000000000001" customHeight="1" x14ac:dyDescent="0.25">
      <c r="A1077" s="245"/>
      <c r="B1077" s="246" t="s">
        <v>1558</v>
      </c>
      <c r="C1077" s="246"/>
      <c r="D1077" s="246"/>
      <c r="E1077" s="246"/>
      <c r="F1077" s="247"/>
      <c r="G1077" s="248"/>
      <c r="H1077" s="249"/>
      <c r="I1077" s="249">
        <v>11.51</v>
      </c>
      <c r="J1077" s="248"/>
      <c r="K1077" s="249">
        <f t="shared" si="68"/>
        <v>11.51</v>
      </c>
      <c r="L1077" s="250"/>
      <c r="M1077" s="149"/>
    </row>
    <row r="1078" spans="1:18" s="166" customFormat="1" ht="20.100000000000001" customHeight="1" x14ac:dyDescent="0.25">
      <c r="A1078" s="245"/>
      <c r="B1078" s="246" t="s">
        <v>1677</v>
      </c>
      <c r="C1078" s="246"/>
      <c r="D1078" s="246"/>
      <c r="E1078" s="246"/>
      <c r="F1078" s="247"/>
      <c r="G1078" s="248"/>
      <c r="H1078" s="249"/>
      <c r="I1078" s="249">
        <v>5.52</v>
      </c>
      <c r="J1078" s="248"/>
      <c r="K1078" s="249">
        <f t="shared" si="68"/>
        <v>5.52</v>
      </c>
      <c r="L1078" s="250"/>
      <c r="M1078" s="149"/>
    </row>
    <row r="1079" spans="1:18" s="166" customFormat="1" ht="20.100000000000001" customHeight="1" x14ac:dyDescent="0.25">
      <c r="A1079" s="245"/>
      <c r="B1079" s="246" t="s">
        <v>1702</v>
      </c>
      <c r="C1079" s="246"/>
      <c r="D1079" s="246"/>
      <c r="E1079" s="246"/>
      <c r="F1079" s="247"/>
      <c r="G1079" s="248"/>
      <c r="H1079" s="249"/>
      <c r="I1079" s="249">
        <v>5.52</v>
      </c>
      <c r="J1079" s="248"/>
      <c r="K1079" s="249">
        <f t="shared" si="68"/>
        <v>5.52</v>
      </c>
      <c r="L1079" s="250"/>
      <c r="M1079" s="149"/>
    </row>
    <row r="1080" spans="1:18" s="166" customFormat="1" ht="20.100000000000001" customHeight="1" x14ac:dyDescent="0.25">
      <c r="A1080" s="245"/>
      <c r="B1080" s="246" t="s">
        <v>1678</v>
      </c>
      <c r="C1080" s="246"/>
      <c r="D1080" s="246"/>
      <c r="E1080" s="246"/>
      <c r="F1080" s="247"/>
      <c r="G1080" s="248"/>
      <c r="H1080" s="249"/>
      <c r="I1080" s="249">
        <v>48.01</v>
      </c>
      <c r="J1080" s="248"/>
      <c r="K1080" s="249">
        <f t="shared" si="68"/>
        <v>48.01</v>
      </c>
      <c r="L1080" s="250"/>
      <c r="M1080" s="149"/>
    </row>
    <row r="1081" spans="1:18" s="166" customFormat="1" ht="20.100000000000001" customHeight="1" x14ac:dyDescent="0.25">
      <c r="A1081" s="245"/>
      <c r="B1081" s="246" t="s">
        <v>1679</v>
      </c>
      <c r="C1081" s="246"/>
      <c r="D1081" s="246"/>
      <c r="E1081" s="246"/>
      <c r="F1081" s="247"/>
      <c r="G1081" s="248"/>
      <c r="H1081" s="249"/>
      <c r="I1081" s="249">
        <v>11.45</v>
      </c>
      <c r="J1081" s="248"/>
      <c r="K1081" s="249">
        <f t="shared" si="68"/>
        <v>11.45</v>
      </c>
      <c r="L1081" s="250"/>
      <c r="M1081" s="149"/>
    </row>
    <row r="1082" spans="1:18" s="166" customFormat="1" ht="20.100000000000001" customHeight="1" x14ac:dyDescent="0.25">
      <c r="A1082" s="245"/>
      <c r="B1082" s="246" t="s">
        <v>1680</v>
      </c>
      <c r="C1082" s="246"/>
      <c r="D1082" s="246"/>
      <c r="E1082" s="246"/>
      <c r="F1082" s="247"/>
      <c r="G1082" s="248"/>
      <c r="H1082" s="249"/>
      <c r="I1082" s="249">
        <v>11.45</v>
      </c>
      <c r="J1082" s="248"/>
      <c r="K1082" s="249">
        <f t="shared" si="68"/>
        <v>11.45</v>
      </c>
      <c r="L1082" s="250"/>
      <c r="M1082" s="149"/>
    </row>
    <row r="1083" spans="1:18" s="154" customFormat="1" ht="20.100000000000001" customHeight="1" x14ac:dyDescent="0.25">
      <c r="A1083" s="475" t="s">
        <v>1411</v>
      </c>
      <c r="B1083" s="476"/>
      <c r="C1083" s="476"/>
      <c r="D1083" s="476"/>
      <c r="E1083" s="476"/>
      <c r="F1083" s="476"/>
      <c r="G1083" s="476"/>
      <c r="H1083" s="476"/>
      <c r="I1083" s="476"/>
      <c r="J1083" s="476"/>
      <c r="K1083" s="477"/>
      <c r="L1083" s="250"/>
      <c r="M1083" s="149"/>
      <c r="N1083" s="149"/>
      <c r="O1083" s="149"/>
      <c r="P1083" s="149"/>
      <c r="Q1083" s="149"/>
      <c r="R1083" s="149"/>
    </row>
    <row r="1084" spans="1:18" s="154" customFormat="1" ht="20.100000000000001" customHeight="1" x14ac:dyDescent="0.25">
      <c r="A1084" s="267"/>
      <c r="B1084" s="246" t="s">
        <v>1466</v>
      </c>
      <c r="C1084" s="271"/>
      <c r="D1084" s="271"/>
      <c r="E1084" s="271"/>
      <c r="F1084" s="271"/>
      <c r="G1084" s="271"/>
      <c r="H1084" s="271"/>
      <c r="I1084" s="136">
        <v>11.05</v>
      </c>
      <c r="J1084" s="271"/>
      <c r="K1084" s="136">
        <f>I1084</f>
        <v>11.05</v>
      </c>
      <c r="L1084" s="250"/>
      <c r="M1084" s="149"/>
      <c r="N1084" s="149"/>
      <c r="O1084" s="149"/>
      <c r="P1084" s="149"/>
      <c r="Q1084" s="149"/>
      <c r="R1084" s="149"/>
    </row>
    <row r="1085" spans="1:18" s="154" customFormat="1" ht="20.100000000000001" customHeight="1" x14ac:dyDescent="0.25">
      <c r="A1085" s="267"/>
      <c r="B1085" s="246" t="s">
        <v>1467</v>
      </c>
      <c r="C1085" s="271"/>
      <c r="D1085" s="271"/>
      <c r="E1085" s="271"/>
      <c r="F1085" s="271"/>
      <c r="G1085" s="271"/>
      <c r="H1085" s="271"/>
      <c r="I1085" s="136">
        <v>9.86</v>
      </c>
      <c r="J1085" s="271"/>
      <c r="K1085" s="136">
        <f t="shared" ref="K1085:K1111" si="69">I1085</f>
        <v>9.86</v>
      </c>
      <c r="L1085" s="250"/>
      <c r="M1085" s="149"/>
      <c r="N1085" s="149"/>
      <c r="O1085" s="149"/>
      <c r="P1085" s="149"/>
      <c r="Q1085" s="149"/>
      <c r="R1085" s="149"/>
    </row>
    <row r="1086" spans="1:18" s="154" customFormat="1" ht="20.100000000000001" customHeight="1" x14ac:dyDescent="0.25">
      <c r="A1086" s="267"/>
      <c r="B1086" s="246" t="s">
        <v>1681</v>
      </c>
      <c r="C1086" s="271"/>
      <c r="D1086" s="271"/>
      <c r="E1086" s="271"/>
      <c r="F1086" s="271"/>
      <c r="G1086" s="271"/>
      <c r="H1086" s="271"/>
      <c r="I1086" s="136">
        <v>16.55</v>
      </c>
      <c r="J1086" s="271"/>
      <c r="K1086" s="136">
        <f t="shared" si="69"/>
        <v>16.55</v>
      </c>
      <c r="L1086" s="250"/>
      <c r="M1086" s="149"/>
      <c r="N1086" s="149"/>
      <c r="O1086" s="149"/>
      <c r="P1086" s="149"/>
      <c r="Q1086" s="149"/>
      <c r="R1086" s="149"/>
    </row>
    <row r="1087" spans="1:18" s="154" customFormat="1" ht="20.100000000000001" customHeight="1" x14ac:dyDescent="0.25">
      <c r="A1087" s="267"/>
      <c r="B1087" s="246" t="s">
        <v>813</v>
      </c>
      <c r="C1087" s="271"/>
      <c r="D1087" s="271"/>
      <c r="E1087" s="271"/>
      <c r="F1087" s="271"/>
      <c r="G1087" s="271"/>
      <c r="H1087" s="271"/>
      <c r="I1087" s="136">
        <v>18.68</v>
      </c>
      <c r="J1087" s="271"/>
      <c r="K1087" s="136">
        <f t="shared" si="69"/>
        <v>18.68</v>
      </c>
      <c r="L1087" s="250"/>
      <c r="M1087" s="149"/>
      <c r="N1087" s="149"/>
      <c r="O1087" s="149"/>
      <c r="P1087" s="149"/>
      <c r="Q1087" s="149"/>
      <c r="R1087" s="149"/>
    </row>
    <row r="1088" spans="1:18" s="154" customFormat="1" ht="20.100000000000001" customHeight="1" x14ac:dyDescent="0.25">
      <c r="A1088" s="267"/>
      <c r="B1088" s="246" t="s">
        <v>1682</v>
      </c>
      <c r="C1088" s="271"/>
      <c r="D1088" s="271"/>
      <c r="E1088" s="271"/>
      <c r="F1088" s="271"/>
      <c r="G1088" s="271"/>
      <c r="H1088" s="271"/>
      <c r="I1088" s="249">
        <v>18.68</v>
      </c>
      <c r="J1088" s="271"/>
      <c r="K1088" s="136">
        <f t="shared" si="69"/>
        <v>18.68</v>
      </c>
      <c r="L1088" s="250"/>
      <c r="M1088" s="149"/>
      <c r="N1088" s="149"/>
      <c r="O1088" s="149"/>
      <c r="P1088" s="149"/>
      <c r="Q1088" s="149"/>
      <c r="R1088" s="149"/>
    </row>
    <row r="1089" spans="1:18" s="154" customFormat="1" ht="20.100000000000001" customHeight="1" x14ac:dyDescent="0.25">
      <c r="A1089" s="267"/>
      <c r="B1089" s="246" t="s">
        <v>1665</v>
      </c>
      <c r="C1089" s="271"/>
      <c r="D1089" s="271"/>
      <c r="E1089" s="271"/>
      <c r="F1089" s="271"/>
      <c r="G1089" s="271"/>
      <c r="H1089" s="271"/>
      <c r="I1089" s="249">
        <v>10.58</v>
      </c>
      <c r="J1089" s="271"/>
      <c r="K1089" s="136">
        <f t="shared" si="69"/>
        <v>10.58</v>
      </c>
      <c r="L1089" s="250"/>
      <c r="M1089" s="149"/>
      <c r="N1089" s="149"/>
      <c r="O1089" s="149"/>
      <c r="P1089" s="149"/>
      <c r="Q1089" s="149"/>
      <c r="R1089" s="149"/>
    </row>
    <row r="1090" spans="1:18" s="154" customFormat="1" ht="20.100000000000001" customHeight="1" x14ac:dyDescent="0.25">
      <c r="A1090" s="267"/>
      <c r="B1090" s="246" t="s">
        <v>1469</v>
      </c>
      <c r="C1090" s="271"/>
      <c r="D1090" s="271"/>
      <c r="E1090" s="271"/>
      <c r="F1090" s="271"/>
      <c r="G1090" s="271"/>
      <c r="H1090" s="271"/>
      <c r="I1090" s="249">
        <v>14.27</v>
      </c>
      <c r="J1090" s="271"/>
      <c r="K1090" s="136">
        <f t="shared" si="69"/>
        <v>14.27</v>
      </c>
      <c r="L1090" s="250"/>
      <c r="M1090" s="149"/>
      <c r="N1090" s="149"/>
      <c r="O1090" s="149"/>
      <c r="P1090" s="149"/>
      <c r="Q1090" s="149"/>
      <c r="R1090" s="149"/>
    </row>
    <row r="1091" spans="1:18" s="154" customFormat="1" ht="20.100000000000001" customHeight="1" x14ac:dyDescent="0.25">
      <c r="A1091" s="267"/>
      <c r="B1091" s="246" t="s">
        <v>1664</v>
      </c>
      <c r="C1091" s="271"/>
      <c r="D1091" s="271"/>
      <c r="E1091" s="271"/>
      <c r="F1091" s="271"/>
      <c r="G1091" s="271"/>
      <c r="H1091" s="271"/>
      <c r="I1091" s="249">
        <v>17.95</v>
      </c>
      <c r="J1091" s="271"/>
      <c r="K1091" s="136">
        <f t="shared" si="69"/>
        <v>17.95</v>
      </c>
      <c r="L1091" s="250"/>
      <c r="M1091" s="149"/>
      <c r="N1091" s="149"/>
      <c r="O1091" s="149"/>
      <c r="P1091" s="149"/>
      <c r="Q1091" s="149"/>
      <c r="R1091" s="149"/>
    </row>
    <row r="1092" spans="1:18" s="154" customFormat="1" ht="20.100000000000001" customHeight="1" x14ac:dyDescent="0.25">
      <c r="A1092" s="267"/>
      <c r="B1092" s="246" t="s">
        <v>1683</v>
      </c>
      <c r="C1092" s="271"/>
      <c r="D1092" s="271"/>
      <c r="E1092" s="271"/>
      <c r="F1092" s="271"/>
      <c r="G1092" s="271"/>
      <c r="H1092" s="271"/>
      <c r="I1092" s="249">
        <v>65.84</v>
      </c>
      <c r="J1092" s="271"/>
      <c r="K1092" s="136">
        <f t="shared" si="69"/>
        <v>65.84</v>
      </c>
      <c r="L1092" s="250"/>
      <c r="M1092" s="149"/>
      <c r="N1092" s="149"/>
      <c r="O1092" s="149"/>
      <c r="P1092" s="149"/>
      <c r="Q1092" s="149"/>
      <c r="R1092" s="149"/>
    </row>
    <row r="1093" spans="1:18" s="154" customFormat="1" ht="20.100000000000001" customHeight="1" x14ac:dyDescent="0.25">
      <c r="A1093" s="267"/>
      <c r="B1093" s="246" t="s">
        <v>1684</v>
      </c>
      <c r="C1093" s="271"/>
      <c r="D1093" s="271"/>
      <c r="E1093" s="271"/>
      <c r="F1093" s="271"/>
      <c r="G1093" s="271"/>
      <c r="H1093" s="271"/>
      <c r="I1093" s="249">
        <v>17.940000000000001</v>
      </c>
      <c r="J1093" s="271"/>
      <c r="K1093" s="136">
        <f t="shared" si="69"/>
        <v>17.940000000000001</v>
      </c>
      <c r="L1093" s="250"/>
      <c r="M1093" s="149"/>
      <c r="N1093" s="149"/>
      <c r="O1093" s="149"/>
      <c r="P1093" s="149"/>
      <c r="Q1093" s="149"/>
      <c r="R1093" s="149"/>
    </row>
    <row r="1094" spans="1:18" s="154" customFormat="1" ht="20.100000000000001" customHeight="1" x14ac:dyDescent="0.25">
      <c r="A1094" s="267"/>
      <c r="B1094" s="246" t="s">
        <v>1685</v>
      </c>
      <c r="C1094" s="271"/>
      <c r="D1094" s="271"/>
      <c r="E1094" s="271"/>
      <c r="F1094" s="271"/>
      <c r="G1094" s="271"/>
      <c r="H1094" s="271"/>
      <c r="I1094" s="249">
        <v>9.6300000000000008</v>
      </c>
      <c r="J1094" s="271"/>
      <c r="K1094" s="136">
        <f t="shared" si="69"/>
        <v>9.6300000000000008</v>
      </c>
      <c r="L1094" s="250"/>
      <c r="M1094" s="149"/>
      <c r="N1094" s="149"/>
      <c r="O1094" s="149"/>
      <c r="P1094" s="149"/>
      <c r="Q1094" s="149"/>
      <c r="R1094" s="149"/>
    </row>
    <row r="1095" spans="1:18" s="154" customFormat="1" ht="20.100000000000001" customHeight="1" x14ac:dyDescent="0.25">
      <c r="A1095" s="267"/>
      <c r="B1095" s="246" t="s">
        <v>1686</v>
      </c>
      <c r="C1095" s="271"/>
      <c r="D1095" s="271"/>
      <c r="E1095" s="271"/>
      <c r="F1095" s="271"/>
      <c r="G1095" s="271"/>
      <c r="H1095" s="271"/>
      <c r="I1095" s="249">
        <v>9.6300000000000008</v>
      </c>
      <c r="J1095" s="271"/>
      <c r="K1095" s="136">
        <f t="shared" si="69"/>
        <v>9.6300000000000008</v>
      </c>
      <c r="L1095" s="250"/>
      <c r="M1095" s="149"/>
      <c r="N1095" s="149"/>
      <c r="O1095" s="149"/>
      <c r="P1095" s="149"/>
      <c r="Q1095" s="149"/>
      <c r="R1095" s="149"/>
    </row>
    <row r="1096" spans="1:18" s="154" customFormat="1" ht="20.100000000000001" customHeight="1" x14ac:dyDescent="0.25">
      <c r="A1096" s="267"/>
      <c r="B1096" s="246" t="s">
        <v>813</v>
      </c>
      <c r="C1096" s="271"/>
      <c r="D1096" s="271"/>
      <c r="E1096" s="271"/>
      <c r="F1096" s="271"/>
      <c r="G1096" s="271"/>
      <c r="H1096" s="271"/>
      <c r="I1096" s="249">
        <v>11.47</v>
      </c>
      <c r="J1096" s="271"/>
      <c r="K1096" s="136">
        <f t="shared" si="69"/>
        <v>11.47</v>
      </c>
      <c r="L1096" s="250"/>
      <c r="M1096" s="149"/>
      <c r="N1096" s="149"/>
      <c r="O1096" s="149"/>
      <c r="P1096" s="149"/>
      <c r="Q1096" s="149"/>
      <c r="R1096" s="149"/>
    </row>
    <row r="1097" spans="1:18" s="154" customFormat="1" ht="20.100000000000001" customHeight="1" x14ac:dyDescent="0.25">
      <c r="A1097" s="267"/>
      <c r="B1097" s="246" t="s">
        <v>1584</v>
      </c>
      <c r="C1097" s="271"/>
      <c r="D1097" s="271"/>
      <c r="E1097" s="271"/>
      <c r="F1097" s="271"/>
      <c r="G1097" s="271"/>
      <c r="H1097" s="271"/>
      <c r="I1097" s="249">
        <v>9.6300000000000008</v>
      </c>
      <c r="J1097" s="271"/>
      <c r="K1097" s="136">
        <f t="shared" si="69"/>
        <v>9.6300000000000008</v>
      </c>
      <c r="L1097" s="250"/>
      <c r="M1097" s="149"/>
      <c r="N1097" s="149"/>
      <c r="O1097" s="149"/>
      <c r="P1097" s="149"/>
      <c r="Q1097" s="149"/>
      <c r="R1097" s="149"/>
    </row>
    <row r="1098" spans="1:18" s="154" customFormat="1" ht="20.100000000000001" customHeight="1" x14ac:dyDescent="0.25">
      <c r="A1098" s="267"/>
      <c r="B1098" s="246" t="s">
        <v>1620</v>
      </c>
      <c r="C1098" s="271"/>
      <c r="D1098" s="271"/>
      <c r="E1098" s="271"/>
      <c r="F1098" s="271"/>
      <c r="G1098" s="271"/>
      <c r="H1098" s="271"/>
      <c r="I1098" s="249">
        <v>9.6300000000000008</v>
      </c>
      <c r="J1098" s="271"/>
      <c r="K1098" s="136">
        <f t="shared" si="69"/>
        <v>9.6300000000000008</v>
      </c>
      <c r="L1098" s="250"/>
      <c r="M1098" s="149"/>
      <c r="N1098" s="149"/>
      <c r="O1098" s="149"/>
      <c r="P1098" s="149"/>
      <c r="Q1098" s="149"/>
      <c r="R1098" s="149"/>
    </row>
    <row r="1099" spans="1:18" s="154" customFormat="1" ht="20.100000000000001" customHeight="1" x14ac:dyDescent="0.25">
      <c r="A1099" s="267"/>
      <c r="B1099" s="246" t="s">
        <v>1660</v>
      </c>
      <c r="C1099" s="271"/>
      <c r="D1099" s="271"/>
      <c r="E1099" s="271"/>
      <c r="F1099" s="271"/>
      <c r="G1099" s="271"/>
      <c r="H1099" s="271"/>
      <c r="I1099" s="249">
        <v>9.6300000000000008</v>
      </c>
      <c r="J1099" s="271"/>
      <c r="K1099" s="136">
        <f t="shared" si="69"/>
        <v>9.6300000000000008</v>
      </c>
      <c r="L1099" s="250"/>
      <c r="M1099" s="149"/>
      <c r="N1099" s="149"/>
      <c r="O1099" s="149"/>
      <c r="P1099" s="149"/>
      <c r="Q1099" s="149"/>
      <c r="R1099" s="149"/>
    </row>
    <row r="1100" spans="1:18" s="154" customFormat="1" ht="20.100000000000001" customHeight="1" x14ac:dyDescent="0.25">
      <c r="A1100" s="267"/>
      <c r="B1100" s="246" t="s">
        <v>1658</v>
      </c>
      <c r="C1100" s="271"/>
      <c r="D1100" s="271"/>
      <c r="E1100" s="271"/>
      <c r="F1100" s="271"/>
      <c r="G1100" s="271"/>
      <c r="H1100" s="271"/>
      <c r="I1100" s="249">
        <v>9.6300000000000008</v>
      </c>
      <c r="J1100" s="271"/>
      <c r="K1100" s="136">
        <f t="shared" si="69"/>
        <v>9.6300000000000008</v>
      </c>
      <c r="L1100" s="250"/>
      <c r="M1100" s="149"/>
      <c r="N1100" s="149"/>
      <c r="O1100" s="149"/>
      <c r="P1100" s="149"/>
      <c r="Q1100" s="149"/>
      <c r="R1100" s="149"/>
    </row>
    <row r="1101" spans="1:18" s="154" customFormat="1" ht="20.100000000000001" customHeight="1" x14ac:dyDescent="0.25">
      <c r="A1101" s="475" t="s">
        <v>1413</v>
      </c>
      <c r="B1101" s="476"/>
      <c r="C1101" s="476"/>
      <c r="D1101" s="476"/>
      <c r="E1101" s="476"/>
      <c r="F1101" s="476"/>
      <c r="G1101" s="476"/>
      <c r="H1101" s="476"/>
      <c r="I1101" s="476"/>
      <c r="J1101" s="476"/>
      <c r="K1101" s="477"/>
      <c r="L1101" s="250"/>
      <c r="M1101" s="149"/>
      <c r="N1101" s="149"/>
      <c r="O1101" s="149"/>
      <c r="P1101" s="149"/>
      <c r="Q1101" s="149"/>
      <c r="R1101" s="149"/>
    </row>
    <row r="1102" spans="1:18" s="166" customFormat="1" ht="20.100000000000001" customHeight="1" x14ac:dyDescent="0.25">
      <c r="A1102" s="245"/>
      <c r="B1102" s="246" t="s">
        <v>1568</v>
      </c>
      <c r="C1102" s="246"/>
      <c r="D1102" s="246"/>
      <c r="E1102" s="246"/>
      <c r="F1102" s="247"/>
      <c r="G1102" s="248"/>
      <c r="H1102" s="249"/>
      <c r="I1102" s="249">
        <v>11.39</v>
      </c>
      <c r="J1102" s="248"/>
      <c r="K1102" s="136">
        <f t="shared" si="69"/>
        <v>11.39</v>
      </c>
      <c r="L1102" s="250"/>
      <c r="M1102" s="149"/>
    </row>
    <row r="1103" spans="1:18" s="166" customFormat="1" ht="20.100000000000001" customHeight="1" x14ac:dyDescent="0.25">
      <c r="A1103" s="245"/>
      <c r="B1103" s="246" t="s">
        <v>1568</v>
      </c>
      <c r="C1103" s="246"/>
      <c r="D1103" s="246"/>
      <c r="E1103" s="246"/>
      <c r="F1103" s="247"/>
      <c r="G1103" s="248"/>
      <c r="H1103" s="249"/>
      <c r="I1103" s="249">
        <v>7.28</v>
      </c>
      <c r="J1103" s="248"/>
      <c r="K1103" s="136">
        <f t="shared" si="69"/>
        <v>7.28</v>
      </c>
      <c r="L1103" s="250"/>
      <c r="M1103" s="149"/>
    </row>
    <row r="1104" spans="1:18" s="166" customFormat="1" ht="20.100000000000001" customHeight="1" x14ac:dyDescent="0.25">
      <c r="A1104" s="245"/>
      <c r="B1104" s="246" t="s">
        <v>1568</v>
      </c>
      <c r="C1104" s="246"/>
      <c r="D1104" s="246"/>
      <c r="E1104" s="246"/>
      <c r="F1104" s="247"/>
      <c r="G1104" s="248"/>
      <c r="H1104" s="249"/>
      <c r="I1104" s="249">
        <v>11.39</v>
      </c>
      <c r="J1104" s="248"/>
      <c r="K1104" s="136">
        <f t="shared" si="69"/>
        <v>11.39</v>
      </c>
      <c r="L1104" s="250"/>
      <c r="M1104" s="149"/>
    </row>
    <row r="1105" spans="1:18" s="166" customFormat="1" ht="20.100000000000001" customHeight="1" x14ac:dyDescent="0.25">
      <c r="A1105" s="245"/>
      <c r="B1105" s="246" t="s">
        <v>1568</v>
      </c>
      <c r="C1105" s="246"/>
      <c r="D1105" s="246"/>
      <c r="E1105" s="246"/>
      <c r="F1105" s="247"/>
      <c r="G1105" s="248"/>
      <c r="H1105" s="249"/>
      <c r="I1105" s="249">
        <v>15.52</v>
      </c>
      <c r="J1105" s="248"/>
      <c r="K1105" s="136">
        <f t="shared" si="69"/>
        <v>15.52</v>
      </c>
      <c r="L1105" s="250"/>
      <c r="M1105" s="149"/>
    </row>
    <row r="1106" spans="1:18" s="166" customFormat="1" ht="20.100000000000001" customHeight="1" x14ac:dyDescent="0.25">
      <c r="A1106" s="245"/>
      <c r="B1106" s="246" t="s">
        <v>813</v>
      </c>
      <c r="C1106" s="246"/>
      <c r="D1106" s="246"/>
      <c r="E1106" s="246"/>
      <c r="F1106" s="247"/>
      <c r="G1106" s="248"/>
      <c r="H1106" s="249"/>
      <c r="I1106" s="249">
        <v>39.75</v>
      </c>
      <c r="J1106" s="248"/>
      <c r="K1106" s="136">
        <f t="shared" si="69"/>
        <v>39.75</v>
      </c>
      <c r="L1106" s="250"/>
      <c r="M1106" s="149"/>
    </row>
    <row r="1107" spans="1:18" s="166" customFormat="1" ht="20.100000000000001" customHeight="1" x14ac:dyDescent="0.25">
      <c r="A1107" s="245"/>
      <c r="B1107" s="246" t="s">
        <v>1568</v>
      </c>
      <c r="C1107" s="246"/>
      <c r="D1107" s="246"/>
      <c r="E1107" s="246"/>
      <c r="F1107" s="247"/>
      <c r="G1107" s="248"/>
      <c r="H1107" s="249"/>
      <c r="I1107" s="249">
        <v>35.64</v>
      </c>
      <c r="J1107" s="248"/>
      <c r="K1107" s="136">
        <f t="shared" si="69"/>
        <v>35.64</v>
      </c>
      <c r="L1107" s="250"/>
      <c r="M1107" s="149"/>
    </row>
    <row r="1108" spans="1:18" s="166" customFormat="1" ht="20.100000000000001" customHeight="1" x14ac:dyDescent="0.25">
      <c r="A1108" s="245"/>
      <c r="B1108" s="246" t="s">
        <v>1673</v>
      </c>
      <c r="C1108" s="246"/>
      <c r="D1108" s="246"/>
      <c r="E1108" s="246"/>
      <c r="F1108" s="247"/>
      <c r="G1108" s="248"/>
      <c r="H1108" s="249"/>
      <c r="I1108" s="249">
        <v>3.93</v>
      </c>
      <c r="J1108" s="248"/>
      <c r="K1108" s="136">
        <f t="shared" si="69"/>
        <v>3.93</v>
      </c>
      <c r="L1108" s="250"/>
      <c r="M1108" s="149"/>
    </row>
    <row r="1109" spans="1:18" s="166" customFormat="1" ht="20.100000000000001" customHeight="1" x14ac:dyDescent="0.25">
      <c r="A1109" s="245"/>
      <c r="B1109" s="246" t="s">
        <v>1674</v>
      </c>
      <c r="C1109" s="246"/>
      <c r="D1109" s="246"/>
      <c r="E1109" s="246"/>
      <c r="F1109" s="247"/>
      <c r="G1109" s="248"/>
      <c r="H1109" s="249"/>
      <c r="I1109" s="249">
        <v>3.93</v>
      </c>
      <c r="J1109" s="248"/>
      <c r="K1109" s="136">
        <f t="shared" si="69"/>
        <v>3.93</v>
      </c>
      <c r="L1109" s="250"/>
      <c r="M1109" s="149"/>
    </row>
    <row r="1110" spans="1:18" s="166" customFormat="1" ht="20.100000000000001" customHeight="1" x14ac:dyDescent="0.25">
      <c r="A1110" s="245"/>
      <c r="B1110" s="246" t="s">
        <v>1687</v>
      </c>
      <c r="C1110" s="246"/>
      <c r="D1110" s="246"/>
      <c r="E1110" s="246"/>
      <c r="F1110" s="247"/>
      <c r="G1110" s="248"/>
      <c r="H1110" s="249"/>
      <c r="I1110" s="249">
        <v>26.52</v>
      </c>
      <c r="J1110" s="248"/>
      <c r="K1110" s="136">
        <f t="shared" si="69"/>
        <v>26.52</v>
      </c>
      <c r="L1110" s="250"/>
      <c r="M1110" s="149"/>
    </row>
    <row r="1111" spans="1:18" s="166" customFormat="1" ht="20.100000000000001" customHeight="1" x14ac:dyDescent="0.25">
      <c r="A1111" s="245"/>
      <c r="B1111" s="246" t="s">
        <v>1703</v>
      </c>
      <c r="C1111" s="246"/>
      <c r="D1111" s="246"/>
      <c r="E1111" s="246"/>
      <c r="F1111" s="247"/>
      <c r="G1111" s="248"/>
      <c r="H1111" s="249"/>
      <c r="I1111" s="249">
        <v>145.97</v>
      </c>
      <c r="J1111" s="248"/>
      <c r="K1111" s="136">
        <f t="shared" si="69"/>
        <v>145.97</v>
      </c>
      <c r="L1111" s="250"/>
      <c r="M1111" s="149"/>
    </row>
    <row r="1112" spans="1:18" s="154" customFormat="1" ht="20.100000000000001" customHeight="1" x14ac:dyDescent="0.25">
      <c r="A1112" s="245"/>
      <c r="B1112" s="246" t="s">
        <v>1420</v>
      </c>
      <c r="C1112" s="246"/>
      <c r="D1112" s="246"/>
      <c r="E1112" s="246"/>
      <c r="F1112" s="247"/>
      <c r="G1112" s="248"/>
      <c r="I1112" s="249">
        <v>21.98</v>
      </c>
      <c r="J1112" s="248"/>
      <c r="K1112" s="249">
        <f>I1112</f>
        <v>21.98</v>
      </c>
      <c r="L1112" s="250"/>
      <c r="M1112" s="149"/>
      <c r="N1112" s="149"/>
      <c r="O1112" s="149"/>
      <c r="P1112" s="149"/>
      <c r="Q1112" s="149"/>
      <c r="R1112" s="149"/>
    </row>
    <row r="1113" spans="1:18" s="154" customFormat="1" ht="20.100000000000001" customHeight="1" x14ac:dyDescent="0.25">
      <c r="A1113" s="245"/>
      <c r="B1113" s="246" t="s">
        <v>1569</v>
      </c>
      <c r="C1113" s="246"/>
      <c r="D1113" s="246"/>
      <c r="E1113" s="246"/>
      <c r="F1113" s="247"/>
      <c r="G1113" s="248"/>
      <c r="I1113" s="249">
        <v>26.67</v>
      </c>
      <c r="J1113" s="248"/>
      <c r="K1113" s="249">
        <f>I1113</f>
        <v>26.67</v>
      </c>
      <c r="L1113" s="250"/>
      <c r="M1113" s="149"/>
      <c r="N1113" s="149"/>
      <c r="O1113" s="149"/>
      <c r="P1113" s="149"/>
      <c r="Q1113" s="149"/>
      <c r="R1113" s="149"/>
    </row>
    <row r="1114" spans="1:18" s="154" customFormat="1" ht="20.100000000000001" customHeight="1" x14ac:dyDescent="0.25">
      <c r="A1114" s="245"/>
      <c r="B1114" s="246" t="s">
        <v>1584</v>
      </c>
      <c r="C1114" s="246"/>
      <c r="D1114" s="246"/>
      <c r="E1114" s="246"/>
      <c r="F1114" s="247"/>
      <c r="G1114" s="248"/>
      <c r="I1114" s="249">
        <v>26.67</v>
      </c>
      <c r="J1114" s="248"/>
      <c r="K1114" s="249">
        <f>I1114</f>
        <v>26.67</v>
      </c>
      <c r="L1114" s="250"/>
      <c r="M1114" s="149"/>
      <c r="N1114" s="149"/>
      <c r="O1114" s="149"/>
      <c r="P1114" s="149"/>
      <c r="Q1114" s="149"/>
      <c r="R1114" s="149"/>
    </row>
    <row r="1115" spans="1:18" s="154" customFormat="1" ht="20.100000000000001" customHeight="1" x14ac:dyDescent="0.25">
      <c r="A1115" s="475" t="s">
        <v>1402</v>
      </c>
      <c r="B1115" s="476"/>
      <c r="C1115" s="476"/>
      <c r="D1115" s="476"/>
      <c r="E1115" s="476"/>
      <c r="F1115" s="476"/>
      <c r="G1115" s="476"/>
      <c r="H1115" s="476"/>
      <c r="I1115" s="476"/>
      <c r="J1115" s="476"/>
      <c r="K1115" s="477"/>
      <c r="L1115" s="250"/>
      <c r="M1115" s="149"/>
      <c r="N1115" s="149"/>
      <c r="O1115" s="149"/>
      <c r="P1115" s="149"/>
      <c r="Q1115" s="149"/>
      <c r="R1115" s="149"/>
    </row>
    <row r="1116" spans="1:18" s="154" customFormat="1" ht="20.100000000000001" customHeight="1" x14ac:dyDescent="0.25">
      <c r="A1116" s="245"/>
      <c r="B1116" s="246" t="s">
        <v>1698</v>
      </c>
      <c r="C1116" s="246"/>
      <c r="D1116" s="246"/>
      <c r="E1116" s="246"/>
      <c r="F1116" s="247"/>
      <c r="G1116" s="248"/>
      <c r="H1116" s="249">
        <f>7.48*4</f>
        <v>29.92</v>
      </c>
      <c r="I1116" s="249"/>
      <c r="J1116" s="248"/>
      <c r="K1116" s="249">
        <f>29.92</f>
        <v>29.92</v>
      </c>
      <c r="L1116" s="250"/>
      <c r="M1116" s="149"/>
      <c r="N1116" s="149"/>
      <c r="O1116" s="149"/>
      <c r="P1116" s="149"/>
      <c r="Q1116" s="149"/>
      <c r="R1116" s="149"/>
    </row>
    <row r="1117" spans="1:18" s="154" customFormat="1" ht="18.75" customHeight="1" x14ac:dyDescent="0.25">
      <c r="A1117" s="470" t="s">
        <v>163</v>
      </c>
      <c r="B1117" s="471"/>
      <c r="C1117" s="471"/>
      <c r="D1117" s="471"/>
      <c r="E1117" s="471"/>
      <c r="F1117" s="472"/>
      <c r="G1117" s="472"/>
      <c r="H1117" s="472"/>
      <c r="I1117" s="472"/>
      <c r="J1117" s="472"/>
      <c r="K1117" s="252">
        <f>SUM(K1022:K1116)</f>
        <v>1543.9600000000012</v>
      </c>
      <c r="L1117" s="250"/>
      <c r="M1117" s="149"/>
      <c r="N1117" s="149"/>
      <c r="O1117" s="149"/>
      <c r="P1117" s="149"/>
      <c r="Q1117" s="149"/>
      <c r="R1117" s="149"/>
    </row>
    <row r="1118" spans="1:18" s="154" customFormat="1" ht="20.100000000000001" customHeight="1" x14ac:dyDescent="0.25">
      <c r="A1118" s="177" t="s">
        <v>1704</v>
      </c>
      <c r="B1118" s="171" t="s">
        <v>1705</v>
      </c>
      <c r="C1118" s="171"/>
      <c r="D1118" s="171"/>
      <c r="E1118" s="171"/>
      <c r="F1118" s="243" t="s">
        <v>24</v>
      </c>
      <c r="G1118" s="244" t="s">
        <v>1539</v>
      </c>
      <c r="H1118" s="244" t="s">
        <v>735</v>
      </c>
      <c r="I1118" s="244" t="s">
        <v>724</v>
      </c>
      <c r="J1118" s="244" t="s">
        <v>1637</v>
      </c>
      <c r="K1118" s="244" t="s">
        <v>50</v>
      </c>
      <c r="L1118" s="250"/>
      <c r="M1118" s="149"/>
      <c r="N1118" s="149"/>
      <c r="O1118" s="149"/>
      <c r="P1118" s="149"/>
      <c r="Q1118" s="149"/>
      <c r="R1118" s="149"/>
    </row>
    <row r="1119" spans="1:18" s="154" customFormat="1" ht="20.100000000000001" customHeight="1" x14ac:dyDescent="0.25">
      <c r="A1119" s="475" t="s">
        <v>1382</v>
      </c>
      <c r="B1119" s="476"/>
      <c r="C1119" s="476"/>
      <c r="D1119" s="476"/>
      <c r="E1119" s="476"/>
      <c r="F1119" s="476"/>
      <c r="G1119" s="476"/>
      <c r="H1119" s="476"/>
      <c r="I1119" s="476"/>
      <c r="J1119" s="476"/>
      <c r="K1119" s="477"/>
      <c r="L1119" s="250"/>
      <c r="M1119" s="149"/>
      <c r="N1119" s="149"/>
      <c r="O1119" s="149"/>
      <c r="P1119" s="149"/>
      <c r="Q1119" s="149"/>
      <c r="R1119" s="149"/>
    </row>
    <row r="1120" spans="1:18" s="166" customFormat="1" ht="20.100000000000001" customHeight="1" x14ac:dyDescent="0.25">
      <c r="A1120" s="245"/>
      <c r="B1120" s="246" t="s">
        <v>1638</v>
      </c>
      <c r="C1120" s="246"/>
      <c r="D1120" s="246"/>
      <c r="E1120" s="246"/>
      <c r="F1120" s="247"/>
      <c r="G1120" s="248">
        <v>2.2999999999999998</v>
      </c>
      <c r="H1120" s="249">
        <v>2.5</v>
      </c>
      <c r="I1120" s="249">
        <v>13</v>
      </c>
      <c r="J1120" s="248"/>
      <c r="K1120" s="249">
        <f t="shared" ref="K1120:K1121" si="70">TRUNC(G1120*H1120*I1120,2)</f>
        <v>74.75</v>
      </c>
      <c r="L1120" s="250"/>
      <c r="M1120" s="149"/>
    </row>
    <row r="1121" spans="1:18" s="166" customFormat="1" ht="20.100000000000001" customHeight="1" x14ac:dyDescent="0.25">
      <c r="A1121" s="245"/>
      <c r="B1121" s="246" t="s">
        <v>1638</v>
      </c>
      <c r="C1121" s="246"/>
      <c r="D1121" s="246"/>
      <c r="E1121" s="246"/>
      <c r="F1121" s="247"/>
      <c r="G1121" s="248">
        <v>2.2999999999999998</v>
      </c>
      <c r="H1121" s="249">
        <v>1.8</v>
      </c>
      <c r="I1121" s="249">
        <v>4</v>
      </c>
      <c r="J1121" s="248"/>
      <c r="K1121" s="249">
        <f t="shared" si="70"/>
        <v>16.559999999999999</v>
      </c>
      <c r="L1121" s="250"/>
      <c r="M1121" s="149"/>
    </row>
    <row r="1122" spans="1:18" s="166" customFormat="1" ht="20.100000000000001" customHeight="1" x14ac:dyDescent="0.25">
      <c r="A1122" s="245"/>
      <c r="B1122" s="246" t="s">
        <v>1639</v>
      </c>
      <c r="C1122" s="246"/>
      <c r="D1122" s="246"/>
      <c r="E1122" s="246"/>
      <c r="F1122" s="247"/>
      <c r="G1122" s="248">
        <v>10</v>
      </c>
      <c r="H1122" s="249">
        <v>3.3</v>
      </c>
      <c r="I1122" s="249"/>
      <c r="J1122" s="248"/>
      <c r="K1122" s="249">
        <f>TRUNC(G1122*H1122,2)</f>
        <v>33</v>
      </c>
      <c r="L1122" s="250"/>
      <c r="M1122" s="149"/>
    </row>
    <row r="1123" spans="1:18" s="166" customFormat="1" ht="20.100000000000001" customHeight="1" x14ac:dyDescent="0.25">
      <c r="A1123" s="245"/>
      <c r="B1123" s="246" t="s">
        <v>1706</v>
      </c>
      <c r="C1123" s="246"/>
      <c r="D1123" s="246"/>
      <c r="E1123" s="246"/>
      <c r="F1123" s="247"/>
      <c r="G1123" s="248">
        <f>4.75+10.6+4.75</f>
        <v>20.100000000000001</v>
      </c>
      <c r="H1123" s="249">
        <v>8</v>
      </c>
      <c r="I1123" s="249"/>
      <c r="J1123" s="248"/>
      <c r="K1123" s="249">
        <f>TRUNC(G1123*H1123,2)</f>
        <v>160.80000000000001</v>
      </c>
      <c r="L1123" s="250"/>
      <c r="M1123" s="149"/>
    </row>
    <row r="1124" spans="1:18" s="154" customFormat="1" ht="20.100000000000001" customHeight="1" x14ac:dyDescent="0.25">
      <c r="A1124" s="475" t="s">
        <v>1384</v>
      </c>
      <c r="B1124" s="476"/>
      <c r="C1124" s="476"/>
      <c r="D1124" s="476"/>
      <c r="E1124" s="476"/>
      <c r="F1124" s="476"/>
      <c r="G1124" s="476"/>
      <c r="H1124" s="476"/>
      <c r="I1124" s="476"/>
      <c r="J1124" s="476"/>
      <c r="K1124" s="477"/>
      <c r="L1124" s="250"/>
      <c r="M1124" s="149"/>
      <c r="N1124" s="149"/>
      <c r="O1124" s="149"/>
      <c r="P1124" s="149"/>
      <c r="Q1124" s="149"/>
      <c r="R1124" s="149"/>
    </row>
    <row r="1125" spans="1:18" s="166" customFormat="1" ht="20.100000000000001" customHeight="1" x14ac:dyDescent="0.25">
      <c r="A1125" s="245"/>
      <c r="B1125" s="246" t="s">
        <v>1707</v>
      </c>
      <c r="C1125" s="246"/>
      <c r="D1125" s="246"/>
      <c r="E1125" s="246"/>
      <c r="F1125" s="247"/>
      <c r="G1125" s="248">
        <v>108.17</v>
      </c>
      <c r="H1125" s="249">
        <v>3.3</v>
      </c>
      <c r="J1125" s="249">
        <v>36.119999999999997</v>
      </c>
      <c r="K1125" s="249">
        <f>TRUNC(G1125*H1125-J1125,2)</f>
        <v>320.83999999999997</v>
      </c>
      <c r="L1125" s="250"/>
      <c r="M1125" s="149"/>
    </row>
    <row r="1126" spans="1:18" s="154" customFormat="1" ht="20.100000000000001" customHeight="1" x14ac:dyDescent="0.25">
      <c r="A1126" s="475" t="s">
        <v>1409</v>
      </c>
      <c r="B1126" s="476"/>
      <c r="C1126" s="476"/>
      <c r="D1126" s="476"/>
      <c r="E1126" s="476"/>
      <c r="F1126" s="476"/>
      <c r="G1126" s="476"/>
      <c r="H1126" s="476"/>
      <c r="I1126" s="476"/>
      <c r="J1126" s="476"/>
      <c r="K1126" s="477"/>
      <c r="L1126" s="250"/>
      <c r="M1126" s="149"/>
      <c r="N1126" s="149"/>
      <c r="O1126" s="149"/>
      <c r="P1126" s="149"/>
      <c r="Q1126" s="149"/>
      <c r="R1126" s="149"/>
    </row>
    <row r="1127" spans="1:18" s="166" customFormat="1" ht="20.100000000000001" customHeight="1" x14ac:dyDescent="0.25">
      <c r="A1127" s="245"/>
      <c r="B1127" s="246" t="s">
        <v>1640</v>
      </c>
      <c r="C1127" s="246"/>
      <c r="D1127" s="246"/>
      <c r="E1127" s="246"/>
      <c r="F1127" s="247"/>
      <c r="G1127" s="248">
        <v>93</v>
      </c>
      <c r="H1127" s="249">
        <v>3.3</v>
      </c>
      <c r="J1127" s="249">
        <v>35.83</v>
      </c>
      <c r="K1127" s="249">
        <f>TRUNC(G1127*H1127-J1127,2)</f>
        <v>271.07</v>
      </c>
      <c r="L1127" s="250"/>
      <c r="M1127" s="149"/>
    </row>
    <row r="1128" spans="1:18" s="154" customFormat="1" ht="20.100000000000001" customHeight="1" x14ac:dyDescent="0.25">
      <c r="A1128" s="475" t="s">
        <v>1411</v>
      </c>
      <c r="B1128" s="476"/>
      <c r="C1128" s="476"/>
      <c r="D1128" s="476"/>
      <c r="E1128" s="476"/>
      <c r="F1128" s="476"/>
      <c r="G1128" s="476"/>
      <c r="H1128" s="476"/>
      <c r="I1128" s="476"/>
      <c r="J1128" s="476"/>
      <c r="K1128" s="477"/>
      <c r="L1128" s="250"/>
      <c r="M1128" s="149"/>
      <c r="N1128" s="149"/>
      <c r="O1128" s="149"/>
      <c r="P1128" s="149"/>
      <c r="Q1128" s="149"/>
      <c r="R1128" s="149"/>
    </row>
    <row r="1129" spans="1:18" s="166" customFormat="1" ht="20.100000000000001" customHeight="1" x14ac:dyDescent="0.25">
      <c r="A1129" s="245"/>
      <c r="B1129" s="246" t="s">
        <v>1640</v>
      </c>
      <c r="C1129" s="246"/>
      <c r="D1129" s="246"/>
      <c r="E1129" s="246"/>
      <c r="F1129" s="247"/>
      <c r="G1129" s="248">
        <f>14.93+22.88*2+2.1+1.6+1.6+10.3</f>
        <v>76.289999999999992</v>
      </c>
      <c r="H1129" s="249">
        <v>3.3</v>
      </c>
      <c r="J1129" s="249">
        <f>4*2.3*0.8+2*2.3*1.5+4*2.3*2.25+2*2.3*0.75+2*2.3*0.75+2.1*0.9+4*2.3*2.25+2.3*0.75+2*2.3*1.5</f>
        <v>73.075000000000003</v>
      </c>
      <c r="K1129" s="249">
        <f>TRUNC(G1129*H1129-J1129,2)</f>
        <v>178.68</v>
      </c>
      <c r="L1129" s="250"/>
      <c r="M1129" s="149"/>
    </row>
    <row r="1130" spans="1:18" s="154" customFormat="1" ht="20.100000000000001" customHeight="1" x14ac:dyDescent="0.25">
      <c r="A1130" s="475" t="s">
        <v>1413</v>
      </c>
      <c r="B1130" s="476"/>
      <c r="C1130" s="476"/>
      <c r="D1130" s="476"/>
      <c r="E1130" s="476"/>
      <c r="F1130" s="476"/>
      <c r="G1130" s="476"/>
      <c r="H1130" s="476"/>
      <c r="I1130" s="476"/>
      <c r="J1130" s="476"/>
      <c r="K1130" s="477"/>
      <c r="L1130" s="250"/>
      <c r="M1130" s="149"/>
      <c r="N1130" s="149"/>
      <c r="O1130" s="149"/>
      <c r="P1130" s="149"/>
      <c r="Q1130" s="149"/>
      <c r="R1130" s="149"/>
    </row>
    <row r="1131" spans="1:18" s="166" customFormat="1" ht="20.100000000000001" customHeight="1" x14ac:dyDescent="0.25">
      <c r="A1131" s="245"/>
      <c r="B1131" s="246" t="s">
        <v>1640</v>
      </c>
      <c r="C1131" s="246"/>
      <c r="D1131" s="246"/>
      <c r="E1131" s="246"/>
      <c r="F1131" s="247"/>
      <c r="G1131" s="248">
        <f>10.45+30.6+12.5+6.75+15+5.71+2.53</f>
        <v>83.539999999999992</v>
      </c>
      <c r="H1131" s="249">
        <v>3.3</v>
      </c>
      <c r="J1131" s="249">
        <f>0.6*0.4+1.5*1.2+3.23*0.75+2.1*0.9+4*2.3*2.5+2.1*0.9+2*2.1+2*1.1+2*2.3*1.5+2*1.1+2.3*0.75+1*0.75+1*0.75</f>
        <v>49.967500000000008</v>
      </c>
      <c r="K1131" s="249">
        <f>TRUNC(G1131*H1131-J1131,2)</f>
        <v>225.71</v>
      </c>
      <c r="L1131" s="250"/>
      <c r="M1131" s="149"/>
    </row>
    <row r="1132" spans="1:18" s="154" customFormat="1" ht="20.100000000000001" customHeight="1" x14ac:dyDescent="0.25">
      <c r="A1132" s="475" t="s">
        <v>1402</v>
      </c>
      <c r="B1132" s="476"/>
      <c r="C1132" s="476"/>
      <c r="D1132" s="476"/>
      <c r="E1132" s="476"/>
      <c r="F1132" s="476"/>
      <c r="G1132" s="476"/>
      <c r="H1132" s="476"/>
      <c r="I1132" s="476"/>
      <c r="J1132" s="476"/>
      <c r="K1132" s="477"/>
      <c r="L1132" s="250"/>
      <c r="M1132" s="149"/>
      <c r="N1132" s="149"/>
      <c r="O1132" s="149"/>
      <c r="P1132" s="149"/>
      <c r="Q1132" s="149"/>
      <c r="R1132" s="149"/>
    </row>
    <row r="1133" spans="1:18" s="154" customFormat="1" ht="20.100000000000001" customHeight="1" x14ac:dyDescent="0.25">
      <c r="A1133" s="245"/>
      <c r="B1133" s="246" t="s">
        <v>1708</v>
      </c>
      <c r="C1133" s="246"/>
      <c r="D1133" s="246"/>
      <c r="E1133" s="246"/>
      <c r="F1133" s="247"/>
      <c r="G1133" s="248">
        <v>71.72</v>
      </c>
      <c r="H1133" s="249">
        <v>4.3499999999999996</v>
      </c>
      <c r="J1133" s="249">
        <f>4*2.1*2.4+6*2*1.2+5.46*4</f>
        <v>56.400000000000006</v>
      </c>
      <c r="K1133" s="249">
        <f>TRUNC(G1133*H1133-J1133,2)</f>
        <v>255.58</v>
      </c>
      <c r="L1133" s="250"/>
      <c r="M1133" s="149"/>
      <c r="N1133" s="149"/>
      <c r="O1133" s="149"/>
      <c r="P1133" s="149"/>
      <c r="Q1133" s="149"/>
      <c r="R1133" s="149"/>
    </row>
    <row r="1134" spans="1:18" s="154" customFormat="1" ht="20.100000000000001" customHeight="1" x14ac:dyDescent="0.25">
      <c r="A1134" s="470" t="s">
        <v>163</v>
      </c>
      <c r="B1134" s="471"/>
      <c r="C1134" s="471"/>
      <c r="D1134" s="471"/>
      <c r="E1134" s="471"/>
      <c r="F1134" s="472"/>
      <c r="G1134" s="472"/>
      <c r="H1134" s="472"/>
      <c r="I1134" s="274"/>
      <c r="J1134" s="275"/>
      <c r="K1134" s="252">
        <f>SUM(K1120:K1133)</f>
        <v>1536.99</v>
      </c>
      <c r="L1134" s="250"/>
      <c r="M1134" s="149"/>
      <c r="N1134" s="149"/>
      <c r="O1134" s="149"/>
      <c r="P1134" s="149"/>
      <c r="Q1134" s="149"/>
      <c r="R1134" s="149"/>
    </row>
    <row r="1135" spans="1:18" s="154" customFormat="1" ht="20.100000000000001" customHeight="1" x14ac:dyDescent="0.25">
      <c r="A1135" s="177" t="s">
        <v>1709</v>
      </c>
      <c r="B1135" s="171" t="s">
        <v>1710</v>
      </c>
      <c r="C1135" s="171"/>
      <c r="D1135" s="171"/>
      <c r="E1135" s="171"/>
      <c r="F1135" s="243" t="s">
        <v>24</v>
      </c>
      <c r="G1135" s="244" t="s">
        <v>1694</v>
      </c>
      <c r="H1135" s="244" t="s">
        <v>1695</v>
      </c>
      <c r="I1135" s="244" t="s">
        <v>1696</v>
      </c>
      <c r="J1135" s="244"/>
      <c r="K1135" s="244" t="s">
        <v>50</v>
      </c>
      <c r="L1135" s="250"/>
      <c r="M1135" s="149"/>
      <c r="N1135" s="149"/>
      <c r="O1135" s="149"/>
      <c r="P1135" s="149"/>
      <c r="Q1135" s="149"/>
      <c r="R1135" s="149"/>
    </row>
    <row r="1136" spans="1:18" s="154" customFormat="1" ht="20.100000000000001" customHeight="1" x14ac:dyDescent="0.25">
      <c r="A1136" s="475" t="s">
        <v>1382</v>
      </c>
      <c r="B1136" s="476"/>
      <c r="C1136" s="476"/>
      <c r="D1136" s="476"/>
      <c r="E1136" s="476"/>
      <c r="F1136" s="476"/>
      <c r="G1136" s="476"/>
      <c r="H1136" s="476"/>
      <c r="I1136" s="476"/>
      <c r="J1136" s="476"/>
      <c r="K1136" s="477"/>
      <c r="L1136" s="250"/>
      <c r="M1136" s="149"/>
      <c r="N1136" s="149"/>
      <c r="O1136" s="149"/>
      <c r="P1136" s="149"/>
      <c r="Q1136" s="149"/>
      <c r="R1136" s="149"/>
    </row>
    <row r="1137" spans="1:18" s="166" customFormat="1" ht="20.100000000000001" customHeight="1" x14ac:dyDescent="0.25">
      <c r="A1137" s="245"/>
      <c r="B1137" s="246" t="s">
        <v>1638</v>
      </c>
      <c r="C1137" s="246"/>
      <c r="D1137" s="246"/>
      <c r="E1137" s="246"/>
      <c r="F1137" s="247"/>
      <c r="G1137" s="248">
        <v>2.2999999999999998</v>
      </c>
      <c r="H1137" s="249">
        <v>2.5</v>
      </c>
      <c r="I1137" s="249">
        <v>13</v>
      </c>
      <c r="J1137" s="248"/>
      <c r="K1137" s="249">
        <f t="shared" ref="K1137:K1138" si="71">TRUNC(G1137*H1137*I1137,2)</f>
        <v>74.75</v>
      </c>
      <c r="L1137" s="250"/>
      <c r="M1137" s="149"/>
    </row>
    <row r="1138" spans="1:18" s="166" customFormat="1" ht="20.100000000000001" customHeight="1" x14ac:dyDescent="0.25">
      <c r="A1138" s="245"/>
      <c r="B1138" s="246" t="s">
        <v>1638</v>
      </c>
      <c r="C1138" s="246"/>
      <c r="D1138" s="246"/>
      <c r="E1138" s="246"/>
      <c r="F1138" s="247"/>
      <c r="G1138" s="248">
        <v>2.2999999999999998</v>
      </c>
      <c r="H1138" s="249">
        <v>1.8</v>
      </c>
      <c r="I1138" s="249">
        <v>4</v>
      </c>
      <c r="J1138" s="248"/>
      <c r="K1138" s="249">
        <f t="shared" si="71"/>
        <v>16.559999999999999</v>
      </c>
      <c r="L1138" s="250"/>
      <c r="M1138" s="149"/>
    </row>
    <row r="1139" spans="1:18" s="166" customFormat="1" ht="20.100000000000001" customHeight="1" x14ac:dyDescent="0.25">
      <c r="A1139" s="245"/>
      <c r="B1139" s="246" t="s">
        <v>1639</v>
      </c>
      <c r="C1139" s="246"/>
      <c r="D1139" s="246"/>
      <c r="E1139" s="246"/>
      <c r="F1139" s="247"/>
      <c r="G1139" s="248">
        <v>10</v>
      </c>
      <c r="H1139" s="249">
        <v>3.3</v>
      </c>
      <c r="I1139" s="249"/>
      <c r="J1139" s="248"/>
      <c r="K1139" s="249">
        <f>TRUNC(G1139*H1139,2)</f>
        <v>33</v>
      </c>
      <c r="L1139" s="250"/>
      <c r="M1139" s="149"/>
    </row>
    <row r="1140" spans="1:18" s="166" customFormat="1" ht="20.100000000000001" customHeight="1" x14ac:dyDescent="0.25">
      <c r="A1140" s="245"/>
      <c r="B1140" s="246" t="s">
        <v>1706</v>
      </c>
      <c r="C1140" s="246"/>
      <c r="D1140" s="246"/>
      <c r="E1140" s="246"/>
      <c r="F1140" s="247"/>
      <c r="G1140" s="248">
        <f>4.75+10.6+4.75</f>
        <v>20.100000000000001</v>
      </c>
      <c r="H1140" s="249">
        <v>8</v>
      </c>
      <c r="I1140" s="249"/>
      <c r="J1140" s="248"/>
      <c r="K1140" s="249">
        <f>TRUNC(G1140*H1140,2)</f>
        <v>160.80000000000001</v>
      </c>
      <c r="L1140" s="250"/>
      <c r="M1140" s="149"/>
    </row>
    <row r="1141" spans="1:18" s="154" customFormat="1" ht="20.100000000000001" customHeight="1" x14ac:dyDescent="0.25">
      <c r="A1141" s="475" t="s">
        <v>1384</v>
      </c>
      <c r="B1141" s="476"/>
      <c r="C1141" s="476"/>
      <c r="D1141" s="476"/>
      <c r="E1141" s="476"/>
      <c r="F1141" s="476"/>
      <c r="G1141" s="476"/>
      <c r="H1141" s="476"/>
      <c r="I1141" s="476"/>
      <c r="J1141" s="476"/>
      <c r="K1141" s="477"/>
      <c r="L1141" s="250"/>
      <c r="M1141" s="149"/>
      <c r="N1141" s="149"/>
      <c r="O1141" s="149"/>
      <c r="P1141" s="149"/>
      <c r="Q1141" s="149"/>
      <c r="R1141" s="149"/>
    </row>
    <row r="1142" spans="1:18" s="166" customFormat="1" ht="20.100000000000001" customHeight="1" x14ac:dyDescent="0.25">
      <c r="A1142" s="245"/>
      <c r="B1142" s="246" t="s">
        <v>1707</v>
      </c>
      <c r="C1142" s="246"/>
      <c r="D1142" s="246"/>
      <c r="E1142" s="246"/>
      <c r="F1142" s="247"/>
      <c r="G1142" s="248">
        <v>108.17</v>
      </c>
      <c r="H1142" s="249">
        <v>3.3</v>
      </c>
      <c r="J1142" s="249">
        <v>36.119999999999997</v>
      </c>
      <c r="K1142" s="249">
        <f>TRUNC(G1142*H1142-J1142,2)</f>
        <v>320.83999999999997</v>
      </c>
      <c r="L1142" s="250"/>
      <c r="M1142" s="149"/>
    </row>
    <row r="1143" spans="1:18" s="154" customFormat="1" ht="20.100000000000001" customHeight="1" x14ac:dyDescent="0.25">
      <c r="A1143" s="475" t="s">
        <v>1409</v>
      </c>
      <c r="B1143" s="476"/>
      <c r="C1143" s="476"/>
      <c r="D1143" s="476"/>
      <c r="E1143" s="476"/>
      <c r="F1143" s="476"/>
      <c r="G1143" s="476"/>
      <c r="H1143" s="476"/>
      <c r="I1143" s="476"/>
      <c r="J1143" s="476"/>
      <c r="K1143" s="477"/>
      <c r="L1143" s="250"/>
      <c r="M1143" s="149"/>
      <c r="N1143" s="149"/>
      <c r="O1143" s="149"/>
      <c r="P1143" s="149"/>
      <c r="Q1143" s="149"/>
      <c r="R1143" s="149"/>
    </row>
    <row r="1144" spans="1:18" s="166" customFormat="1" ht="20.100000000000001" customHeight="1" x14ac:dyDescent="0.25">
      <c r="A1144" s="245"/>
      <c r="B1144" s="246" t="s">
        <v>1640</v>
      </c>
      <c r="C1144" s="246"/>
      <c r="D1144" s="246"/>
      <c r="E1144" s="246"/>
      <c r="F1144" s="247"/>
      <c r="G1144" s="248">
        <v>93</v>
      </c>
      <c r="H1144" s="249">
        <v>3.3</v>
      </c>
      <c r="J1144" s="249">
        <v>35.83</v>
      </c>
      <c r="K1144" s="249">
        <f>TRUNC(G1144*H1144-J1144,2)</f>
        <v>271.07</v>
      </c>
      <c r="L1144" s="250"/>
      <c r="M1144" s="149"/>
    </row>
    <row r="1145" spans="1:18" s="154" customFormat="1" ht="20.100000000000001" customHeight="1" x14ac:dyDescent="0.25">
      <c r="A1145" s="475" t="s">
        <v>1411</v>
      </c>
      <c r="B1145" s="476"/>
      <c r="C1145" s="476"/>
      <c r="D1145" s="476"/>
      <c r="E1145" s="476"/>
      <c r="F1145" s="476"/>
      <c r="G1145" s="476"/>
      <c r="H1145" s="476"/>
      <c r="I1145" s="476"/>
      <c r="J1145" s="476"/>
      <c r="K1145" s="477"/>
      <c r="L1145" s="250"/>
      <c r="M1145" s="149"/>
      <c r="N1145" s="149"/>
      <c r="O1145" s="149"/>
      <c r="P1145" s="149"/>
      <c r="Q1145" s="149"/>
      <c r="R1145" s="149"/>
    </row>
    <row r="1146" spans="1:18" s="166" customFormat="1" ht="20.100000000000001" customHeight="1" x14ac:dyDescent="0.25">
      <c r="A1146" s="245"/>
      <c r="B1146" s="246" t="s">
        <v>1640</v>
      </c>
      <c r="C1146" s="246"/>
      <c r="D1146" s="246"/>
      <c r="E1146" s="246"/>
      <c r="F1146" s="247"/>
      <c r="G1146" s="248">
        <f>14.93+22.88*2+2.1+1.6+1.6+10.3</f>
        <v>76.289999999999992</v>
      </c>
      <c r="H1146" s="249">
        <v>3.3</v>
      </c>
      <c r="J1146" s="249">
        <f>4*2.3*0.8+2*2.3*1.5+4*2.3*2.25+2*2.3*0.75+2*2.3*0.75+2.1*0.9+4*2.3*2.25+2.3*0.75+2*2.3*1.5</f>
        <v>73.075000000000003</v>
      </c>
      <c r="K1146" s="249">
        <f>TRUNC(G1146*H1146-J1146,2)</f>
        <v>178.68</v>
      </c>
      <c r="L1146" s="250"/>
      <c r="M1146" s="149"/>
    </row>
    <row r="1147" spans="1:18" s="154" customFormat="1" ht="18.75" customHeight="1" x14ac:dyDescent="0.25">
      <c r="A1147" s="475" t="s">
        <v>1413</v>
      </c>
      <c r="B1147" s="476"/>
      <c r="C1147" s="476"/>
      <c r="D1147" s="476"/>
      <c r="E1147" s="476"/>
      <c r="F1147" s="476"/>
      <c r="G1147" s="476"/>
      <c r="H1147" s="476"/>
      <c r="I1147" s="476"/>
      <c r="J1147" s="476"/>
      <c r="K1147" s="477"/>
      <c r="L1147" s="250"/>
      <c r="M1147" s="149"/>
      <c r="N1147" s="149"/>
      <c r="O1147" s="149"/>
      <c r="P1147" s="149"/>
      <c r="Q1147" s="149"/>
      <c r="R1147" s="149"/>
    </row>
    <row r="1148" spans="1:18" s="166" customFormat="1" ht="20.100000000000001" customHeight="1" x14ac:dyDescent="0.25">
      <c r="A1148" s="245"/>
      <c r="B1148" s="246" t="s">
        <v>1640</v>
      </c>
      <c r="C1148" s="246"/>
      <c r="D1148" s="246"/>
      <c r="E1148" s="246"/>
      <c r="F1148" s="247"/>
      <c r="G1148" s="248">
        <f>10.45+30.6+12.5+6.75+15+5.71+2.53</f>
        <v>83.539999999999992</v>
      </c>
      <c r="H1148" s="249">
        <v>3.3</v>
      </c>
      <c r="J1148" s="249">
        <f>0.6*0.4+1.5*1.2+3.23*0.75+2.1*0.9+4*2.3*2.5+2.1*0.9+2*2.1+2*1.1+2*2.3*1.5+2*1.1+2.3*0.75+1*0.75+1*0.75</f>
        <v>49.967500000000008</v>
      </c>
      <c r="K1148" s="249">
        <f>TRUNC(G1148*H1148-J1148,2)</f>
        <v>225.71</v>
      </c>
      <c r="L1148" s="250"/>
      <c r="M1148" s="149"/>
    </row>
    <row r="1149" spans="1:18" s="154" customFormat="1" ht="20.100000000000001" customHeight="1" x14ac:dyDescent="0.25">
      <c r="A1149" s="475" t="s">
        <v>1402</v>
      </c>
      <c r="B1149" s="476"/>
      <c r="C1149" s="476"/>
      <c r="D1149" s="476"/>
      <c r="E1149" s="476"/>
      <c r="F1149" s="476"/>
      <c r="G1149" s="476"/>
      <c r="H1149" s="476"/>
      <c r="I1149" s="476"/>
      <c r="J1149" s="476"/>
      <c r="K1149" s="477"/>
      <c r="L1149" s="250"/>
      <c r="M1149" s="149"/>
      <c r="N1149" s="149"/>
      <c r="O1149" s="149"/>
      <c r="P1149" s="149"/>
      <c r="Q1149" s="149"/>
      <c r="R1149" s="149"/>
    </row>
    <row r="1150" spans="1:18" s="154" customFormat="1" ht="20.100000000000001" customHeight="1" x14ac:dyDescent="0.25">
      <c r="A1150" s="245"/>
      <c r="B1150" s="246" t="s">
        <v>1708</v>
      </c>
      <c r="C1150" s="246"/>
      <c r="D1150" s="246"/>
      <c r="E1150" s="246"/>
      <c r="F1150" s="247"/>
      <c r="G1150" s="248">
        <v>71.72</v>
      </c>
      <c r="H1150" s="249">
        <v>4.3499999999999996</v>
      </c>
      <c r="J1150" s="249">
        <f>4*2.1*2.4+6*2*1.2+5.46*4</f>
        <v>56.400000000000006</v>
      </c>
      <c r="K1150" s="249">
        <f>TRUNC(G1150*H1150-J1150,2)</f>
        <v>255.58</v>
      </c>
      <c r="L1150" s="250"/>
      <c r="M1150" s="149"/>
      <c r="N1150" s="149"/>
      <c r="O1150" s="149"/>
      <c r="P1150" s="149"/>
      <c r="Q1150" s="149"/>
      <c r="R1150" s="149"/>
    </row>
    <row r="1151" spans="1:18" s="154" customFormat="1" ht="20.100000000000001" customHeight="1" x14ac:dyDescent="0.25">
      <c r="A1151" s="470" t="s">
        <v>163</v>
      </c>
      <c r="B1151" s="471"/>
      <c r="C1151" s="471"/>
      <c r="D1151" s="471"/>
      <c r="E1151" s="471"/>
      <c r="F1151" s="472"/>
      <c r="G1151" s="472"/>
      <c r="H1151" s="472"/>
      <c r="I1151" s="274"/>
      <c r="J1151" s="275"/>
      <c r="K1151" s="252">
        <f>SUM(K1137:K1150)</f>
        <v>1536.99</v>
      </c>
      <c r="L1151" s="250"/>
      <c r="M1151" s="149"/>
      <c r="N1151" s="149"/>
      <c r="O1151" s="149"/>
      <c r="P1151" s="149"/>
      <c r="Q1151" s="149"/>
      <c r="R1151" s="149"/>
    </row>
    <row r="1152" spans="1:18" s="154" customFormat="1" ht="20.100000000000001" customHeight="1" x14ac:dyDescent="0.25">
      <c r="A1152" s="177" t="s">
        <v>1709</v>
      </c>
      <c r="B1152" s="171" t="s">
        <v>1711</v>
      </c>
      <c r="C1152" s="171"/>
      <c r="D1152" s="171"/>
      <c r="E1152" s="171"/>
      <c r="F1152" s="243" t="s">
        <v>24</v>
      </c>
      <c r="G1152" s="244" t="s">
        <v>1539</v>
      </c>
      <c r="H1152" s="244" t="s">
        <v>735</v>
      </c>
      <c r="I1152" s="244" t="s">
        <v>724</v>
      </c>
      <c r="J1152" s="244"/>
      <c r="K1152" s="244" t="s">
        <v>50</v>
      </c>
      <c r="L1152" s="250"/>
      <c r="M1152" s="149"/>
      <c r="N1152" s="149"/>
      <c r="O1152" s="149"/>
      <c r="P1152" s="149"/>
      <c r="Q1152" s="149"/>
      <c r="R1152" s="149"/>
    </row>
    <row r="1153" spans="1:18" s="154" customFormat="1" ht="20.100000000000001" customHeight="1" x14ac:dyDescent="0.25">
      <c r="A1153" s="475" t="s">
        <v>1382</v>
      </c>
      <c r="B1153" s="476"/>
      <c r="C1153" s="476"/>
      <c r="D1153" s="476"/>
      <c r="E1153" s="476"/>
      <c r="F1153" s="476"/>
      <c r="G1153" s="476"/>
      <c r="H1153" s="476"/>
      <c r="I1153" s="476"/>
      <c r="J1153" s="476"/>
      <c r="K1153" s="477"/>
      <c r="L1153" s="250"/>
      <c r="M1153" s="149"/>
      <c r="N1153" s="149"/>
      <c r="O1153" s="149"/>
      <c r="P1153" s="149"/>
      <c r="Q1153" s="149"/>
      <c r="R1153" s="149"/>
    </row>
    <row r="1154" spans="1:18" s="154" customFormat="1" ht="20.100000000000001" customHeight="1" x14ac:dyDescent="0.25">
      <c r="A1154" s="245"/>
      <c r="B1154" s="246" t="s">
        <v>739</v>
      </c>
      <c r="C1154" s="246"/>
      <c r="D1154" s="246"/>
      <c r="E1154" s="246"/>
      <c r="F1154" s="247"/>
      <c r="G1154" s="248">
        <v>0.8</v>
      </c>
      <c r="H1154" s="248">
        <v>2.1</v>
      </c>
      <c r="I1154" s="248">
        <v>2</v>
      </c>
      <c r="J1154" s="248"/>
      <c r="K1154" s="248">
        <f>TRUNC(3*G1154*H1154*I1154,2)</f>
        <v>10.08</v>
      </c>
      <c r="L1154" s="250"/>
      <c r="M1154" s="149"/>
      <c r="N1154" s="149"/>
      <c r="O1154" s="149"/>
      <c r="P1154" s="149"/>
      <c r="Q1154" s="149"/>
      <c r="R1154" s="149"/>
    </row>
    <row r="1155" spans="1:18" s="170" customFormat="1" ht="20.100000000000001" customHeight="1" x14ac:dyDescent="0.25">
      <c r="A1155" s="181"/>
      <c r="B1155" s="276" t="s">
        <v>740</v>
      </c>
      <c r="C1155" s="246"/>
      <c r="D1155" s="246"/>
      <c r="E1155" s="246"/>
      <c r="F1155" s="277"/>
      <c r="G1155" s="248">
        <v>0.9</v>
      </c>
      <c r="H1155" s="248">
        <v>2.1</v>
      </c>
      <c r="I1155" s="248">
        <v>19</v>
      </c>
      <c r="J1155" s="248"/>
      <c r="K1155" s="248">
        <f>TRUNC(3*G1155*H1155*I1155,2)</f>
        <v>107.73</v>
      </c>
      <c r="L1155" s="250"/>
      <c r="M1155" s="149"/>
      <c r="N1155" s="131"/>
      <c r="O1155" s="131"/>
      <c r="P1155" s="131"/>
      <c r="Q1155" s="131"/>
      <c r="R1155" s="131"/>
    </row>
    <row r="1156" spans="1:18" s="154" customFormat="1" ht="20.100000000000001" customHeight="1" x14ac:dyDescent="0.25">
      <c r="A1156" s="475" t="s">
        <v>1384</v>
      </c>
      <c r="B1156" s="476"/>
      <c r="C1156" s="476"/>
      <c r="D1156" s="476"/>
      <c r="E1156" s="476"/>
      <c r="F1156" s="476"/>
      <c r="G1156" s="476"/>
      <c r="H1156" s="476"/>
      <c r="I1156" s="476"/>
      <c r="J1156" s="476"/>
      <c r="K1156" s="477"/>
      <c r="L1156" s="250"/>
      <c r="M1156" s="149"/>
      <c r="N1156" s="149"/>
      <c r="O1156" s="149"/>
      <c r="P1156" s="149"/>
      <c r="Q1156" s="149"/>
      <c r="R1156" s="149"/>
    </row>
    <row r="1157" spans="1:18" s="149" customFormat="1" ht="20.100000000000001" customHeight="1" x14ac:dyDescent="0.25">
      <c r="A1157" s="245"/>
      <c r="B1157" s="246" t="s">
        <v>1602</v>
      </c>
      <c r="C1157" s="246"/>
      <c r="D1157" s="246"/>
      <c r="E1157" s="246"/>
      <c r="F1157" s="247"/>
      <c r="G1157" s="248">
        <v>0.9</v>
      </c>
      <c r="H1157" s="249">
        <v>2.1</v>
      </c>
      <c r="I1157" s="249"/>
      <c r="J1157" s="248"/>
      <c r="K1157" s="249">
        <f>TRUNC(3*G1157*H1157,2)</f>
        <v>5.67</v>
      </c>
      <c r="L1157" s="250"/>
    </row>
    <row r="1158" spans="1:18" s="149" customFormat="1" ht="20.100000000000001" customHeight="1" x14ac:dyDescent="0.25">
      <c r="A1158" s="245"/>
      <c r="B1158" s="246" t="s">
        <v>810</v>
      </c>
      <c r="C1158" s="246"/>
      <c r="D1158" s="246"/>
      <c r="E1158" s="246"/>
      <c r="F1158" s="247"/>
      <c r="G1158" s="248">
        <v>0.9</v>
      </c>
      <c r="H1158" s="249">
        <v>2.1</v>
      </c>
      <c r="I1158" s="249"/>
      <c r="J1158" s="248"/>
      <c r="K1158" s="249">
        <f t="shared" ref="K1158:K1177" si="72">TRUNC(3*G1158*H1158,2)</f>
        <v>5.67</v>
      </c>
      <c r="L1158" s="250"/>
    </row>
    <row r="1159" spans="1:18" s="166" customFormat="1" ht="20.100000000000001" customHeight="1" x14ac:dyDescent="0.25">
      <c r="A1159" s="245"/>
      <c r="B1159" s="246" t="s">
        <v>1552</v>
      </c>
      <c r="C1159" s="246"/>
      <c r="D1159" s="246"/>
      <c r="E1159" s="246"/>
      <c r="F1159" s="247"/>
      <c r="G1159" s="248">
        <v>0.9</v>
      </c>
      <c r="H1159" s="249">
        <v>2.1</v>
      </c>
      <c r="I1159" s="249"/>
      <c r="J1159" s="248"/>
      <c r="K1159" s="249">
        <f t="shared" si="72"/>
        <v>5.67</v>
      </c>
      <c r="L1159" s="250"/>
    </row>
    <row r="1160" spans="1:18" s="166" customFormat="1" ht="20.100000000000001" customHeight="1" x14ac:dyDescent="0.25">
      <c r="A1160" s="245"/>
      <c r="B1160" s="246" t="s">
        <v>1553</v>
      </c>
      <c r="C1160" s="246"/>
      <c r="D1160" s="246"/>
      <c r="E1160" s="246"/>
      <c r="F1160" s="247"/>
      <c r="G1160" s="248">
        <v>0.9</v>
      </c>
      <c r="H1160" s="249">
        <v>2.1</v>
      </c>
      <c r="I1160" s="249"/>
      <c r="J1160" s="248"/>
      <c r="K1160" s="249">
        <f t="shared" si="72"/>
        <v>5.67</v>
      </c>
      <c r="L1160" s="250"/>
    </row>
    <row r="1161" spans="1:18" s="149" customFormat="1" ht="20.100000000000001" customHeight="1" x14ac:dyDescent="0.25">
      <c r="A1161" s="245"/>
      <c r="B1161" s="246" t="s">
        <v>1603</v>
      </c>
      <c r="C1161" s="246"/>
      <c r="D1161" s="246"/>
      <c r="E1161" s="246"/>
      <c r="F1161" s="247"/>
      <c r="G1161" s="248">
        <v>0.9</v>
      </c>
      <c r="H1161" s="249">
        <v>2.1</v>
      </c>
      <c r="I1161" s="249"/>
      <c r="J1161" s="248"/>
      <c r="K1161" s="249">
        <f t="shared" si="72"/>
        <v>5.67</v>
      </c>
      <c r="L1161" s="250"/>
    </row>
    <row r="1162" spans="1:18" s="149" customFormat="1" ht="20.100000000000001" customHeight="1" x14ac:dyDescent="0.25">
      <c r="A1162" s="245"/>
      <c r="B1162" s="246" t="s">
        <v>1604</v>
      </c>
      <c r="C1162" s="246"/>
      <c r="D1162" s="246"/>
      <c r="E1162" s="246"/>
      <c r="F1162" s="247"/>
      <c r="G1162" s="248">
        <v>0.9</v>
      </c>
      <c r="H1162" s="249">
        <v>2.1</v>
      </c>
      <c r="I1162" s="249"/>
      <c r="J1162" s="248"/>
      <c r="K1162" s="249">
        <f t="shared" si="72"/>
        <v>5.67</v>
      </c>
      <c r="L1162" s="250"/>
    </row>
    <row r="1163" spans="1:18" s="166" customFormat="1" ht="20.100000000000001" customHeight="1" x14ac:dyDescent="0.25">
      <c r="A1163" s="245"/>
      <c r="B1163" s="246" t="s">
        <v>1605</v>
      </c>
      <c r="C1163" s="246"/>
      <c r="D1163" s="246"/>
      <c r="E1163" s="246"/>
      <c r="F1163" s="247"/>
      <c r="G1163" s="248">
        <v>0.9</v>
      </c>
      <c r="H1163" s="249">
        <v>2.1</v>
      </c>
      <c r="I1163" s="249"/>
      <c r="J1163" s="248"/>
      <c r="K1163" s="249">
        <f t="shared" si="72"/>
        <v>5.67</v>
      </c>
      <c r="L1163" s="250"/>
    </row>
    <row r="1164" spans="1:18" s="166" customFormat="1" ht="20.100000000000001" customHeight="1" x14ac:dyDescent="0.25">
      <c r="A1164" s="245"/>
      <c r="B1164" s="246" t="s">
        <v>1606</v>
      </c>
      <c r="C1164" s="246"/>
      <c r="D1164" s="246"/>
      <c r="E1164" s="246"/>
      <c r="F1164" s="247"/>
      <c r="G1164" s="248">
        <v>0.9</v>
      </c>
      <c r="H1164" s="249">
        <v>2.1</v>
      </c>
      <c r="I1164" s="249"/>
      <c r="J1164" s="248"/>
      <c r="K1164" s="249">
        <f t="shared" si="72"/>
        <v>5.67</v>
      </c>
      <c r="L1164" s="250"/>
    </row>
    <row r="1165" spans="1:18" s="149" customFormat="1" ht="20.100000000000001" customHeight="1" x14ac:dyDescent="0.25">
      <c r="A1165" s="245"/>
      <c r="B1165" s="246" t="s">
        <v>1607</v>
      </c>
      <c r="C1165" s="246"/>
      <c r="D1165" s="246"/>
      <c r="E1165" s="246"/>
      <c r="F1165" s="247"/>
      <c r="G1165" s="248">
        <v>0.9</v>
      </c>
      <c r="H1165" s="249">
        <v>2.1</v>
      </c>
      <c r="I1165" s="249"/>
      <c r="J1165" s="248"/>
      <c r="K1165" s="249">
        <f t="shared" si="72"/>
        <v>5.67</v>
      </c>
      <c r="L1165" s="250"/>
    </row>
    <row r="1166" spans="1:18" s="149" customFormat="1" ht="20.100000000000001" customHeight="1" x14ac:dyDescent="0.25">
      <c r="A1166" s="245"/>
      <c r="B1166" s="246" t="s">
        <v>1608</v>
      </c>
      <c r="C1166" s="246"/>
      <c r="D1166" s="246"/>
      <c r="E1166" s="246"/>
      <c r="F1166" s="247"/>
      <c r="G1166" s="248">
        <v>0.9</v>
      </c>
      <c r="H1166" s="249">
        <v>2.1</v>
      </c>
      <c r="I1166" s="249"/>
      <c r="J1166" s="248"/>
      <c r="K1166" s="249">
        <f t="shared" si="72"/>
        <v>5.67</v>
      </c>
      <c r="L1166" s="250"/>
    </row>
    <row r="1167" spans="1:18" s="166" customFormat="1" ht="20.100000000000001" customHeight="1" x14ac:dyDescent="0.25">
      <c r="A1167" s="245"/>
      <c r="B1167" s="246" t="s">
        <v>1609</v>
      </c>
      <c r="C1167" s="246"/>
      <c r="D1167" s="246"/>
      <c r="E1167" s="246"/>
      <c r="F1167" s="247"/>
      <c r="G1167" s="248">
        <v>0.9</v>
      </c>
      <c r="H1167" s="249">
        <v>2.1</v>
      </c>
      <c r="I1167" s="249"/>
      <c r="J1167" s="248"/>
      <c r="K1167" s="249">
        <f t="shared" si="72"/>
        <v>5.67</v>
      </c>
      <c r="L1167" s="250"/>
    </row>
    <row r="1168" spans="1:18" s="166" customFormat="1" ht="20.100000000000001" customHeight="1" x14ac:dyDescent="0.25">
      <c r="A1168" s="245"/>
      <c r="B1168" s="246" t="s">
        <v>1580</v>
      </c>
      <c r="C1168" s="246"/>
      <c r="D1168" s="246"/>
      <c r="E1168" s="246"/>
      <c r="F1168" s="247"/>
      <c r="G1168" s="248">
        <v>0.9</v>
      </c>
      <c r="H1168" s="249">
        <v>2.1</v>
      </c>
      <c r="I1168" s="249"/>
      <c r="J1168" s="248"/>
      <c r="K1168" s="249">
        <f t="shared" si="72"/>
        <v>5.67</v>
      </c>
      <c r="L1168" s="250"/>
    </row>
    <row r="1169" spans="1:18" s="149" customFormat="1" ht="20.100000000000001" customHeight="1" x14ac:dyDescent="0.25">
      <c r="A1169" s="245"/>
      <c r="B1169" s="246" t="s">
        <v>1610</v>
      </c>
      <c r="C1169" s="246"/>
      <c r="D1169" s="246"/>
      <c r="E1169" s="246"/>
      <c r="F1169" s="247"/>
      <c r="G1169" s="248">
        <v>0.9</v>
      </c>
      <c r="H1169" s="249">
        <v>2.1</v>
      </c>
      <c r="I1169" s="249"/>
      <c r="J1169" s="248"/>
      <c r="K1169" s="249">
        <f t="shared" si="72"/>
        <v>5.67</v>
      </c>
      <c r="L1169" s="250"/>
    </row>
    <row r="1170" spans="1:18" s="149" customFormat="1" ht="20.100000000000001" customHeight="1" x14ac:dyDescent="0.25">
      <c r="A1170" s="245"/>
      <c r="B1170" s="246" t="s">
        <v>1453</v>
      </c>
      <c r="C1170" s="246"/>
      <c r="D1170" s="246"/>
      <c r="E1170" s="246"/>
      <c r="F1170" s="247"/>
      <c r="G1170" s="248">
        <v>0.9</v>
      </c>
      <c r="H1170" s="249">
        <v>2.1</v>
      </c>
      <c r="I1170" s="249"/>
      <c r="J1170" s="248"/>
      <c r="K1170" s="249">
        <f t="shared" si="72"/>
        <v>5.67</v>
      </c>
      <c r="L1170" s="250"/>
    </row>
    <row r="1171" spans="1:18" s="166" customFormat="1" ht="20.100000000000001" customHeight="1" x14ac:dyDescent="0.25">
      <c r="A1171" s="245"/>
      <c r="B1171" s="246" t="s">
        <v>1611</v>
      </c>
      <c r="C1171" s="246"/>
      <c r="D1171" s="246"/>
      <c r="E1171" s="246"/>
      <c r="F1171" s="247"/>
      <c r="G1171" s="248">
        <v>0.9</v>
      </c>
      <c r="H1171" s="249">
        <v>2.1</v>
      </c>
      <c r="I1171" s="249"/>
      <c r="J1171" s="248"/>
      <c r="K1171" s="249">
        <f t="shared" si="72"/>
        <v>5.67</v>
      </c>
      <c r="L1171" s="250"/>
    </row>
    <row r="1172" spans="1:18" s="154" customFormat="1" ht="20.100000000000001" customHeight="1" x14ac:dyDescent="0.25">
      <c r="A1172" s="245"/>
      <c r="B1172" s="246" t="s">
        <v>1455</v>
      </c>
      <c r="C1172" s="246"/>
      <c r="D1172" s="246"/>
      <c r="E1172" s="246"/>
      <c r="F1172" s="247"/>
      <c r="G1172" s="248">
        <v>1.2</v>
      </c>
      <c r="H1172" s="249">
        <v>2.1</v>
      </c>
      <c r="I1172" s="249"/>
      <c r="J1172" s="248"/>
      <c r="K1172" s="249">
        <f t="shared" si="72"/>
        <v>7.56</v>
      </c>
      <c r="L1172" s="250"/>
      <c r="M1172" s="149"/>
      <c r="N1172" s="149"/>
      <c r="O1172" s="149"/>
      <c r="P1172" s="149"/>
      <c r="Q1172" s="149"/>
      <c r="R1172" s="149"/>
    </row>
    <row r="1173" spans="1:18" s="170" customFormat="1" ht="20.100000000000001" customHeight="1" x14ac:dyDescent="0.25">
      <c r="A1173" s="245"/>
      <c r="B1173" s="246" t="s">
        <v>1628</v>
      </c>
      <c r="C1173" s="246"/>
      <c r="D1173" s="246"/>
      <c r="E1173" s="246"/>
      <c r="F1173" s="247"/>
      <c r="G1173" s="248">
        <v>1.2</v>
      </c>
      <c r="H1173" s="249">
        <v>2.1</v>
      </c>
      <c r="I1173" s="249"/>
      <c r="J1173" s="248"/>
      <c r="K1173" s="249">
        <f t="shared" si="72"/>
        <v>7.56</v>
      </c>
      <c r="L1173" s="250"/>
      <c r="M1173" s="149"/>
      <c r="N1173" s="131"/>
      <c r="O1173" s="131"/>
      <c r="P1173" s="131"/>
      <c r="Q1173" s="131"/>
      <c r="R1173" s="131"/>
    </row>
    <row r="1174" spans="1:18" s="166" customFormat="1" ht="20.100000000000001" customHeight="1" x14ac:dyDescent="0.25">
      <c r="A1174" s="245"/>
      <c r="B1174" s="246" t="s">
        <v>1612</v>
      </c>
      <c r="C1174" s="246"/>
      <c r="D1174" s="246"/>
      <c r="E1174" s="246"/>
      <c r="F1174" s="247"/>
      <c r="G1174" s="248">
        <v>0.9</v>
      </c>
      <c r="H1174" s="249">
        <v>2.1</v>
      </c>
      <c r="I1174" s="249"/>
      <c r="J1174" s="248"/>
      <c r="K1174" s="249">
        <f t="shared" si="72"/>
        <v>5.67</v>
      </c>
      <c r="L1174" s="250"/>
    </row>
    <row r="1175" spans="1:18" s="166" customFormat="1" ht="20.100000000000001" customHeight="1" x14ac:dyDescent="0.25">
      <c r="A1175" s="245"/>
      <c r="B1175" s="246" t="s">
        <v>1613</v>
      </c>
      <c r="C1175" s="246"/>
      <c r="D1175" s="246"/>
      <c r="E1175" s="246"/>
      <c r="F1175" s="247"/>
      <c r="G1175" s="248">
        <v>0.9</v>
      </c>
      <c r="H1175" s="249">
        <v>2.1</v>
      </c>
      <c r="I1175" s="249"/>
      <c r="J1175" s="248"/>
      <c r="K1175" s="249">
        <f t="shared" si="72"/>
        <v>5.67</v>
      </c>
      <c r="L1175" s="250"/>
    </row>
    <row r="1176" spans="1:18" s="166" customFormat="1" ht="20.100000000000001" customHeight="1" x14ac:dyDescent="0.25">
      <c r="A1176" s="245"/>
      <c r="B1176" s="246" t="s">
        <v>1614</v>
      </c>
      <c r="C1176" s="246"/>
      <c r="D1176" s="246"/>
      <c r="E1176" s="246"/>
      <c r="F1176" s="247"/>
      <c r="G1176" s="248">
        <v>0.9</v>
      </c>
      <c r="H1176" s="249">
        <v>2.1</v>
      </c>
      <c r="I1176" s="249"/>
      <c r="J1176" s="248"/>
      <c r="K1176" s="249">
        <f t="shared" si="72"/>
        <v>5.67</v>
      </c>
      <c r="L1176" s="250"/>
    </row>
    <row r="1177" spans="1:18" s="166" customFormat="1" ht="20.100000000000001" customHeight="1" x14ac:dyDescent="0.25">
      <c r="A1177" s="245"/>
      <c r="B1177" s="246" t="s">
        <v>1615</v>
      </c>
      <c r="C1177" s="246"/>
      <c r="D1177" s="246"/>
      <c r="E1177" s="246"/>
      <c r="F1177" s="247"/>
      <c r="G1177" s="248">
        <v>0.9</v>
      </c>
      <c r="H1177" s="249">
        <v>2.1</v>
      </c>
      <c r="I1177" s="249"/>
      <c r="J1177" s="248"/>
      <c r="K1177" s="249">
        <f t="shared" si="72"/>
        <v>5.67</v>
      </c>
      <c r="L1177" s="250"/>
    </row>
    <row r="1178" spans="1:18" s="154" customFormat="1" ht="20.100000000000001" customHeight="1" x14ac:dyDescent="0.25">
      <c r="A1178" s="475" t="s">
        <v>1409</v>
      </c>
      <c r="B1178" s="476"/>
      <c r="C1178" s="476"/>
      <c r="D1178" s="476"/>
      <c r="E1178" s="476"/>
      <c r="F1178" s="476"/>
      <c r="G1178" s="476"/>
      <c r="H1178" s="476"/>
      <c r="I1178" s="476"/>
      <c r="J1178" s="476"/>
      <c r="K1178" s="477"/>
      <c r="L1178" s="250"/>
      <c r="M1178" s="149"/>
      <c r="N1178" s="149"/>
      <c r="O1178" s="149"/>
      <c r="P1178" s="149"/>
      <c r="Q1178" s="149"/>
      <c r="R1178" s="149"/>
    </row>
    <row r="1179" spans="1:18" s="149" customFormat="1" ht="20.100000000000001" customHeight="1" x14ac:dyDescent="0.25">
      <c r="A1179" s="245"/>
      <c r="B1179" s="246" t="s">
        <v>1712</v>
      </c>
      <c r="C1179" s="246"/>
      <c r="D1179" s="246"/>
      <c r="E1179" s="246"/>
      <c r="F1179" s="247"/>
      <c r="G1179" s="248">
        <v>0.9</v>
      </c>
      <c r="H1179" s="249">
        <v>2.1</v>
      </c>
      <c r="I1179" s="249">
        <v>7</v>
      </c>
      <c r="J1179" s="248"/>
      <c r="K1179" s="249">
        <f>TRUNC(G1179*H1179*I1179*3,2)</f>
        <v>39.69</v>
      </c>
      <c r="L1179" s="250"/>
    </row>
    <row r="1180" spans="1:18" s="154" customFormat="1" ht="20.100000000000001" customHeight="1" x14ac:dyDescent="0.25">
      <c r="A1180" s="475" t="s">
        <v>1411</v>
      </c>
      <c r="B1180" s="476"/>
      <c r="C1180" s="476"/>
      <c r="D1180" s="476"/>
      <c r="E1180" s="476"/>
      <c r="F1180" s="476"/>
      <c r="G1180" s="476"/>
      <c r="H1180" s="476"/>
      <c r="I1180" s="476"/>
      <c r="J1180" s="476"/>
      <c r="K1180" s="477"/>
      <c r="L1180" s="250"/>
      <c r="M1180" s="149"/>
      <c r="N1180" s="149"/>
      <c r="O1180" s="149"/>
      <c r="P1180" s="149"/>
      <c r="Q1180" s="149"/>
      <c r="R1180" s="149"/>
    </row>
    <row r="1181" spans="1:18" s="154" customFormat="1" ht="20.100000000000001" customHeight="1" x14ac:dyDescent="0.25">
      <c r="A1181" s="267"/>
      <c r="B1181" s="246" t="s">
        <v>1617</v>
      </c>
      <c r="C1181" s="271"/>
      <c r="D1181" s="271"/>
      <c r="E1181" s="271"/>
      <c r="F1181" s="271"/>
      <c r="G1181" s="248">
        <v>0.9</v>
      </c>
      <c r="H1181" s="249">
        <v>2.1</v>
      </c>
      <c r="I1181" s="271">
        <v>12</v>
      </c>
      <c r="J1181" s="271"/>
      <c r="K1181" s="249">
        <f>TRUNC(G1181*H1181*I1181*3,2)</f>
        <v>68.040000000000006</v>
      </c>
      <c r="L1181" s="250"/>
      <c r="M1181" s="149"/>
      <c r="N1181" s="149"/>
      <c r="O1181" s="149"/>
      <c r="P1181" s="149"/>
      <c r="Q1181" s="149"/>
      <c r="R1181" s="149"/>
    </row>
    <row r="1182" spans="1:18" s="154" customFormat="1" ht="18.75" customHeight="1" x14ac:dyDescent="0.25">
      <c r="A1182" s="475" t="s">
        <v>1413</v>
      </c>
      <c r="B1182" s="476"/>
      <c r="C1182" s="476"/>
      <c r="D1182" s="476"/>
      <c r="E1182" s="476"/>
      <c r="F1182" s="476"/>
      <c r="G1182" s="476"/>
      <c r="H1182" s="476"/>
      <c r="I1182" s="476"/>
      <c r="J1182" s="476"/>
      <c r="K1182" s="477"/>
      <c r="L1182" s="250"/>
      <c r="M1182" s="149"/>
      <c r="N1182" s="149"/>
      <c r="O1182" s="149"/>
      <c r="P1182" s="149"/>
      <c r="Q1182" s="149"/>
      <c r="R1182" s="149"/>
    </row>
    <row r="1183" spans="1:18" s="149" customFormat="1" ht="20.100000000000001" customHeight="1" x14ac:dyDescent="0.25">
      <c r="A1183" s="245"/>
      <c r="B1183" s="246" t="s">
        <v>1713</v>
      </c>
      <c r="C1183" s="246"/>
      <c r="D1183" s="246"/>
      <c r="E1183" s="246"/>
      <c r="F1183" s="247"/>
      <c r="G1183" s="248">
        <v>0.9</v>
      </c>
      <c r="H1183" s="249">
        <v>2.1</v>
      </c>
      <c r="I1183" s="249">
        <v>9</v>
      </c>
      <c r="J1183" s="248"/>
      <c r="K1183" s="249">
        <f>TRUNC(G1183*H1183*I1183*3,2)</f>
        <v>51.03</v>
      </c>
      <c r="L1183" s="250"/>
    </row>
    <row r="1184" spans="1:18" s="154" customFormat="1" ht="20.100000000000001" customHeight="1" x14ac:dyDescent="0.25">
      <c r="A1184" s="470" t="s">
        <v>163</v>
      </c>
      <c r="B1184" s="471"/>
      <c r="C1184" s="471"/>
      <c r="D1184" s="471"/>
      <c r="E1184" s="471"/>
      <c r="F1184" s="472"/>
      <c r="G1184" s="472"/>
      <c r="H1184" s="472"/>
      <c r="I1184" s="274"/>
      <c r="J1184" s="275"/>
      <c r="K1184" s="252">
        <f>SUM(K1154:K1183)</f>
        <v>399.41999999999985</v>
      </c>
      <c r="L1184" s="250"/>
      <c r="M1184" s="149"/>
      <c r="N1184" s="149"/>
      <c r="O1184" s="149"/>
      <c r="P1184" s="149"/>
      <c r="Q1184" s="149"/>
      <c r="R1184" s="149"/>
    </row>
    <row r="1185" spans="1:18" s="154" customFormat="1" ht="20.100000000000001" customHeight="1" x14ac:dyDescent="0.25">
      <c r="A1185" s="267"/>
      <c r="B1185" s="278"/>
      <c r="C1185" s="278"/>
      <c r="D1185" s="278"/>
      <c r="E1185" s="278"/>
      <c r="F1185" s="268"/>
      <c r="G1185" s="269"/>
      <c r="H1185" s="269"/>
      <c r="I1185" s="269"/>
      <c r="J1185" s="269"/>
      <c r="K1185" s="269"/>
      <c r="L1185" s="250"/>
      <c r="M1185" s="149"/>
      <c r="N1185" s="149"/>
      <c r="O1185" s="149"/>
      <c r="P1185" s="149"/>
      <c r="Q1185" s="149"/>
      <c r="R1185" s="149"/>
    </row>
    <row r="1186" spans="1:18" s="154" customFormat="1" ht="20.100000000000001" customHeight="1" x14ac:dyDescent="0.25">
      <c r="A1186" s="177" t="s">
        <v>1704</v>
      </c>
      <c r="B1186" s="171" t="s">
        <v>1714</v>
      </c>
      <c r="C1186" s="171"/>
      <c r="D1186" s="171"/>
      <c r="E1186" s="171"/>
      <c r="F1186" s="243" t="s">
        <v>24</v>
      </c>
      <c r="G1186" s="244" t="s">
        <v>1539</v>
      </c>
      <c r="H1186" s="244" t="s">
        <v>735</v>
      </c>
      <c r="I1186" s="244" t="s">
        <v>724</v>
      </c>
      <c r="J1186" s="244"/>
      <c r="K1186" s="244" t="s">
        <v>50</v>
      </c>
      <c r="L1186" s="250"/>
      <c r="M1186" s="149"/>
      <c r="N1186" s="149"/>
      <c r="O1186" s="149"/>
      <c r="P1186" s="149"/>
      <c r="Q1186" s="149"/>
      <c r="R1186" s="149"/>
    </row>
    <row r="1187" spans="1:18" s="154" customFormat="1" ht="20.100000000000001" customHeight="1" x14ac:dyDescent="0.25">
      <c r="A1187" s="475" t="s">
        <v>1382</v>
      </c>
      <c r="B1187" s="476"/>
      <c r="C1187" s="476"/>
      <c r="D1187" s="476"/>
      <c r="E1187" s="476"/>
      <c r="F1187" s="476"/>
      <c r="G1187" s="476"/>
      <c r="H1187" s="476"/>
      <c r="I1187" s="476"/>
      <c r="J1187" s="476"/>
      <c r="K1187" s="477"/>
      <c r="L1187" s="250"/>
      <c r="M1187" s="149"/>
      <c r="N1187" s="149"/>
      <c r="O1187" s="149"/>
      <c r="P1187" s="149"/>
      <c r="Q1187" s="149"/>
      <c r="R1187" s="149"/>
    </row>
    <row r="1188" spans="1:18" s="154" customFormat="1" ht="20.100000000000001" customHeight="1" x14ac:dyDescent="0.25">
      <c r="A1188" s="267"/>
      <c r="B1188" s="246" t="s">
        <v>1630</v>
      </c>
      <c r="C1188" s="246"/>
      <c r="D1188" s="246"/>
      <c r="E1188" s="246"/>
      <c r="F1188" s="277"/>
      <c r="G1188" s="249">
        <v>2.2999999999999998</v>
      </c>
      <c r="H1188" s="249">
        <v>0.75</v>
      </c>
      <c r="I1188" s="249">
        <v>9</v>
      </c>
      <c r="J1188" s="249"/>
      <c r="K1188" s="249">
        <f>TRUNC(2*(G1188*H1188)*I1188,2)</f>
        <v>31.05</v>
      </c>
      <c r="L1188" s="250"/>
      <c r="M1188" s="149"/>
      <c r="N1188" s="149"/>
      <c r="O1188" s="149"/>
      <c r="P1188" s="149"/>
      <c r="Q1188" s="149"/>
      <c r="R1188" s="149"/>
    </row>
    <row r="1189" spans="1:18" s="154" customFormat="1" ht="20.100000000000001" customHeight="1" x14ac:dyDescent="0.25">
      <c r="A1189" s="267"/>
      <c r="B1189" s="246" t="s">
        <v>809</v>
      </c>
      <c r="C1189" s="246"/>
      <c r="D1189" s="246"/>
      <c r="E1189" s="246"/>
      <c r="F1189" s="277"/>
      <c r="G1189" s="249">
        <v>2.2999999999999998</v>
      </c>
      <c r="H1189" s="249">
        <v>1.5</v>
      </c>
      <c r="I1189" s="249">
        <v>7</v>
      </c>
      <c r="J1189" s="249"/>
      <c r="K1189" s="249">
        <f>TRUNC(2*(G1189*H1189)*I1189,2)</f>
        <v>48.3</v>
      </c>
      <c r="L1189" s="250"/>
      <c r="M1189" s="149"/>
      <c r="N1189" s="149"/>
      <c r="O1189" s="149"/>
      <c r="P1189" s="149"/>
      <c r="Q1189" s="149"/>
      <c r="R1189" s="149"/>
    </row>
    <row r="1190" spans="1:18" s="154" customFormat="1" ht="20.100000000000001" customHeight="1" x14ac:dyDescent="0.25">
      <c r="A1190" s="267"/>
      <c r="B1190" s="246" t="s">
        <v>738</v>
      </c>
      <c r="C1190" s="246"/>
      <c r="D1190" s="246"/>
      <c r="E1190" s="246"/>
      <c r="F1190" s="277"/>
      <c r="G1190" s="249">
        <v>1.75</v>
      </c>
      <c r="H1190" s="249">
        <v>0.75</v>
      </c>
      <c r="I1190" s="249">
        <v>2</v>
      </c>
      <c r="J1190" s="249"/>
      <c r="K1190" s="249">
        <f t="shared" ref="K1190:K1192" si="73">TRUNC(2*(G1190*H1190)*I1190,2)</f>
        <v>5.25</v>
      </c>
      <c r="L1190" s="250"/>
      <c r="M1190" s="149"/>
      <c r="N1190" s="149"/>
      <c r="O1190" s="149"/>
      <c r="P1190" s="149"/>
      <c r="Q1190" s="149"/>
      <c r="R1190" s="149"/>
    </row>
    <row r="1191" spans="1:18" s="154" customFormat="1" ht="20.100000000000001" customHeight="1" x14ac:dyDescent="0.25">
      <c r="A1191" s="267"/>
      <c r="B1191" s="246" t="s">
        <v>737</v>
      </c>
      <c r="C1191" s="246"/>
      <c r="D1191" s="246"/>
      <c r="E1191" s="246"/>
      <c r="F1191" s="277"/>
      <c r="G1191" s="249">
        <v>1.2</v>
      </c>
      <c r="H1191" s="249">
        <v>0.75</v>
      </c>
      <c r="I1191" s="249">
        <v>2</v>
      </c>
      <c r="J1191" s="249"/>
      <c r="K1191" s="249">
        <f t="shared" si="73"/>
        <v>3.6</v>
      </c>
      <c r="L1191" s="250"/>
      <c r="M1191" s="149"/>
      <c r="N1191" s="149"/>
      <c r="O1191" s="149"/>
      <c r="P1191" s="149"/>
      <c r="Q1191" s="149"/>
      <c r="R1191" s="149"/>
    </row>
    <row r="1192" spans="1:18" s="154" customFormat="1" ht="20.100000000000001" customHeight="1" x14ac:dyDescent="0.25">
      <c r="A1192" s="267"/>
      <c r="B1192" s="246" t="s">
        <v>1715</v>
      </c>
      <c r="C1192" s="246"/>
      <c r="D1192" s="246"/>
      <c r="E1192" s="246"/>
      <c r="F1192" s="277"/>
      <c r="G1192" s="249">
        <v>0.6</v>
      </c>
      <c r="H1192" s="249">
        <v>0.4</v>
      </c>
      <c r="I1192" s="249">
        <v>1</v>
      </c>
      <c r="J1192" s="249"/>
      <c r="K1192" s="249">
        <f t="shared" si="73"/>
        <v>0.48</v>
      </c>
      <c r="L1192" s="250"/>
      <c r="M1192" s="149"/>
      <c r="N1192" s="149"/>
      <c r="O1192" s="149"/>
      <c r="P1192" s="149"/>
      <c r="Q1192" s="149"/>
      <c r="R1192" s="149"/>
    </row>
    <row r="1193" spans="1:18" s="154" customFormat="1" ht="20.100000000000001" customHeight="1" x14ac:dyDescent="0.25">
      <c r="A1193" s="475" t="s">
        <v>1384</v>
      </c>
      <c r="B1193" s="476"/>
      <c r="C1193" s="476"/>
      <c r="D1193" s="476"/>
      <c r="E1193" s="476"/>
      <c r="F1193" s="476"/>
      <c r="G1193" s="476"/>
      <c r="H1193" s="476"/>
      <c r="I1193" s="476"/>
      <c r="J1193" s="476"/>
      <c r="K1193" s="477"/>
      <c r="L1193" s="250"/>
      <c r="M1193" s="149"/>
      <c r="N1193" s="149"/>
      <c r="O1193" s="149"/>
      <c r="P1193" s="149"/>
      <c r="Q1193" s="149"/>
      <c r="R1193" s="149"/>
    </row>
    <row r="1194" spans="1:18" s="154" customFormat="1" ht="20.100000000000001" customHeight="1" x14ac:dyDescent="0.25">
      <c r="A1194" s="267"/>
      <c r="B1194" s="246" t="s">
        <v>1630</v>
      </c>
      <c r="C1194" s="246"/>
      <c r="D1194" s="246"/>
      <c r="E1194" s="246"/>
      <c r="F1194" s="277"/>
      <c r="G1194" s="249">
        <v>2.2999999999999998</v>
      </c>
      <c r="H1194" s="249">
        <v>0.75</v>
      </c>
      <c r="I1194" s="249">
        <v>15</v>
      </c>
      <c r="J1194" s="249"/>
      <c r="K1194" s="249">
        <f>TRUNC(2*(G1194*H1194)*I1194,2)</f>
        <v>51.75</v>
      </c>
      <c r="L1194" s="250"/>
      <c r="M1194" s="149"/>
      <c r="N1194" s="149"/>
      <c r="O1194" s="149"/>
      <c r="P1194" s="149"/>
      <c r="Q1194" s="149"/>
      <c r="R1194" s="149"/>
    </row>
    <row r="1195" spans="1:18" s="154" customFormat="1" ht="20.100000000000001" customHeight="1" x14ac:dyDescent="0.25">
      <c r="A1195" s="267"/>
      <c r="B1195" s="246" t="s">
        <v>1716</v>
      </c>
      <c r="C1195" s="246"/>
      <c r="D1195" s="246"/>
      <c r="E1195" s="246"/>
      <c r="F1195" s="277"/>
      <c r="G1195" s="249">
        <v>1.75</v>
      </c>
      <c r="H1195" s="249">
        <v>0.75</v>
      </c>
      <c r="I1195" s="249">
        <v>2</v>
      </c>
      <c r="J1195" s="249"/>
      <c r="K1195" s="249">
        <f>TRUNC(2*(G1195*H1195)*I1195,2)</f>
        <v>5.25</v>
      </c>
      <c r="L1195" s="250"/>
      <c r="M1195" s="149"/>
      <c r="N1195" s="149"/>
      <c r="O1195" s="149"/>
      <c r="P1195" s="149"/>
      <c r="Q1195" s="149"/>
      <c r="R1195" s="149"/>
    </row>
    <row r="1196" spans="1:18" s="154" customFormat="1" ht="20.100000000000001" customHeight="1" x14ac:dyDescent="0.25">
      <c r="A1196" s="267"/>
      <c r="B1196" s="246" t="s">
        <v>1717</v>
      </c>
      <c r="C1196" s="246"/>
      <c r="D1196" s="246"/>
      <c r="E1196" s="246"/>
      <c r="F1196" s="277"/>
      <c r="G1196" s="249">
        <v>1</v>
      </c>
      <c r="H1196" s="249">
        <v>0.8</v>
      </c>
      <c r="I1196" s="249">
        <v>2</v>
      </c>
      <c r="J1196" s="249"/>
      <c r="K1196" s="249">
        <f t="shared" ref="K1196:K1200" si="74">TRUNC(2*(G1196*H1196)*I1196,2)</f>
        <v>3.2</v>
      </c>
      <c r="L1196" s="250"/>
      <c r="M1196" s="149"/>
      <c r="N1196" s="149"/>
      <c r="O1196" s="149"/>
      <c r="P1196" s="149"/>
      <c r="Q1196" s="149"/>
      <c r="R1196" s="149"/>
    </row>
    <row r="1197" spans="1:18" s="154" customFormat="1" ht="20.100000000000001" customHeight="1" x14ac:dyDescent="0.25">
      <c r="A1197" s="267"/>
      <c r="B1197" s="246" t="s">
        <v>1715</v>
      </c>
      <c r="C1197" s="246"/>
      <c r="D1197" s="246"/>
      <c r="E1197" s="246"/>
      <c r="F1197" s="277"/>
      <c r="G1197" s="249">
        <v>0.6</v>
      </c>
      <c r="H1197" s="249">
        <v>0.4</v>
      </c>
      <c r="I1197" s="249">
        <v>3</v>
      </c>
      <c r="J1197" s="249"/>
      <c r="K1197" s="249">
        <f t="shared" si="74"/>
        <v>1.44</v>
      </c>
      <c r="L1197" s="250"/>
      <c r="M1197" s="149"/>
      <c r="N1197" s="149"/>
      <c r="O1197" s="149"/>
      <c r="P1197" s="149"/>
      <c r="Q1197" s="149"/>
      <c r="R1197" s="149"/>
    </row>
    <row r="1198" spans="1:18" s="154" customFormat="1" ht="20.100000000000001" customHeight="1" x14ac:dyDescent="0.25">
      <c r="A1198" s="267"/>
      <c r="B1198" s="246" t="s">
        <v>1718</v>
      </c>
      <c r="C1198" s="246"/>
      <c r="D1198" s="246"/>
      <c r="E1198" s="246"/>
      <c r="F1198" s="277"/>
      <c r="G1198" s="249">
        <v>1.5</v>
      </c>
      <c r="H1198" s="249">
        <v>1.2</v>
      </c>
      <c r="I1198" s="249">
        <v>1</v>
      </c>
      <c r="J1198" s="249"/>
      <c r="K1198" s="249">
        <f t="shared" si="74"/>
        <v>3.6</v>
      </c>
      <c r="L1198" s="250"/>
      <c r="M1198" s="149"/>
      <c r="N1198" s="149"/>
      <c r="O1198" s="149"/>
      <c r="P1198" s="149"/>
      <c r="Q1198" s="149"/>
      <c r="R1198" s="149"/>
    </row>
    <row r="1199" spans="1:18" s="154" customFormat="1" ht="20.100000000000001" customHeight="1" x14ac:dyDescent="0.25">
      <c r="A1199" s="267"/>
      <c r="B1199" s="246" t="s">
        <v>1485</v>
      </c>
      <c r="C1199" s="246"/>
      <c r="D1199" s="246"/>
      <c r="E1199" s="246"/>
      <c r="F1199" s="277"/>
      <c r="G1199" s="249">
        <v>1.4</v>
      </c>
      <c r="H1199" s="249">
        <v>0.7</v>
      </c>
      <c r="I1199" s="249">
        <v>1</v>
      </c>
      <c r="J1199" s="249"/>
      <c r="K1199" s="249">
        <f t="shared" si="74"/>
        <v>1.96</v>
      </c>
      <c r="L1199" s="250"/>
      <c r="M1199" s="149"/>
      <c r="N1199" s="149"/>
      <c r="O1199" s="149"/>
      <c r="P1199" s="149"/>
      <c r="Q1199" s="149"/>
      <c r="R1199" s="149"/>
    </row>
    <row r="1200" spans="1:18" s="154" customFormat="1" ht="20.100000000000001" customHeight="1" x14ac:dyDescent="0.25">
      <c r="A1200" s="267"/>
      <c r="B1200" s="246" t="s">
        <v>1719</v>
      </c>
      <c r="C1200" s="246"/>
      <c r="D1200" s="246"/>
      <c r="E1200" s="246"/>
      <c r="F1200" s="277"/>
      <c r="G1200" s="249">
        <v>2.1</v>
      </c>
      <c r="H1200" s="249">
        <v>1.2</v>
      </c>
      <c r="I1200" s="249">
        <v>1</v>
      </c>
      <c r="J1200" s="249"/>
      <c r="K1200" s="249">
        <f t="shared" si="74"/>
        <v>5.04</v>
      </c>
      <c r="L1200" s="250"/>
      <c r="M1200" s="149"/>
      <c r="N1200" s="149"/>
      <c r="O1200" s="149"/>
      <c r="P1200" s="149"/>
      <c r="Q1200" s="149"/>
      <c r="R1200" s="149"/>
    </row>
    <row r="1201" spans="1:18" s="154" customFormat="1" ht="20.100000000000001" customHeight="1" x14ac:dyDescent="0.25">
      <c r="A1201" s="475" t="s">
        <v>1409</v>
      </c>
      <c r="B1201" s="476"/>
      <c r="C1201" s="476"/>
      <c r="D1201" s="476"/>
      <c r="E1201" s="476"/>
      <c r="F1201" s="476"/>
      <c r="G1201" s="476"/>
      <c r="H1201" s="476"/>
      <c r="I1201" s="476"/>
      <c r="J1201" s="476"/>
      <c r="K1201" s="477"/>
      <c r="L1201" s="250"/>
      <c r="M1201" s="149"/>
      <c r="N1201" s="149"/>
      <c r="O1201" s="149"/>
      <c r="P1201" s="149"/>
      <c r="Q1201" s="149"/>
      <c r="R1201" s="149"/>
    </row>
    <row r="1202" spans="1:18" s="154" customFormat="1" ht="20.100000000000001" customHeight="1" x14ac:dyDescent="0.25">
      <c r="A1202" s="267"/>
      <c r="B1202" s="246" t="s">
        <v>1630</v>
      </c>
      <c r="C1202" s="246"/>
      <c r="D1202" s="246"/>
      <c r="E1202" s="246"/>
      <c r="F1202" s="277"/>
      <c r="G1202" s="249">
        <v>2.2999999999999998</v>
      </c>
      <c r="H1202" s="249">
        <v>0.75</v>
      </c>
      <c r="I1202" s="249">
        <v>16</v>
      </c>
      <c r="J1202" s="249"/>
      <c r="K1202" s="249">
        <f>TRUNC(2*(G1202*H1202)*I1202,2)</f>
        <v>55.2</v>
      </c>
      <c r="L1202" s="250"/>
      <c r="M1202" s="149"/>
      <c r="N1202" s="149"/>
      <c r="O1202" s="149"/>
      <c r="P1202" s="149"/>
      <c r="Q1202" s="149"/>
      <c r="R1202" s="149"/>
    </row>
    <row r="1203" spans="1:18" s="154" customFormat="1" ht="20.100000000000001" customHeight="1" x14ac:dyDescent="0.25">
      <c r="A1203" s="267"/>
      <c r="B1203" s="246" t="s">
        <v>1485</v>
      </c>
      <c r="C1203" s="246"/>
      <c r="D1203" s="246"/>
      <c r="E1203" s="246"/>
      <c r="F1203" s="277"/>
      <c r="G1203" s="249">
        <v>1.4</v>
      </c>
      <c r="H1203" s="249">
        <v>0.7</v>
      </c>
      <c r="I1203" s="249">
        <v>3</v>
      </c>
      <c r="J1203" s="249"/>
      <c r="K1203" s="249">
        <f>TRUNC(2*(G1203*H1203)*I1203,2)</f>
        <v>5.88</v>
      </c>
      <c r="L1203" s="250"/>
      <c r="M1203" s="149"/>
      <c r="N1203" s="149"/>
      <c r="O1203" s="149"/>
      <c r="P1203" s="149"/>
      <c r="Q1203" s="149"/>
      <c r="R1203" s="149"/>
    </row>
    <row r="1204" spans="1:18" s="154" customFormat="1" ht="20.100000000000001" customHeight="1" x14ac:dyDescent="0.25">
      <c r="A1204" s="267"/>
      <c r="B1204" s="246" t="s">
        <v>1720</v>
      </c>
      <c r="C1204" s="246"/>
      <c r="D1204" s="246"/>
      <c r="E1204" s="246"/>
      <c r="F1204" s="277"/>
      <c r="G1204" s="249">
        <v>2.2999999999999998</v>
      </c>
      <c r="H1204" s="249">
        <v>0.8</v>
      </c>
      <c r="I1204" s="249">
        <v>1</v>
      </c>
      <c r="J1204" s="249"/>
      <c r="K1204" s="249">
        <f t="shared" ref="K1204:K1219" si="75">TRUNC(2*(G1204*H1204)*I1204,2)</f>
        <v>3.68</v>
      </c>
      <c r="L1204" s="250"/>
      <c r="M1204" s="149"/>
      <c r="N1204" s="149"/>
      <c r="O1204" s="149"/>
      <c r="P1204" s="149"/>
      <c r="Q1204" s="149"/>
      <c r="R1204" s="149"/>
    </row>
    <row r="1205" spans="1:18" s="154" customFormat="1" ht="20.100000000000001" customHeight="1" x14ac:dyDescent="0.25">
      <c r="A1205" s="267"/>
      <c r="B1205" s="246" t="s">
        <v>809</v>
      </c>
      <c r="C1205" s="246"/>
      <c r="D1205" s="246"/>
      <c r="E1205" s="246"/>
      <c r="F1205" s="277"/>
      <c r="G1205" s="249">
        <v>2.2999999999999998</v>
      </c>
      <c r="H1205" s="249">
        <v>1.5</v>
      </c>
      <c r="I1205" s="249">
        <v>1</v>
      </c>
      <c r="J1205" s="249"/>
      <c r="K1205" s="249">
        <f t="shared" si="75"/>
        <v>6.9</v>
      </c>
      <c r="L1205" s="250"/>
      <c r="M1205" s="149"/>
      <c r="N1205" s="149"/>
      <c r="O1205" s="149"/>
      <c r="P1205" s="149"/>
      <c r="Q1205" s="149"/>
      <c r="R1205" s="149"/>
    </row>
    <row r="1206" spans="1:18" s="154" customFormat="1" ht="20.100000000000001" customHeight="1" x14ac:dyDescent="0.25">
      <c r="A1206" s="475" t="s">
        <v>1411</v>
      </c>
      <c r="B1206" s="476"/>
      <c r="C1206" s="476"/>
      <c r="D1206" s="476"/>
      <c r="E1206" s="476"/>
      <c r="F1206" s="476"/>
      <c r="G1206" s="476"/>
      <c r="H1206" s="476"/>
      <c r="I1206" s="476"/>
      <c r="J1206" s="476"/>
      <c r="K1206" s="477"/>
      <c r="L1206" s="250"/>
      <c r="M1206" s="149"/>
      <c r="N1206" s="149"/>
      <c r="O1206" s="149"/>
      <c r="P1206" s="149"/>
      <c r="Q1206" s="149"/>
      <c r="R1206" s="149"/>
    </row>
    <row r="1207" spans="1:18" s="154" customFormat="1" ht="20.100000000000001" customHeight="1" x14ac:dyDescent="0.25">
      <c r="A1207" s="267"/>
      <c r="B1207" s="246" t="s">
        <v>1721</v>
      </c>
      <c r="C1207" s="246"/>
      <c r="D1207" s="246"/>
      <c r="E1207" s="246"/>
      <c r="F1207" s="277"/>
      <c r="G1207" s="249">
        <v>2.15</v>
      </c>
      <c r="H1207" s="249">
        <v>0.8</v>
      </c>
      <c r="I1207" s="249">
        <v>4</v>
      </c>
      <c r="J1207" s="249"/>
      <c r="K1207" s="249">
        <f t="shared" si="75"/>
        <v>13.76</v>
      </c>
      <c r="L1207" s="250"/>
      <c r="M1207" s="149"/>
      <c r="N1207" s="149"/>
      <c r="O1207" s="149"/>
      <c r="P1207" s="149"/>
      <c r="Q1207" s="149"/>
      <c r="R1207" s="149"/>
    </row>
    <row r="1208" spans="1:18" s="154" customFormat="1" ht="20.100000000000001" customHeight="1" x14ac:dyDescent="0.25">
      <c r="A1208" s="267"/>
      <c r="B1208" s="246" t="s">
        <v>1630</v>
      </c>
      <c r="C1208" s="246"/>
      <c r="D1208" s="246"/>
      <c r="E1208" s="246"/>
      <c r="F1208" s="277"/>
      <c r="G1208" s="249">
        <v>2.2999999999999998</v>
      </c>
      <c r="H1208" s="249">
        <v>0.75</v>
      </c>
      <c r="I1208" s="249">
        <v>7</v>
      </c>
      <c r="J1208" s="249"/>
      <c r="K1208" s="249">
        <f t="shared" si="75"/>
        <v>24.15</v>
      </c>
      <c r="L1208" s="250"/>
      <c r="M1208" s="149"/>
      <c r="N1208" s="149"/>
      <c r="O1208" s="149"/>
      <c r="P1208" s="149"/>
      <c r="Q1208" s="149"/>
      <c r="R1208" s="149"/>
    </row>
    <row r="1209" spans="1:18" s="154" customFormat="1" ht="20.100000000000001" customHeight="1" x14ac:dyDescent="0.25">
      <c r="A1209" s="267"/>
      <c r="B1209" s="246" t="s">
        <v>809</v>
      </c>
      <c r="C1209" s="246"/>
      <c r="D1209" s="246"/>
      <c r="E1209" s="246"/>
      <c r="F1209" s="277"/>
      <c r="G1209" s="249">
        <v>2.2999999999999998</v>
      </c>
      <c r="H1209" s="249">
        <v>1.5</v>
      </c>
      <c r="I1209" s="249">
        <v>4</v>
      </c>
      <c r="J1209" s="249"/>
      <c r="K1209" s="249">
        <f t="shared" si="75"/>
        <v>27.6</v>
      </c>
      <c r="L1209" s="250"/>
      <c r="M1209" s="149"/>
      <c r="N1209" s="149"/>
      <c r="O1209" s="149"/>
      <c r="P1209" s="149"/>
      <c r="Q1209" s="149"/>
      <c r="R1209" s="149"/>
    </row>
    <row r="1210" spans="1:18" s="154" customFormat="1" ht="20.100000000000001" customHeight="1" x14ac:dyDescent="0.25">
      <c r="A1210" s="267"/>
      <c r="B1210" s="246" t="s">
        <v>1722</v>
      </c>
      <c r="C1210" s="246"/>
      <c r="D1210" s="246"/>
      <c r="E1210" s="246"/>
      <c r="F1210" s="277"/>
      <c r="G1210" s="249">
        <v>2.2999999999999998</v>
      </c>
      <c r="H1210" s="249">
        <v>2.25</v>
      </c>
      <c r="I1210" s="249">
        <v>8</v>
      </c>
      <c r="J1210" s="249"/>
      <c r="K1210" s="249">
        <f t="shared" si="75"/>
        <v>82.8</v>
      </c>
      <c r="L1210" s="250"/>
      <c r="M1210" s="149"/>
      <c r="N1210" s="149"/>
      <c r="O1210" s="149"/>
      <c r="P1210" s="149"/>
      <c r="Q1210" s="149"/>
      <c r="R1210" s="149"/>
    </row>
    <row r="1211" spans="1:18" s="154" customFormat="1" ht="18.75" customHeight="1" x14ac:dyDescent="0.25">
      <c r="A1211" s="475" t="s">
        <v>1413</v>
      </c>
      <c r="B1211" s="476"/>
      <c r="C1211" s="476"/>
      <c r="D1211" s="476"/>
      <c r="E1211" s="476"/>
      <c r="F1211" s="476"/>
      <c r="G1211" s="476"/>
      <c r="H1211" s="476"/>
      <c r="I1211" s="476"/>
      <c r="J1211" s="476"/>
      <c r="K1211" s="477"/>
      <c r="L1211" s="250"/>
      <c r="M1211" s="149"/>
      <c r="N1211" s="149"/>
      <c r="O1211" s="149"/>
      <c r="P1211" s="149"/>
      <c r="Q1211" s="149"/>
      <c r="R1211" s="149"/>
    </row>
    <row r="1212" spans="1:18" s="154" customFormat="1" ht="18.75" customHeight="1" x14ac:dyDescent="0.25">
      <c r="A1212" s="267"/>
      <c r="B1212" s="246" t="s">
        <v>1723</v>
      </c>
      <c r="C1212" s="246"/>
      <c r="D1212" s="246"/>
      <c r="E1212" s="246"/>
      <c r="F1212" s="277"/>
      <c r="G1212" s="249">
        <v>1.5</v>
      </c>
      <c r="H1212" s="249">
        <v>1.2</v>
      </c>
      <c r="I1212" s="249">
        <v>1</v>
      </c>
      <c r="J1212" s="249"/>
      <c r="K1212" s="249">
        <f t="shared" si="75"/>
        <v>3.6</v>
      </c>
      <c r="L1212" s="250"/>
      <c r="M1212" s="149"/>
      <c r="N1212" s="149"/>
      <c r="O1212" s="149"/>
      <c r="P1212" s="149"/>
      <c r="Q1212" s="149"/>
      <c r="R1212" s="149"/>
    </row>
    <row r="1213" spans="1:18" s="154" customFormat="1" ht="18.75" customHeight="1" x14ac:dyDescent="0.25">
      <c r="A1213" s="267"/>
      <c r="B1213" s="246" t="s">
        <v>1715</v>
      </c>
      <c r="C1213" s="246"/>
      <c r="D1213" s="246"/>
      <c r="E1213" s="246"/>
      <c r="F1213" s="277"/>
      <c r="G1213" s="249">
        <v>0.6</v>
      </c>
      <c r="H1213" s="249">
        <v>0.4</v>
      </c>
      <c r="I1213" s="249">
        <v>1</v>
      </c>
      <c r="J1213" s="249"/>
      <c r="K1213" s="249">
        <f t="shared" si="75"/>
        <v>0.48</v>
      </c>
      <c r="L1213" s="250"/>
      <c r="M1213" s="149"/>
      <c r="N1213" s="149"/>
      <c r="O1213" s="149"/>
      <c r="P1213" s="149"/>
      <c r="Q1213" s="149"/>
      <c r="R1213" s="149"/>
    </row>
    <row r="1214" spans="1:18" s="154" customFormat="1" ht="18.75" customHeight="1" x14ac:dyDescent="0.25">
      <c r="A1214" s="267"/>
      <c r="B1214" s="246" t="s">
        <v>1724</v>
      </c>
      <c r="C1214" s="246"/>
      <c r="D1214" s="246"/>
      <c r="E1214" s="246"/>
      <c r="F1214" s="277"/>
      <c r="G1214" s="249">
        <v>2</v>
      </c>
      <c r="H1214" s="249">
        <v>1.1000000000000001</v>
      </c>
      <c r="I1214" s="249">
        <v>2</v>
      </c>
      <c r="J1214" s="249"/>
      <c r="K1214" s="249">
        <f t="shared" si="75"/>
        <v>8.8000000000000007</v>
      </c>
      <c r="L1214" s="250"/>
      <c r="M1214" s="149"/>
      <c r="N1214" s="149"/>
      <c r="O1214" s="149"/>
      <c r="P1214" s="149"/>
      <c r="Q1214" s="149"/>
      <c r="R1214" s="149"/>
    </row>
    <row r="1215" spans="1:18" s="154" customFormat="1" ht="18.75" customHeight="1" x14ac:dyDescent="0.25">
      <c r="A1215" s="267"/>
      <c r="B1215" s="246" t="s">
        <v>1630</v>
      </c>
      <c r="C1215" s="246"/>
      <c r="D1215" s="246"/>
      <c r="E1215" s="246"/>
      <c r="F1215" s="277"/>
      <c r="G1215" s="249">
        <v>2.2999999999999998</v>
      </c>
      <c r="H1215" s="249">
        <v>0.75</v>
      </c>
      <c r="I1215" s="249">
        <v>4</v>
      </c>
      <c r="J1215" s="249"/>
      <c r="K1215" s="249">
        <f t="shared" si="75"/>
        <v>13.8</v>
      </c>
      <c r="L1215" s="250"/>
      <c r="M1215" s="149"/>
      <c r="N1215" s="149"/>
      <c r="O1215" s="149"/>
      <c r="P1215" s="149"/>
      <c r="Q1215" s="149"/>
      <c r="R1215" s="149"/>
    </row>
    <row r="1216" spans="1:18" s="154" customFormat="1" ht="18.75" customHeight="1" x14ac:dyDescent="0.25">
      <c r="A1216" s="267"/>
      <c r="B1216" s="246" t="s">
        <v>809</v>
      </c>
      <c r="C1216" s="246"/>
      <c r="D1216" s="246"/>
      <c r="E1216" s="246"/>
      <c r="F1216" s="277"/>
      <c r="G1216" s="249">
        <v>2.2999999999999998</v>
      </c>
      <c r="H1216" s="249">
        <v>1.5</v>
      </c>
      <c r="I1216" s="249">
        <v>7</v>
      </c>
      <c r="J1216" s="249"/>
      <c r="K1216" s="249">
        <f t="shared" si="75"/>
        <v>48.3</v>
      </c>
      <c r="L1216" s="250"/>
      <c r="M1216" s="149"/>
      <c r="N1216" s="149"/>
      <c r="O1216" s="149"/>
      <c r="P1216" s="149"/>
      <c r="Q1216" s="149"/>
      <c r="R1216" s="149"/>
    </row>
    <row r="1217" spans="1:20" s="154" customFormat="1" ht="18.75" customHeight="1" x14ac:dyDescent="0.25">
      <c r="A1217" s="267"/>
      <c r="B1217" s="246" t="s">
        <v>1724</v>
      </c>
      <c r="C1217" s="246"/>
      <c r="D1217" s="246"/>
      <c r="E1217" s="246"/>
      <c r="F1217" s="277"/>
      <c r="G1217" s="249">
        <v>2</v>
      </c>
      <c r="H1217" s="249">
        <v>1.1000000000000001</v>
      </c>
      <c r="I1217" s="249">
        <v>3</v>
      </c>
      <c r="J1217" s="249"/>
      <c r="K1217" s="249">
        <f t="shared" si="75"/>
        <v>13.2</v>
      </c>
      <c r="L1217" s="250"/>
      <c r="M1217" s="149"/>
      <c r="N1217" s="149"/>
      <c r="O1217" s="149"/>
      <c r="P1217" s="149"/>
      <c r="Q1217" s="149"/>
      <c r="R1217" s="149"/>
    </row>
    <row r="1218" spans="1:20" s="154" customFormat="1" ht="18.75" customHeight="1" x14ac:dyDescent="0.25">
      <c r="A1218" s="267"/>
      <c r="B1218" s="246" t="s">
        <v>1725</v>
      </c>
      <c r="C1218" s="246"/>
      <c r="D1218" s="246"/>
      <c r="E1218" s="246"/>
      <c r="F1218" s="277"/>
      <c r="G1218" s="249">
        <v>1</v>
      </c>
      <c r="H1218" s="249">
        <v>0.75</v>
      </c>
      <c r="I1218" s="249">
        <v>2</v>
      </c>
      <c r="J1218" s="249"/>
      <c r="K1218" s="249">
        <f t="shared" si="75"/>
        <v>3</v>
      </c>
      <c r="L1218" s="250"/>
      <c r="M1218" s="149"/>
      <c r="N1218" s="149"/>
      <c r="O1218" s="149"/>
      <c r="P1218" s="149"/>
      <c r="Q1218" s="149"/>
      <c r="R1218" s="149"/>
    </row>
    <row r="1219" spans="1:20" s="154" customFormat="1" ht="18.75" customHeight="1" x14ac:dyDescent="0.25">
      <c r="A1219" s="267"/>
      <c r="B1219" s="246" t="s">
        <v>1726</v>
      </c>
      <c r="C1219" s="246"/>
      <c r="D1219" s="246"/>
      <c r="E1219" s="246"/>
      <c r="F1219" s="277"/>
      <c r="G1219" s="249">
        <v>0.7</v>
      </c>
      <c r="H1219" s="249">
        <v>0.7</v>
      </c>
      <c r="I1219" s="249">
        <v>1</v>
      </c>
      <c r="J1219" s="249"/>
      <c r="K1219" s="249">
        <f t="shared" si="75"/>
        <v>0.98</v>
      </c>
      <c r="L1219" s="250"/>
      <c r="M1219" s="149"/>
      <c r="N1219" s="149"/>
      <c r="O1219" s="149"/>
      <c r="P1219" s="149"/>
      <c r="Q1219" s="149"/>
      <c r="R1219" s="149"/>
    </row>
    <row r="1220" spans="1:20" s="154" customFormat="1" ht="20.100000000000001" customHeight="1" x14ac:dyDescent="0.25">
      <c r="A1220" s="470" t="s">
        <v>163</v>
      </c>
      <c r="B1220" s="471"/>
      <c r="C1220" s="471"/>
      <c r="D1220" s="471"/>
      <c r="E1220" s="471"/>
      <c r="F1220" s="472"/>
      <c r="G1220" s="472"/>
      <c r="H1220" s="472"/>
      <c r="I1220" s="274"/>
      <c r="J1220" s="275"/>
      <c r="K1220" s="252">
        <f>SUM(K1188:K1219)</f>
        <v>473.05000000000013</v>
      </c>
      <c r="L1220" s="250"/>
      <c r="M1220" s="149"/>
      <c r="N1220" s="149"/>
      <c r="O1220" s="149"/>
      <c r="P1220" s="149"/>
      <c r="Q1220" s="149"/>
      <c r="R1220" s="149"/>
    </row>
    <row r="1221" spans="1:20" s="154" customFormat="1" ht="20.100000000000001" customHeight="1" x14ac:dyDescent="0.25">
      <c r="A1221" s="177" t="s">
        <v>1704</v>
      </c>
      <c r="B1221" s="171" t="s">
        <v>1727</v>
      </c>
      <c r="C1221" s="171"/>
      <c r="D1221" s="171"/>
      <c r="E1221" s="171"/>
      <c r="F1221" s="243" t="s">
        <v>701</v>
      </c>
      <c r="G1221" s="244"/>
      <c r="H1221" s="244"/>
      <c r="I1221" s="244"/>
      <c r="J1221" s="244"/>
      <c r="K1221" s="244" t="s">
        <v>50</v>
      </c>
      <c r="L1221" s="250"/>
      <c r="M1221" s="149"/>
      <c r="N1221" s="149"/>
      <c r="O1221" s="149"/>
      <c r="P1221" s="149"/>
      <c r="Q1221" s="149"/>
      <c r="R1221" s="149"/>
    </row>
    <row r="1222" spans="1:20" s="154" customFormat="1" ht="20.100000000000001" customHeight="1" x14ac:dyDescent="0.25">
      <c r="A1222" s="267"/>
      <c r="B1222" s="246" t="s">
        <v>1728</v>
      </c>
      <c r="C1222" s="246"/>
      <c r="D1222" s="246"/>
      <c r="E1222" s="246"/>
      <c r="F1222" s="277"/>
      <c r="G1222" s="249"/>
      <c r="H1222" s="249"/>
      <c r="I1222" s="249">
        <f>61+59.93</f>
        <v>120.93</v>
      </c>
      <c r="J1222" s="249"/>
      <c r="K1222" s="249">
        <f>I1222</f>
        <v>120.93</v>
      </c>
      <c r="L1222" s="250"/>
      <c r="M1222" s="149"/>
      <c r="N1222" s="149"/>
      <c r="O1222" s="149"/>
      <c r="P1222" s="149"/>
      <c r="Q1222" s="149"/>
      <c r="R1222" s="149"/>
    </row>
    <row r="1223" spans="1:20" s="154" customFormat="1" ht="20.100000000000001" customHeight="1" x14ac:dyDescent="0.25">
      <c r="A1223" s="470" t="s">
        <v>163</v>
      </c>
      <c r="B1223" s="471"/>
      <c r="C1223" s="471"/>
      <c r="D1223" s="471"/>
      <c r="E1223" s="471"/>
      <c r="F1223" s="472"/>
      <c r="G1223" s="472"/>
      <c r="H1223" s="472"/>
      <c r="I1223" s="274"/>
      <c r="J1223" s="275"/>
      <c r="K1223" s="252">
        <f>SUM(K1222)</f>
        <v>120.93</v>
      </c>
      <c r="L1223" s="250"/>
      <c r="M1223" s="149"/>
      <c r="N1223" s="149"/>
      <c r="O1223" s="149"/>
      <c r="P1223" s="149"/>
      <c r="Q1223" s="149"/>
      <c r="R1223" s="149"/>
    </row>
    <row r="1224" spans="1:20" s="154" customFormat="1" ht="20.100000000000001" customHeight="1" x14ac:dyDescent="0.25">
      <c r="A1224" s="177" t="s">
        <v>1704</v>
      </c>
      <c r="B1224" s="171" t="s">
        <v>1729</v>
      </c>
      <c r="C1224" s="171"/>
      <c r="D1224" s="171"/>
      <c r="E1224" s="171"/>
      <c r="F1224" s="243" t="s">
        <v>24</v>
      </c>
      <c r="G1224" s="244"/>
      <c r="H1224" s="244"/>
      <c r="I1224" s="244"/>
      <c r="J1224" s="244"/>
      <c r="K1224" s="244" t="s">
        <v>50</v>
      </c>
      <c r="L1224" s="250"/>
      <c r="M1224" s="149"/>
      <c r="N1224" s="149"/>
      <c r="O1224" s="149"/>
      <c r="P1224" s="149"/>
      <c r="Q1224" s="149"/>
      <c r="R1224" s="149"/>
    </row>
    <row r="1225" spans="1:20" s="154" customFormat="1" ht="20.100000000000001" customHeight="1" x14ac:dyDescent="0.25">
      <c r="A1225" s="267"/>
      <c r="B1225" s="246" t="s">
        <v>1730</v>
      </c>
      <c r="C1225" s="246"/>
      <c r="D1225" s="246"/>
      <c r="E1225" s="246"/>
      <c r="F1225" s="277"/>
      <c r="G1225" s="249"/>
      <c r="H1225" s="249"/>
      <c r="I1225" s="249">
        <f>1.6*10</f>
        <v>16</v>
      </c>
      <c r="J1225" s="249"/>
      <c r="K1225" s="249">
        <f>I1225</f>
        <v>16</v>
      </c>
      <c r="L1225" s="250"/>
      <c r="M1225" s="149"/>
      <c r="N1225" s="149"/>
      <c r="O1225" s="149"/>
      <c r="P1225" s="149"/>
      <c r="Q1225" s="149"/>
      <c r="R1225" s="149"/>
    </row>
    <row r="1226" spans="1:20" s="154" customFormat="1" ht="20.100000000000001" customHeight="1" x14ac:dyDescent="0.25">
      <c r="A1226" s="470" t="s">
        <v>163</v>
      </c>
      <c r="B1226" s="471"/>
      <c r="C1226" s="471"/>
      <c r="D1226" s="471"/>
      <c r="E1226" s="471"/>
      <c r="F1226" s="472"/>
      <c r="G1226" s="472"/>
      <c r="H1226" s="472"/>
      <c r="I1226" s="274"/>
      <c r="J1226" s="275"/>
      <c r="K1226" s="252">
        <f>SUM(K1225)</f>
        <v>16</v>
      </c>
      <c r="L1226" s="250"/>
      <c r="M1226" s="149"/>
      <c r="N1226" s="149"/>
      <c r="O1226" s="149"/>
      <c r="P1226" s="149"/>
      <c r="Q1226" s="149"/>
      <c r="R1226" s="149"/>
    </row>
    <row r="1227" spans="1:20" s="154" customFormat="1" ht="20.100000000000001" customHeight="1" x14ac:dyDescent="0.25">
      <c r="A1227" s="478" t="s">
        <v>1731</v>
      </c>
      <c r="B1227" s="478"/>
      <c r="C1227" s="478"/>
      <c r="D1227" s="478"/>
      <c r="E1227" s="478"/>
      <c r="F1227" s="478"/>
      <c r="G1227" s="478"/>
      <c r="H1227" s="478"/>
      <c r="I1227" s="478"/>
      <c r="J1227" s="478"/>
      <c r="K1227" s="478"/>
      <c r="L1227" s="250"/>
      <c r="M1227" s="149"/>
      <c r="N1227" s="149"/>
      <c r="O1227" s="149"/>
      <c r="P1227" s="149"/>
      <c r="Q1227" s="149"/>
      <c r="R1227" s="149"/>
    </row>
    <row r="1228" spans="1:20" s="154" customFormat="1" ht="20.100000000000001" customHeight="1" x14ac:dyDescent="0.25">
      <c r="A1228" s="177" t="s">
        <v>1704</v>
      </c>
      <c r="B1228" s="171" t="s">
        <v>1732</v>
      </c>
      <c r="C1228" s="171"/>
      <c r="D1228" s="171"/>
      <c r="E1228" s="171"/>
      <c r="F1228" s="243" t="s">
        <v>24</v>
      </c>
      <c r="G1228" s="244"/>
      <c r="H1228" s="244"/>
      <c r="I1228" s="244"/>
      <c r="J1228" s="244"/>
      <c r="K1228" s="244" t="s">
        <v>50</v>
      </c>
      <c r="L1228" s="250"/>
      <c r="M1228" s="149"/>
      <c r="N1228" s="149"/>
      <c r="O1228" s="149"/>
      <c r="P1228" s="149"/>
      <c r="Q1228" s="149"/>
      <c r="R1228" s="149"/>
    </row>
    <row r="1229" spans="1:20" x14ac:dyDescent="0.25">
      <c r="A1229" s="245"/>
      <c r="B1229" s="246" t="s">
        <v>1732</v>
      </c>
      <c r="C1229" s="246"/>
      <c r="D1229" s="246"/>
      <c r="E1229" s="246"/>
      <c r="F1229" s="247"/>
      <c r="G1229" s="248"/>
      <c r="H1229" s="249"/>
      <c r="I1229" s="249">
        <v>126.48</v>
      </c>
      <c r="J1229" s="248"/>
      <c r="K1229" s="249">
        <f>I1229</f>
        <v>126.48</v>
      </c>
      <c r="L1229" s="250"/>
      <c r="Q1229" s="149"/>
      <c r="R1229" s="149"/>
      <c r="T1229" s="279"/>
    </row>
    <row r="1230" spans="1:20" s="154" customFormat="1" ht="20.100000000000001" customHeight="1" x14ac:dyDescent="0.25">
      <c r="A1230" s="470" t="s">
        <v>163</v>
      </c>
      <c r="B1230" s="471"/>
      <c r="C1230" s="471"/>
      <c r="D1230" s="471"/>
      <c r="E1230" s="471"/>
      <c r="F1230" s="472"/>
      <c r="G1230" s="472"/>
      <c r="H1230" s="472"/>
      <c r="I1230" s="274"/>
      <c r="J1230" s="275"/>
      <c r="K1230" s="252">
        <f>SUM(K1229)</f>
        <v>126.48</v>
      </c>
      <c r="L1230" s="250"/>
      <c r="M1230" s="149"/>
      <c r="N1230" s="149"/>
      <c r="O1230" s="149"/>
      <c r="P1230" s="149"/>
      <c r="Q1230" s="149"/>
      <c r="R1230" s="149"/>
    </row>
    <row r="1231" spans="1:20" s="154" customFormat="1" ht="20.100000000000001" customHeight="1" x14ac:dyDescent="0.25">
      <c r="A1231" s="177" t="s">
        <v>3</v>
      </c>
      <c r="B1231" s="171" t="s">
        <v>1733</v>
      </c>
      <c r="C1231" s="171"/>
      <c r="D1231" s="171"/>
      <c r="E1231" s="171"/>
      <c r="F1231" s="243" t="s">
        <v>230</v>
      </c>
      <c r="G1231" s="244"/>
      <c r="H1231" s="244"/>
      <c r="I1231" s="244" t="s">
        <v>705</v>
      </c>
      <c r="J1231" s="244"/>
      <c r="K1231" s="244" t="s">
        <v>50</v>
      </c>
      <c r="L1231" s="250"/>
      <c r="M1231" s="149"/>
      <c r="N1231" s="149"/>
      <c r="O1231" s="149"/>
      <c r="P1231" s="149"/>
      <c r="Q1231" s="149"/>
      <c r="R1231" s="149"/>
    </row>
    <row r="1232" spans="1:20" s="154" customFormat="1" ht="20.100000000000001" customHeight="1" x14ac:dyDescent="0.25">
      <c r="A1232" s="475" t="s">
        <v>1382</v>
      </c>
      <c r="B1232" s="476"/>
      <c r="C1232" s="476"/>
      <c r="D1232" s="476"/>
      <c r="E1232" s="476"/>
      <c r="F1232" s="476"/>
      <c r="G1232" s="476"/>
      <c r="H1232" s="476"/>
      <c r="I1232" s="476"/>
      <c r="J1232" s="476"/>
      <c r="K1232" s="477"/>
      <c r="L1232" s="250"/>
      <c r="M1232" s="149"/>
      <c r="N1232" s="149"/>
      <c r="O1232" s="149"/>
      <c r="P1232" s="149"/>
      <c r="Q1232" s="149"/>
      <c r="R1232" s="149"/>
    </row>
    <row r="1233" spans="1:18" s="166" customFormat="1" ht="20.100000000000001" customHeight="1" x14ac:dyDescent="0.25">
      <c r="A1233" s="245"/>
      <c r="B1233" s="246" t="s">
        <v>1405</v>
      </c>
      <c r="C1233" s="246"/>
      <c r="D1233" s="246"/>
      <c r="E1233" s="246"/>
      <c r="F1233" s="247"/>
      <c r="G1233" s="248"/>
      <c r="H1233" s="249"/>
      <c r="I1233" s="249">
        <v>4.53</v>
      </c>
      <c r="J1233" s="248"/>
      <c r="K1233" s="249">
        <f>I1233</f>
        <v>4.53</v>
      </c>
      <c r="L1233" s="250"/>
      <c r="M1233" s="149"/>
    </row>
    <row r="1234" spans="1:18" s="166" customFormat="1" ht="20.100000000000001" customHeight="1" x14ac:dyDescent="0.25">
      <c r="A1234" s="245"/>
      <c r="B1234" s="246" t="s">
        <v>1406</v>
      </c>
      <c r="C1234" s="246"/>
      <c r="D1234" s="246"/>
      <c r="E1234" s="246"/>
      <c r="F1234" s="247"/>
      <c r="G1234" s="248"/>
      <c r="H1234" s="249"/>
      <c r="I1234" s="249">
        <v>8.2899999999999991</v>
      </c>
      <c r="J1234" s="248"/>
      <c r="K1234" s="249">
        <f t="shared" ref="K1234:K1235" si="76">I1234</f>
        <v>8.2899999999999991</v>
      </c>
      <c r="L1234" s="250"/>
      <c r="M1234" s="149"/>
    </row>
    <row r="1235" spans="1:18" s="166" customFormat="1" ht="20.100000000000001" customHeight="1" x14ac:dyDescent="0.25">
      <c r="A1235" s="245"/>
      <c r="B1235" s="246" t="s">
        <v>1407</v>
      </c>
      <c r="C1235" s="246"/>
      <c r="D1235" s="246"/>
      <c r="E1235" s="246"/>
      <c r="F1235" s="247"/>
      <c r="G1235" s="248"/>
      <c r="H1235" s="249"/>
      <c r="I1235" s="249">
        <v>8.2899999999999991</v>
      </c>
      <c r="J1235" s="248"/>
      <c r="K1235" s="249">
        <f t="shared" si="76"/>
        <v>8.2899999999999991</v>
      </c>
      <c r="L1235" s="250"/>
      <c r="M1235" s="149"/>
    </row>
    <row r="1236" spans="1:18" s="154" customFormat="1" ht="18.75" customHeight="1" x14ac:dyDescent="0.25">
      <c r="A1236" s="470" t="s">
        <v>163</v>
      </c>
      <c r="B1236" s="471"/>
      <c r="C1236" s="471"/>
      <c r="D1236" s="471"/>
      <c r="E1236" s="471"/>
      <c r="F1236" s="472"/>
      <c r="G1236" s="472"/>
      <c r="H1236" s="472"/>
      <c r="I1236" s="472"/>
      <c r="J1236" s="472"/>
      <c r="K1236" s="252">
        <f>SUM(K1233:K1235)</f>
        <v>21.11</v>
      </c>
      <c r="L1236" s="250"/>
      <c r="M1236" s="149"/>
      <c r="N1236" s="149"/>
      <c r="O1236" s="149"/>
      <c r="P1236" s="149"/>
      <c r="Q1236" s="149"/>
      <c r="R1236" s="149"/>
    </row>
    <row r="1237" spans="1:18" s="154" customFormat="1" ht="20.100000000000001" customHeight="1" x14ac:dyDescent="0.25">
      <c r="A1237" s="177" t="s">
        <v>3</v>
      </c>
      <c r="B1237" s="171" t="s">
        <v>1734</v>
      </c>
      <c r="C1237" s="171"/>
      <c r="D1237" s="171"/>
      <c r="E1237" s="171"/>
      <c r="F1237" s="243" t="s">
        <v>230</v>
      </c>
      <c r="G1237" s="244"/>
      <c r="H1237" s="244"/>
      <c r="I1237" s="244" t="s">
        <v>705</v>
      </c>
      <c r="J1237" s="244"/>
      <c r="K1237" s="244" t="s">
        <v>50</v>
      </c>
      <c r="L1237" s="250"/>
      <c r="M1237" s="149"/>
      <c r="N1237" s="149"/>
      <c r="O1237" s="149"/>
      <c r="P1237" s="149"/>
      <c r="Q1237" s="149"/>
      <c r="R1237" s="149"/>
    </row>
    <row r="1238" spans="1:18" s="154" customFormat="1" ht="20.100000000000001" customHeight="1" x14ac:dyDescent="0.25">
      <c r="A1238" s="475" t="s">
        <v>1384</v>
      </c>
      <c r="B1238" s="476"/>
      <c r="C1238" s="476"/>
      <c r="D1238" s="476"/>
      <c r="E1238" s="476"/>
      <c r="F1238" s="476"/>
      <c r="G1238" s="476"/>
      <c r="H1238" s="476"/>
      <c r="I1238" s="476"/>
      <c r="J1238" s="476"/>
      <c r="K1238" s="477"/>
      <c r="L1238" s="250"/>
      <c r="M1238" s="149"/>
      <c r="N1238" s="149"/>
      <c r="O1238" s="149"/>
      <c r="P1238" s="149"/>
      <c r="Q1238" s="149"/>
      <c r="R1238" s="149"/>
    </row>
    <row r="1239" spans="1:18" s="166" customFormat="1" ht="20.100000000000001" customHeight="1" x14ac:dyDescent="0.25">
      <c r="A1239" s="245"/>
      <c r="B1239" s="246" t="s">
        <v>810</v>
      </c>
      <c r="C1239" s="246"/>
      <c r="D1239" s="246"/>
      <c r="E1239" s="246"/>
      <c r="F1239" s="247"/>
      <c r="G1239" s="248"/>
      <c r="H1239" s="249"/>
      <c r="I1239" s="249">
        <v>13.3</v>
      </c>
      <c r="J1239" s="248"/>
      <c r="K1239" s="249">
        <f>I1239</f>
        <v>13.3</v>
      </c>
      <c r="L1239" s="250"/>
      <c r="M1239" s="149"/>
    </row>
    <row r="1240" spans="1:18" s="166" customFormat="1" ht="20.100000000000001" customHeight="1" x14ac:dyDescent="0.25">
      <c r="A1240" s="245"/>
      <c r="B1240" s="246" t="s">
        <v>1602</v>
      </c>
      <c r="C1240" s="246"/>
      <c r="D1240" s="246"/>
      <c r="E1240" s="246"/>
      <c r="F1240" s="247"/>
      <c r="G1240" s="248"/>
      <c r="H1240" s="249"/>
      <c r="I1240" s="249">
        <v>5.32</v>
      </c>
      <c r="J1240" s="248"/>
      <c r="K1240" s="249">
        <f t="shared" ref="K1240:K1263" si="77">I1240</f>
        <v>5.32</v>
      </c>
      <c r="L1240" s="250"/>
      <c r="M1240" s="149"/>
    </row>
    <row r="1241" spans="1:18" s="166" customFormat="1" ht="20.100000000000001" customHeight="1" x14ac:dyDescent="0.25">
      <c r="A1241" s="245"/>
      <c r="B1241" s="246" t="s">
        <v>1622</v>
      </c>
      <c r="C1241" s="246"/>
      <c r="D1241" s="246"/>
      <c r="E1241" s="246"/>
      <c r="F1241" s="247"/>
      <c r="G1241" s="248"/>
      <c r="H1241" s="249"/>
      <c r="I1241" s="249">
        <v>34.799999999999997</v>
      </c>
      <c r="J1241" s="248"/>
      <c r="K1241" s="249">
        <f t="shared" si="77"/>
        <v>34.799999999999997</v>
      </c>
      <c r="L1241" s="250"/>
      <c r="M1241" s="149"/>
    </row>
    <row r="1242" spans="1:18" s="166" customFormat="1" ht="20.100000000000001" customHeight="1" x14ac:dyDescent="0.25">
      <c r="A1242" s="245"/>
      <c r="B1242" s="246" t="s">
        <v>1552</v>
      </c>
      <c r="C1242" s="246"/>
      <c r="D1242" s="246"/>
      <c r="E1242" s="246"/>
      <c r="F1242" s="247"/>
      <c r="G1242" s="248"/>
      <c r="H1242" s="249"/>
      <c r="I1242" s="249">
        <v>7.39</v>
      </c>
      <c r="J1242" s="248"/>
      <c r="K1242" s="249">
        <f t="shared" si="77"/>
        <v>7.39</v>
      </c>
      <c r="L1242" s="250"/>
      <c r="M1242" s="149"/>
    </row>
    <row r="1243" spans="1:18" s="166" customFormat="1" ht="20.100000000000001" customHeight="1" x14ac:dyDescent="0.25">
      <c r="A1243" s="245"/>
      <c r="B1243" s="246" t="s">
        <v>811</v>
      </c>
      <c r="C1243" s="246"/>
      <c r="D1243" s="246"/>
      <c r="E1243" s="246"/>
      <c r="F1243" s="247"/>
      <c r="G1243" s="248"/>
      <c r="H1243" s="249"/>
      <c r="I1243" s="249">
        <v>8.18</v>
      </c>
      <c r="J1243" s="248"/>
      <c r="K1243" s="249">
        <f t="shared" si="77"/>
        <v>8.18</v>
      </c>
      <c r="L1243" s="250"/>
      <c r="M1243" s="149"/>
    </row>
    <row r="1244" spans="1:18" s="166" customFormat="1" ht="20.100000000000001" customHeight="1" x14ac:dyDescent="0.25">
      <c r="A1244" s="245"/>
      <c r="B1244" s="246" t="s">
        <v>1668</v>
      </c>
      <c r="C1244" s="246"/>
      <c r="D1244" s="246"/>
      <c r="E1244" s="246"/>
      <c r="F1244" s="247"/>
      <c r="G1244" s="248"/>
      <c r="H1244" s="249"/>
      <c r="I1244" s="249">
        <v>3.54</v>
      </c>
      <c r="J1244" s="248"/>
      <c r="K1244" s="249">
        <f t="shared" si="77"/>
        <v>3.54</v>
      </c>
      <c r="L1244" s="250"/>
      <c r="M1244" s="149"/>
    </row>
    <row r="1245" spans="1:18" s="166" customFormat="1" ht="20.100000000000001" customHeight="1" x14ac:dyDescent="0.25">
      <c r="A1245" s="245"/>
      <c r="B1245" s="246" t="s">
        <v>1669</v>
      </c>
      <c r="C1245" s="246"/>
      <c r="D1245" s="246"/>
      <c r="E1245" s="246"/>
      <c r="F1245" s="247"/>
      <c r="G1245" s="248"/>
      <c r="H1245" s="249"/>
      <c r="I1245" s="249">
        <v>4.1100000000000003</v>
      </c>
      <c r="J1245" s="248"/>
      <c r="K1245" s="249">
        <f t="shared" si="77"/>
        <v>4.1100000000000003</v>
      </c>
      <c r="L1245" s="250"/>
      <c r="M1245" s="149"/>
    </row>
    <row r="1246" spans="1:18" s="166" customFormat="1" ht="20.100000000000001" customHeight="1" x14ac:dyDescent="0.25">
      <c r="A1246" s="245"/>
      <c r="B1246" s="246" t="s">
        <v>1701</v>
      </c>
      <c r="C1246" s="246"/>
      <c r="D1246" s="246"/>
      <c r="E1246" s="246"/>
      <c r="F1246" s="247"/>
      <c r="G1246" s="248"/>
      <c r="H1246" s="249"/>
      <c r="I1246" s="249">
        <v>5.15</v>
      </c>
      <c r="J1246" s="248"/>
      <c r="K1246" s="249">
        <f t="shared" si="77"/>
        <v>5.15</v>
      </c>
      <c r="L1246" s="250"/>
      <c r="M1246" s="149"/>
    </row>
    <row r="1247" spans="1:18" s="166" customFormat="1" ht="20.100000000000001" customHeight="1" x14ac:dyDescent="0.25">
      <c r="A1247" s="245"/>
      <c r="B1247" s="246" t="s">
        <v>1670</v>
      </c>
      <c r="C1247" s="246"/>
      <c r="D1247" s="246"/>
      <c r="E1247" s="246"/>
      <c r="F1247" s="247"/>
      <c r="G1247" s="248"/>
      <c r="H1247" s="249"/>
      <c r="I1247" s="249">
        <v>7.05</v>
      </c>
      <c r="J1247" s="248"/>
      <c r="K1247" s="249">
        <f t="shared" si="77"/>
        <v>7.05</v>
      </c>
      <c r="L1247" s="250"/>
      <c r="M1247" s="149"/>
    </row>
    <row r="1248" spans="1:18" s="166" customFormat="1" ht="20.100000000000001" customHeight="1" x14ac:dyDescent="0.25">
      <c r="A1248" s="245"/>
      <c r="B1248" s="246" t="s">
        <v>1553</v>
      </c>
      <c r="C1248" s="246"/>
      <c r="D1248" s="246"/>
      <c r="E1248" s="246"/>
      <c r="F1248" s="247"/>
      <c r="G1248" s="248"/>
      <c r="H1248" s="249"/>
      <c r="I1248" s="249">
        <v>7.39</v>
      </c>
      <c r="J1248" s="248"/>
      <c r="K1248" s="249">
        <f t="shared" si="77"/>
        <v>7.39</v>
      </c>
      <c r="L1248" s="250"/>
      <c r="M1248" s="149"/>
    </row>
    <row r="1249" spans="1:18" s="166" customFormat="1" ht="20.100000000000001" customHeight="1" x14ac:dyDescent="0.25">
      <c r="A1249" s="245"/>
      <c r="B1249" s="246" t="s">
        <v>1604</v>
      </c>
      <c r="C1249" s="246"/>
      <c r="D1249" s="246"/>
      <c r="E1249" s="246"/>
      <c r="F1249" s="247"/>
      <c r="G1249" s="248"/>
      <c r="H1249" s="249"/>
      <c r="I1249" s="249">
        <v>10.14</v>
      </c>
      <c r="J1249" s="248"/>
      <c r="K1249" s="249">
        <f t="shared" si="77"/>
        <v>10.14</v>
      </c>
      <c r="L1249" s="250"/>
      <c r="M1249" s="149"/>
    </row>
    <row r="1250" spans="1:18" s="166" customFormat="1" ht="20.100000000000001" customHeight="1" x14ac:dyDescent="0.25">
      <c r="A1250" s="245"/>
      <c r="B1250" s="246" t="s">
        <v>1605</v>
      </c>
      <c r="C1250" s="246"/>
      <c r="D1250" s="246"/>
      <c r="E1250" s="246"/>
      <c r="F1250" s="247"/>
      <c r="G1250" s="248"/>
      <c r="H1250" s="249"/>
      <c r="I1250" s="249">
        <v>10.14</v>
      </c>
      <c r="J1250" s="248"/>
      <c r="K1250" s="249">
        <f t="shared" si="77"/>
        <v>10.14</v>
      </c>
      <c r="L1250" s="250"/>
      <c r="M1250" s="149"/>
    </row>
    <row r="1251" spans="1:18" s="166" customFormat="1" ht="20.100000000000001" customHeight="1" x14ac:dyDescent="0.25">
      <c r="A1251" s="245"/>
      <c r="B1251" s="246" t="s">
        <v>1606</v>
      </c>
      <c r="C1251" s="246"/>
      <c r="D1251" s="246"/>
      <c r="E1251" s="246"/>
      <c r="F1251" s="247"/>
      <c r="G1251" s="248"/>
      <c r="H1251" s="249"/>
      <c r="I1251" s="249">
        <v>10.14</v>
      </c>
      <c r="J1251" s="248"/>
      <c r="K1251" s="249">
        <f t="shared" si="77"/>
        <v>10.14</v>
      </c>
      <c r="L1251" s="250"/>
      <c r="M1251" s="149"/>
    </row>
    <row r="1252" spans="1:18" s="166" customFormat="1" ht="20.100000000000001" customHeight="1" x14ac:dyDescent="0.25">
      <c r="A1252" s="245"/>
      <c r="B1252" s="246" t="s">
        <v>1607</v>
      </c>
      <c r="C1252" s="246"/>
      <c r="D1252" s="246"/>
      <c r="E1252" s="246"/>
      <c r="F1252" s="247"/>
      <c r="G1252" s="248"/>
      <c r="H1252" s="249"/>
      <c r="I1252" s="249">
        <v>10.14</v>
      </c>
      <c r="J1252" s="248"/>
      <c r="K1252" s="249">
        <f t="shared" si="77"/>
        <v>10.14</v>
      </c>
      <c r="L1252" s="250"/>
      <c r="M1252" s="149"/>
    </row>
    <row r="1253" spans="1:18" s="166" customFormat="1" ht="20.100000000000001" customHeight="1" x14ac:dyDescent="0.25">
      <c r="A1253" s="245"/>
      <c r="B1253" s="246" t="s">
        <v>1608</v>
      </c>
      <c r="C1253" s="246"/>
      <c r="D1253" s="246"/>
      <c r="E1253" s="246"/>
      <c r="F1253" s="247"/>
      <c r="G1253" s="248"/>
      <c r="H1253" s="249"/>
      <c r="I1253" s="249">
        <v>10.14</v>
      </c>
      <c r="J1253" s="248"/>
      <c r="K1253" s="249">
        <f t="shared" si="77"/>
        <v>10.14</v>
      </c>
      <c r="L1253" s="250"/>
      <c r="M1253" s="149"/>
    </row>
    <row r="1254" spans="1:18" s="166" customFormat="1" ht="20.100000000000001" customHeight="1" x14ac:dyDescent="0.25">
      <c r="A1254" s="245"/>
      <c r="B1254" s="246" t="s">
        <v>1609</v>
      </c>
      <c r="C1254" s="246"/>
      <c r="D1254" s="246"/>
      <c r="E1254" s="246"/>
      <c r="F1254" s="247"/>
      <c r="G1254" s="248"/>
      <c r="H1254" s="249"/>
      <c r="I1254" s="249">
        <v>10.14</v>
      </c>
      <c r="J1254" s="248"/>
      <c r="K1254" s="249">
        <f t="shared" si="77"/>
        <v>10.14</v>
      </c>
      <c r="L1254" s="250"/>
      <c r="M1254" s="149"/>
    </row>
    <row r="1255" spans="1:18" s="166" customFormat="1" ht="20.100000000000001" customHeight="1" x14ac:dyDescent="0.25">
      <c r="A1255" s="245"/>
      <c r="B1255" s="246" t="s">
        <v>1671</v>
      </c>
      <c r="C1255" s="246"/>
      <c r="D1255" s="246"/>
      <c r="E1255" s="246"/>
      <c r="F1255" s="247"/>
      <c r="G1255" s="248"/>
      <c r="H1255" s="249"/>
      <c r="I1255" s="249">
        <v>20.5</v>
      </c>
      <c r="J1255" s="248"/>
      <c r="K1255" s="249">
        <f t="shared" si="77"/>
        <v>20.5</v>
      </c>
      <c r="L1255" s="250"/>
      <c r="M1255" s="149"/>
    </row>
    <row r="1256" spans="1:18" s="166" customFormat="1" ht="20.100000000000001" customHeight="1" x14ac:dyDescent="0.25">
      <c r="A1256" s="245"/>
      <c r="B1256" s="246" t="s">
        <v>1672</v>
      </c>
      <c r="C1256" s="246"/>
      <c r="D1256" s="246"/>
      <c r="E1256" s="246"/>
      <c r="F1256" s="247"/>
      <c r="G1256" s="248"/>
      <c r="H1256" s="249"/>
      <c r="I1256" s="249">
        <v>9.99</v>
      </c>
      <c r="J1256" s="248"/>
      <c r="K1256" s="249">
        <f t="shared" si="77"/>
        <v>9.99</v>
      </c>
      <c r="L1256" s="250"/>
      <c r="M1256" s="149"/>
    </row>
    <row r="1257" spans="1:18" s="166" customFormat="1" ht="20.100000000000001" customHeight="1" x14ac:dyDescent="0.25">
      <c r="A1257" s="245"/>
      <c r="B1257" s="246" t="s">
        <v>1610</v>
      </c>
      <c r="C1257" s="246"/>
      <c r="D1257" s="246"/>
      <c r="E1257" s="246"/>
      <c r="F1257" s="247"/>
      <c r="G1257" s="248"/>
      <c r="H1257" s="249"/>
      <c r="I1257" s="249">
        <v>9.75</v>
      </c>
      <c r="J1257" s="248"/>
      <c r="K1257" s="249">
        <f t="shared" si="77"/>
        <v>9.75</v>
      </c>
      <c r="L1257" s="250"/>
      <c r="M1257" s="149"/>
    </row>
    <row r="1258" spans="1:18" s="166" customFormat="1" ht="20.100000000000001" customHeight="1" x14ac:dyDescent="0.25">
      <c r="A1258" s="245"/>
      <c r="B1258" s="246" t="s">
        <v>1569</v>
      </c>
      <c r="C1258" s="246"/>
      <c r="D1258" s="246"/>
      <c r="E1258" s="246"/>
      <c r="F1258" s="247"/>
      <c r="G1258" s="248"/>
      <c r="H1258" s="249"/>
      <c r="I1258" s="249">
        <v>9.7200000000000006</v>
      </c>
      <c r="J1258" s="248"/>
      <c r="K1258" s="249">
        <f t="shared" si="77"/>
        <v>9.7200000000000006</v>
      </c>
      <c r="L1258" s="250"/>
      <c r="M1258" s="149"/>
    </row>
    <row r="1259" spans="1:18" s="166" customFormat="1" ht="20.100000000000001" customHeight="1" x14ac:dyDescent="0.25">
      <c r="A1259" s="245"/>
      <c r="B1259" s="246" t="s">
        <v>1584</v>
      </c>
      <c r="C1259" s="246"/>
      <c r="D1259" s="246"/>
      <c r="E1259" s="246"/>
      <c r="F1259" s="247"/>
      <c r="G1259" s="248"/>
      <c r="H1259" s="249"/>
      <c r="I1259" s="249">
        <v>9.7200000000000006</v>
      </c>
      <c r="J1259" s="248"/>
      <c r="K1259" s="249">
        <f t="shared" si="77"/>
        <v>9.7200000000000006</v>
      </c>
      <c r="L1259" s="250"/>
      <c r="M1259" s="149"/>
    </row>
    <row r="1260" spans="1:18" s="166" customFormat="1" ht="20.100000000000001" customHeight="1" x14ac:dyDescent="0.25">
      <c r="A1260" s="245"/>
      <c r="B1260" s="246" t="s">
        <v>1391</v>
      </c>
      <c r="C1260" s="246"/>
      <c r="D1260" s="246"/>
      <c r="E1260" s="246"/>
      <c r="F1260" s="247"/>
      <c r="G1260" s="248"/>
      <c r="H1260" s="249"/>
      <c r="I1260" s="249">
        <v>7.37</v>
      </c>
      <c r="J1260" s="248"/>
      <c r="K1260" s="249">
        <f t="shared" si="77"/>
        <v>7.37</v>
      </c>
      <c r="L1260" s="250"/>
      <c r="M1260" s="149"/>
    </row>
    <row r="1261" spans="1:18" s="166" customFormat="1" ht="20.100000000000001" customHeight="1" x14ac:dyDescent="0.25">
      <c r="A1261" s="245"/>
      <c r="B1261" s="246" t="s">
        <v>1453</v>
      </c>
      <c r="C1261" s="246"/>
      <c r="D1261" s="246"/>
      <c r="E1261" s="246"/>
      <c r="F1261" s="247"/>
      <c r="G1261" s="248"/>
      <c r="H1261" s="249"/>
      <c r="I1261" s="249">
        <v>5.25</v>
      </c>
      <c r="J1261" s="248"/>
      <c r="K1261" s="249">
        <f t="shared" si="77"/>
        <v>5.25</v>
      </c>
      <c r="L1261" s="250"/>
      <c r="M1261" s="149"/>
    </row>
    <row r="1262" spans="1:18" s="166" customFormat="1" ht="20.100000000000001" customHeight="1" x14ac:dyDescent="0.25">
      <c r="A1262" s="245"/>
      <c r="B1262" s="246" t="s">
        <v>812</v>
      </c>
      <c r="C1262" s="246"/>
      <c r="D1262" s="246"/>
      <c r="E1262" s="246"/>
      <c r="F1262" s="247"/>
      <c r="G1262" s="248"/>
      <c r="H1262" s="249"/>
      <c r="I1262" s="249">
        <v>32.659999999999997</v>
      </c>
      <c r="J1262" s="248"/>
      <c r="K1262" s="249">
        <f t="shared" si="77"/>
        <v>32.659999999999997</v>
      </c>
      <c r="L1262" s="250"/>
      <c r="M1262" s="149"/>
    </row>
    <row r="1263" spans="1:18" s="166" customFormat="1" ht="20.100000000000001" customHeight="1" x14ac:dyDescent="0.25">
      <c r="A1263" s="245"/>
      <c r="B1263" s="246" t="s">
        <v>813</v>
      </c>
      <c r="C1263" s="246"/>
      <c r="D1263" s="246"/>
      <c r="E1263" s="246"/>
      <c r="F1263" s="247"/>
      <c r="G1263" s="248"/>
      <c r="H1263" s="249"/>
      <c r="I1263" s="249">
        <v>19.68</v>
      </c>
      <c r="J1263" s="248"/>
      <c r="K1263" s="249">
        <f t="shared" si="77"/>
        <v>19.68</v>
      </c>
      <c r="L1263" s="250"/>
      <c r="M1263" s="149"/>
    </row>
    <row r="1264" spans="1:18" s="154" customFormat="1" ht="20.100000000000001" customHeight="1" x14ac:dyDescent="0.25">
      <c r="A1264" s="475" t="s">
        <v>1409</v>
      </c>
      <c r="B1264" s="476"/>
      <c r="C1264" s="476"/>
      <c r="D1264" s="476"/>
      <c r="E1264" s="476"/>
      <c r="F1264" s="476"/>
      <c r="G1264" s="476"/>
      <c r="H1264" s="476"/>
      <c r="I1264" s="476"/>
      <c r="J1264" s="476"/>
      <c r="K1264" s="477"/>
      <c r="L1264" s="250"/>
      <c r="M1264" s="149"/>
      <c r="N1264" s="149"/>
      <c r="O1264" s="149"/>
      <c r="P1264" s="149"/>
      <c r="Q1264" s="149"/>
      <c r="R1264" s="149"/>
    </row>
    <row r="1265" spans="1:13" s="166" customFormat="1" ht="20.100000000000001" customHeight="1" x14ac:dyDescent="0.25">
      <c r="A1265" s="245"/>
      <c r="B1265" s="246" t="s">
        <v>1556</v>
      </c>
      <c r="C1265" s="246"/>
      <c r="D1265" s="246"/>
      <c r="E1265" s="246"/>
      <c r="F1265" s="247"/>
      <c r="G1265" s="248"/>
      <c r="H1265" s="249"/>
      <c r="I1265" s="249">
        <v>34.799999999999997</v>
      </c>
      <c r="J1265" s="248"/>
      <c r="K1265" s="249">
        <f>I1265</f>
        <v>34.799999999999997</v>
      </c>
      <c r="L1265" s="250"/>
      <c r="M1265" s="149"/>
    </row>
    <row r="1266" spans="1:13" s="166" customFormat="1" ht="20.100000000000001" customHeight="1" x14ac:dyDescent="0.25">
      <c r="A1266" s="245"/>
      <c r="B1266" s="246" t="s">
        <v>811</v>
      </c>
      <c r="C1266" s="246"/>
      <c r="D1266" s="246"/>
      <c r="E1266" s="246"/>
      <c r="F1266" s="247"/>
      <c r="G1266" s="248"/>
      <c r="H1266" s="249"/>
      <c r="I1266" s="249">
        <v>7.31</v>
      </c>
      <c r="J1266" s="248"/>
      <c r="K1266" s="249">
        <f t="shared" ref="K1266:K1280" si="78">I1266</f>
        <v>7.31</v>
      </c>
      <c r="L1266" s="250"/>
      <c r="M1266" s="149"/>
    </row>
    <row r="1267" spans="1:13" s="166" customFormat="1" ht="20.100000000000001" customHeight="1" x14ac:dyDescent="0.25">
      <c r="A1267" s="245"/>
      <c r="B1267" s="246" t="s">
        <v>1673</v>
      </c>
      <c r="C1267" s="246"/>
      <c r="D1267" s="246"/>
      <c r="E1267" s="246"/>
      <c r="F1267" s="247"/>
      <c r="G1267" s="248"/>
      <c r="H1267" s="249"/>
      <c r="I1267" s="249">
        <v>4.08</v>
      </c>
      <c r="J1267" s="248"/>
      <c r="K1267" s="249">
        <f t="shared" si="78"/>
        <v>4.08</v>
      </c>
      <c r="L1267" s="250"/>
      <c r="M1267" s="149"/>
    </row>
    <row r="1268" spans="1:13" s="166" customFormat="1" ht="20.100000000000001" customHeight="1" x14ac:dyDescent="0.25">
      <c r="A1268" s="245"/>
      <c r="B1268" s="246" t="s">
        <v>1674</v>
      </c>
      <c r="C1268" s="246"/>
      <c r="D1268" s="246"/>
      <c r="E1268" s="246"/>
      <c r="F1268" s="247"/>
      <c r="G1268" s="248"/>
      <c r="H1268" s="249"/>
      <c r="I1268" s="249">
        <v>4.08</v>
      </c>
      <c r="J1268" s="248"/>
      <c r="K1268" s="249">
        <f t="shared" si="78"/>
        <v>4.08</v>
      </c>
      <c r="L1268" s="250"/>
      <c r="M1268" s="149"/>
    </row>
    <row r="1269" spans="1:13" s="166" customFormat="1" ht="20.100000000000001" customHeight="1" x14ac:dyDescent="0.25">
      <c r="A1269" s="245"/>
      <c r="B1269" s="246" t="s">
        <v>813</v>
      </c>
      <c r="C1269" s="246"/>
      <c r="D1269" s="246"/>
      <c r="E1269" s="246"/>
      <c r="F1269" s="247"/>
      <c r="G1269" s="248"/>
      <c r="H1269" s="249"/>
      <c r="I1269" s="249">
        <v>36.74</v>
      </c>
      <c r="J1269" s="248"/>
      <c r="K1269" s="249">
        <f t="shared" si="78"/>
        <v>36.74</v>
      </c>
      <c r="L1269" s="250"/>
      <c r="M1269" s="149"/>
    </row>
    <row r="1270" spans="1:13" s="166" customFormat="1" ht="20.100000000000001" customHeight="1" x14ac:dyDescent="0.25">
      <c r="A1270" s="245"/>
      <c r="B1270" s="246" t="s">
        <v>1675</v>
      </c>
      <c r="C1270" s="246"/>
      <c r="D1270" s="246"/>
      <c r="E1270" s="246"/>
      <c r="F1270" s="247"/>
      <c r="G1270" s="248"/>
      <c r="H1270" s="249"/>
      <c r="I1270" s="249">
        <v>34.35</v>
      </c>
      <c r="J1270" s="248"/>
      <c r="K1270" s="249">
        <f t="shared" si="78"/>
        <v>34.35</v>
      </c>
      <c r="L1270" s="250"/>
      <c r="M1270" s="149"/>
    </row>
    <row r="1271" spans="1:13" s="166" customFormat="1" ht="20.100000000000001" customHeight="1" x14ac:dyDescent="0.25">
      <c r="A1271" s="245"/>
      <c r="B1271" s="246" t="s">
        <v>1558</v>
      </c>
      <c r="C1271" s="246"/>
      <c r="D1271" s="246"/>
      <c r="E1271" s="246"/>
      <c r="F1271" s="247"/>
      <c r="G1271" s="248"/>
      <c r="H1271" s="249"/>
      <c r="I1271" s="249">
        <v>48.26</v>
      </c>
      <c r="J1271" s="248"/>
      <c r="K1271" s="249">
        <f t="shared" si="78"/>
        <v>48.26</v>
      </c>
      <c r="L1271" s="250"/>
      <c r="M1271" s="149"/>
    </row>
    <row r="1272" spans="1:13" s="166" customFormat="1" ht="20.100000000000001" customHeight="1" x14ac:dyDescent="0.25">
      <c r="A1272" s="245"/>
      <c r="B1272" s="246" t="s">
        <v>1558</v>
      </c>
      <c r="C1272" s="246"/>
      <c r="D1272" s="246"/>
      <c r="E1272" s="246"/>
      <c r="F1272" s="247"/>
      <c r="G1272" s="248"/>
      <c r="H1272" s="249"/>
      <c r="I1272" s="249">
        <v>16.239999999999998</v>
      </c>
      <c r="J1272" s="248"/>
      <c r="K1272" s="249">
        <f t="shared" si="78"/>
        <v>16.239999999999998</v>
      </c>
      <c r="L1272" s="250"/>
      <c r="M1272" s="149"/>
    </row>
    <row r="1273" spans="1:13" s="166" customFormat="1" ht="20.100000000000001" customHeight="1" x14ac:dyDescent="0.25">
      <c r="A1273" s="245"/>
      <c r="B1273" s="246" t="s">
        <v>1676</v>
      </c>
      <c r="C1273" s="246"/>
      <c r="D1273" s="246"/>
      <c r="E1273" s="246"/>
      <c r="F1273" s="247"/>
      <c r="G1273" s="248"/>
      <c r="H1273" s="249"/>
      <c r="I1273" s="249">
        <v>17.46</v>
      </c>
      <c r="J1273" s="248"/>
      <c r="K1273" s="249">
        <f t="shared" si="78"/>
        <v>17.46</v>
      </c>
      <c r="L1273" s="250"/>
      <c r="M1273" s="149"/>
    </row>
    <row r="1274" spans="1:13" s="166" customFormat="1" ht="20.100000000000001" customHeight="1" x14ac:dyDescent="0.25">
      <c r="A1274" s="245"/>
      <c r="B1274" s="246" t="s">
        <v>1558</v>
      </c>
      <c r="C1274" s="246"/>
      <c r="D1274" s="246"/>
      <c r="E1274" s="246"/>
      <c r="F1274" s="247"/>
      <c r="G1274" s="248"/>
      <c r="H1274" s="249"/>
      <c r="I1274" s="249">
        <v>11.51</v>
      </c>
      <c r="J1274" s="248"/>
      <c r="K1274" s="249">
        <f t="shared" si="78"/>
        <v>11.51</v>
      </c>
      <c r="L1274" s="250"/>
      <c r="M1274" s="149"/>
    </row>
    <row r="1275" spans="1:13" s="166" customFormat="1" ht="20.100000000000001" customHeight="1" x14ac:dyDescent="0.25">
      <c r="A1275" s="245"/>
      <c r="B1275" s="246" t="s">
        <v>1558</v>
      </c>
      <c r="C1275" s="246"/>
      <c r="D1275" s="246"/>
      <c r="E1275" s="246"/>
      <c r="F1275" s="247"/>
      <c r="G1275" s="248"/>
      <c r="H1275" s="249"/>
      <c r="I1275" s="249">
        <v>11.51</v>
      </c>
      <c r="J1275" s="248"/>
      <c r="K1275" s="249">
        <f t="shared" si="78"/>
        <v>11.51</v>
      </c>
      <c r="L1275" s="250"/>
      <c r="M1275" s="149"/>
    </row>
    <row r="1276" spans="1:13" s="166" customFormat="1" ht="20.100000000000001" customHeight="1" x14ac:dyDescent="0.25">
      <c r="A1276" s="245"/>
      <c r="B1276" s="246" t="s">
        <v>1677</v>
      </c>
      <c r="C1276" s="246"/>
      <c r="D1276" s="246"/>
      <c r="E1276" s="246"/>
      <c r="F1276" s="247"/>
      <c r="G1276" s="248"/>
      <c r="H1276" s="249"/>
      <c r="I1276" s="249">
        <v>5.52</v>
      </c>
      <c r="J1276" s="248"/>
      <c r="K1276" s="249">
        <f t="shared" si="78"/>
        <v>5.52</v>
      </c>
      <c r="L1276" s="250"/>
      <c r="M1276" s="149"/>
    </row>
    <row r="1277" spans="1:13" s="166" customFormat="1" ht="20.100000000000001" customHeight="1" x14ac:dyDescent="0.25">
      <c r="A1277" s="245"/>
      <c r="B1277" s="246" t="s">
        <v>1702</v>
      </c>
      <c r="C1277" s="246"/>
      <c r="D1277" s="246"/>
      <c r="E1277" s="246"/>
      <c r="F1277" s="247"/>
      <c r="G1277" s="248"/>
      <c r="H1277" s="249"/>
      <c r="I1277" s="249">
        <v>5.52</v>
      </c>
      <c r="J1277" s="248"/>
      <c r="K1277" s="249">
        <f t="shared" si="78"/>
        <v>5.52</v>
      </c>
      <c r="L1277" s="250"/>
      <c r="M1277" s="149"/>
    </row>
    <row r="1278" spans="1:13" s="166" customFormat="1" ht="20.100000000000001" customHeight="1" x14ac:dyDescent="0.25">
      <c r="A1278" s="245"/>
      <c r="B1278" s="246" t="s">
        <v>1678</v>
      </c>
      <c r="C1278" s="246"/>
      <c r="D1278" s="246"/>
      <c r="E1278" s="246"/>
      <c r="F1278" s="247"/>
      <c r="G1278" s="248"/>
      <c r="H1278" s="249"/>
      <c r="I1278" s="249">
        <v>48.01</v>
      </c>
      <c r="J1278" s="248"/>
      <c r="K1278" s="249">
        <f t="shared" si="78"/>
        <v>48.01</v>
      </c>
      <c r="L1278" s="250"/>
      <c r="M1278" s="149"/>
    </row>
    <row r="1279" spans="1:13" s="166" customFormat="1" ht="20.100000000000001" customHeight="1" x14ac:dyDescent="0.25">
      <c r="A1279" s="245"/>
      <c r="B1279" s="246" t="s">
        <v>1679</v>
      </c>
      <c r="C1279" s="246"/>
      <c r="D1279" s="246"/>
      <c r="E1279" s="246"/>
      <c r="F1279" s="247"/>
      <c r="G1279" s="248"/>
      <c r="H1279" s="249"/>
      <c r="I1279" s="249">
        <v>11.45</v>
      </c>
      <c r="J1279" s="248"/>
      <c r="K1279" s="249">
        <f t="shared" si="78"/>
        <v>11.45</v>
      </c>
      <c r="L1279" s="250"/>
      <c r="M1279" s="149"/>
    </row>
    <row r="1280" spans="1:13" s="166" customFormat="1" ht="20.100000000000001" customHeight="1" x14ac:dyDescent="0.25">
      <c r="A1280" s="245"/>
      <c r="B1280" s="246" t="s">
        <v>1680</v>
      </c>
      <c r="C1280" s="246"/>
      <c r="D1280" s="246"/>
      <c r="E1280" s="246"/>
      <c r="F1280" s="247"/>
      <c r="G1280" s="248"/>
      <c r="H1280" s="249"/>
      <c r="I1280" s="249">
        <v>11.45</v>
      </c>
      <c r="J1280" s="248"/>
      <c r="K1280" s="249">
        <f t="shared" si="78"/>
        <v>11.45</v>
      </c>
      <c r="L1280" s="250"/>
      <c r="M1280" s="149"/>
    </row>
    <row r="1281" spans="1:18" s="154" customFormat="1" ht="20.100000000000001" customHeight="1" x14ac:dyDescent="0.25">
      <c r="A1281" s="475" t="s">
        <v>1411</v>
      </c>
      <c r="B1281" s="476"/>
      <c r="C1281" s="476"/>
      <c r="D1281" s="476"/>
      <c r="E1281" s="476"/>
      <c r="F1281" s="476"/>
      <c r="G1281" s="476"/>
      <c r="H1281" s="476"/>
      <c r="I1281" s="476"/>
      <c r="J1281" s="476"/>
      <c r="K1281" s="477"/>
      <c r="L1281" s="250"/>
      <c r="M1281" s="149"/>
      <c r="N1281" s="149"/>
      <c r="O1281" s="149"/>
      <c r="P1281" s="149"/>
      <c r="Q1281" s="149"/>
      <c r="R1281" s="149"/>
    </row>
    <row r="1282" spans="1:18" s="166" customFormat="1" ht="20.100000000000001" customHeight="1" x14ac:dyDescent="0.25">
      <c r="A1282" s="245"/>
      <c r="B1282" s="246" t="s">
        <v>1682</v>
      </c>
      <c r="C1282" s="246"/>
      <c r="D1282" s="246"/>
      <c r="E1282" s="246"/>
      <c r="F1282" s="247"/>
      <c r="G1282" s="248"/>
      <c r="H1282" s="249"/>
      <c r="I1282" s="249">
        <v>18.68</v>
      </c>
      <c r="J1282" s="248"/>
      <c r="K1282" s="249">
        <f>I1282</f>
        <v>18.68</v>
      </c>
      <c r="L1282" s="250"/>
      <c r="M1282" s="149"/>
    </row>
    <row r="1283" spans="1:18" s="166" customFormat="1" ht="20.100000000000001" customHeight="1" x14ac:dyDescent="0.25">
      <c r="A1283" s="245"/>
      <c r="B1283" s="246" t="s">
        <v>1665</v>
      </c>
      <c r="C1283" s="246"/>
      <c r="D1283" s="246"/>
      <c r="E1283" s="246"/>
      <c r="F1283" s="247"/>
      <c r="G1283" s="248"/>
      <c r="H1283" s="249"/>
      <c r="I1283" s="249">
        <v>10.58</v>
      </c>
      <c r="J1283" s="248"/>
      <c r="K1283" s="249">
        <f t="shared" ref="K1283:K1294" si="79">I1283</f>
        <v>10.58</v>
      </c>
      <c r="L1283" s="250"/>
      <c r="M1283" s="149"/>
    </row>
    <row r="1284" spans="1:18" s="166" customFormat="1" ht="20.100000000000001" customHeight="1" x14ac:dyDescent="0.25">
      <c r="A1284" s="245"/>
      <c r="B1284" s="246" t="s">
        <v>1469</v>
      </c>
      <c r="C1284" s="246"/>
      <c r="D1284" s="246"/>
      <c r="E1284" s="246"/>
      <c r="F1284" s="247"/>
      <c r="G1284" s="248"/>
      <c r="H1284" s="249"/>
      <c r="I1284" s="249">
        <v>14.27</v>
      </c>
      <c r="J1284" s="248"/>
      <c r="K1284" s="249">
        <f t="shared" si="79"/>
        <v>14.27</v>
      </c>
      <c r="L1284" s="250"/>
      <c r="M1284" s="149"/>
    </row>
    <row r="1285" spans="1:18" s="166" customFormat="1" ht="20.100000000000001" customHeight="1" x14ac:dyDescent="0.25">
      <c r="A1285" s="245"/>
      <c r="B1285" s="246" t="s">
        <v>1664</v>
      </c>
      <c r="C1285" s="246"/>
      <c r="D1285" s="246"/>
      <c r="E1285" s="246"/>
      <c r="F1285" s="247"/>
      <c r="G1285" s="248"/>
      <c r="H1285" s="249"/>
      <c r="I1285" s="249">
        <v>17.95</v>
      </c>
      <c r="J1285" s="248"/>
      <c r="K1285" s="249">
        <f t="shared" si="79"/>
        <v>17.95</v>
      </c>
      <c r="L1285" s="250"/>
      <c r="M1285" s="149"/>
    </row>
    <row r="1286" spans="1:18" s="166" customFormat="1" ht="20.100000000000001" customHeight="1" x14ac:dyDescent="0.25">
      <c r="A1286" s="245"/>
      <c r="B1286" s="246" t="s">
        <v>1683</v>
      </c>
      <c r="C1286" s="246"/>
      <c r="D1286" s="246"/>
      <c r="E1286" s="246"/>
      <c r="F1286" s="247"/>
      <c r="G1286" s="248"/>
      <c r="H1286" s="249"/>
      <c r="I1286" s="249">
        <v>65.84</v>
      </c>
      <c r="J1286" s="248"/>
      <c r="K1286" s="249">
        <f t="shared" si="79"/>
        <v>65.84</v>
      </c>
      <c r="L1286" s="250"/>
      <c r="M1286" s="149"/>
    </row>
    <row r="1287" spans="1:18" s="166" customFormat="1" ht="20.100000000000001" customHeight="1" x14ac:dyDescent="0.25">
      <c r="A1287" s="245"/>
      <c r="B1287" s="246" t="s">
        <v>1684</v>
      </c>
      <c r="C1287" s="246"/>
      <c r="D1287" s="246"/>
      <c r="E1287" s="246"/>
      <c r="F1287" s="247"/>
      <c r="G1287" s="248"/>
      <c r="H1287" s="249"/>
      <c r="I1287" s="249">
        <v>17.940000000000001</v>
      </c>
      <c r="J1287" s="248"/>
      <c r="K1287" s="249">
        <f t="shared" si="79"/>
        <v>17.940000000000001</v>
      </c>
      <c r="L1287" s="250"/>
      <c r="M1287" s="149"/>
    </row>
    <row r="1288" spans="1:18" s="166" customFormat="1" ht="20.100000000000001" customHeight="1" x14ac:dyDescent="0.25">
      <c r="A1288" s="245"/>
      <c r="B1288" s="246" t="s">
        <v>1685</v>
      </c>
      <c r="C1288" s="246"/>
      <c r="D1288" s="246"/>
      <c r="E1288" s="246"/>
      <c r="F1288" s="247"/>
      <c r="G1288" s="248"/>
      <c r="H1288" s="249"/>
      <c r="I1288" s="249">
        <v>9.6300000000000008</v>
      </c>
      <c r="J1288" s="248"/>
      <c r="K1288" s="249">
        <f t="shared" si="79"/>
        <v>9.6300000000000008</v>
      </c>
      <c r="L1288" s="250"/>
      <c r="M1288" s="149"/>
    </row>
    <row r="1289" spans="1:18" s="166" customFormat="1" ht="20.100000000000001" customHeight="1" x14ac:dyDescent="0.25">
      <c r="A1289" s="245"/>
      <c r="B1289" s="246" t="s">
        <v>1686</v>
      </c>
      <c r="C1289" s="246"/>
      <c r="D1289" s="246"/>
      <c r="E1289" s="246"/>
      <c r="F1289" s="247"/>
      <c r="G1289" s="248"/>
      <c r="H1289" s="249"/>
      <c r="I1289" s="249">
        <v>9.6300000000000008</v>
      </c>
      <c r="J1289" s="248"/>
      <c r="K1289" s="249">
        <f t="shared" si="79"/>
        <v>9.6300000000000008</v>
      </c>
      <c r="L1289" s="250"/>
      <c r="M1289" s="149"/>
    </row>
    <row r="1290" spans="1:18" s="166" customFormat="1" ht="20.100000000000001" customHeight="1" x14ac:dyDescent="0.25">
      <c r="A1290" s="245"/>
      <c r="B1290" s="246" t="s">
        <v>813</v>
      </c>
      <c r="C1290" s="246"/>
      <c r="D1290" s="246"/>
      <c r="E1290" s="246"/>
      <c r="F1290" s="247"/>
      <c r="G1290" s="248"/>
      <c r="H1290" s="249"/>
      <c r="I1290" s="249">
        <v>11.47</v>
      </c>
      <c r="J1290" s="248"/>
      <c r="K1290" s="249">
        <f t="shared" si="79"/>
        <v>11.47</v>
      </c>
      <c r="L1290" s="250"/>
      <c r="M1290" s="149"/>
    </row>
    <row r="1291" spans="1:18" s="166" customFormat="1" ht="20.100000000000001" customHeight="1" x14ac:dyDescent="0.25">
      <c r="A1291" s="245"/>
      <c r="B1291" s="246" t="s">
        <v>1584</v>
      </c>
      <c r="C1291" s="246"/>
      <c r="D1291" s="246"/>
      <c r="E1291" s="246"/>
      <c r="F1291" s="247"/>
      <c r="G1291" s="248"/>
      <c r="H1291" s="249"/>
      <c r="I1291" s="249">
        <v>9.6300000000000008</v>
      </c>
      <c r="J1291" s="248"/>
      <c r="K1291" s="249">
        <f t="shared" si="79"/>
        <v>9.6300000000000008</v>
      </c>
      <c r="L1291" s="250"/>
      <c r="M1291" s="149"/>
    </row>
    <row r="1292" spans="1:18" s="166" customFormat="1" ht="20.100000000000001" customHeight="1" x14ac:dyDescent="0.25">
      <c r="A1292" s="245"/>
      <c r="B1292" s="246" t="s">
        <v>1649</v>
      </c>
      <c r="C1292" s="246"/>
      <c r="D1292" s="246"/>
      <c r="E1292" s="246"/>
      <c r="F1292" s="247"/>
      <c r="G1292" s="248"/>
      <c r="H1292" s="249"/>
      <c r="I1292" s="249">
        <v>9.6300000000000008</v>
      </c>
      <c r="J1292" s="248"/>
      <c r="K1292" s="249">
        <f t="shared" si="79"/>
        <v>9.6300000000000008</v>
      </c>
      <c r="L1292" s="250"/>
      <c r="M1292" s="149"/>
    </row>
    <row r="1293" spans="1:18" s="166" customFormat="1" ht="20.100000000000001" customHeight="1" x14ac:dyDescent="0.25">
      <c r="A1293" s="245"/>
      <c r="B1293" s="246" t="s">
        <v>1660</v>
      </c>
      <c r="C1293" s="246"/>
      <c r="D1293" s="246"/>
      <c r="E1293" s="246"/>
      <c r="F1293" s="247"/>
      <c r="G1293" s="248"/>
      <c r="H1293" s="249"/>
      <c r="I1293" s="249">
        <v>9.6300000000000008</v>
      </c>
      <c r="J1293" s="248"/>
      <c r="K1293" s="249">
        <f t="shared" si="79"/>
        <v>9.6300000000000008</v>
      </c>
      <c r="L1293" s="250"/>
      <c r="M1293" s="149"/>
    </row>
    <row r="1294" spans="1:18" s="166" customFormat="1" ht="20.100000000000001" customHeight="1" x14ac:dyDescent="0.25">
      <c r="A1294" s="245"/>
      <c r="B1294" s="246" t="s">
        <v>1658</v>
      </c>
      <c r="C1294" s="246"/>
      <c r="D1294" s="246"/>
      <c r="E1294" s="246"/>
      <c r="F1294" s="247"/>
      <c r="G1294" s="248"/>
      <c r="H1294" s="249"/>
      <c r="I1294" s="249">
        <v>9.6300000000000008</v>
      </c>
      <c r="J1294" s="248"/>
      <c r="K1294" s="249">
        <f t="shared" si="79"/>
        <v>9.6300000000000008</v>
      </c>
      <c r="L1294" s="250"/>
      <c r="M1294" s="149"/>
    </row>
    <row r="1295" spans="1:18" s="154" customFormat="1" ht="20.100000000000001" customHeight="1" x14ac:dyDescent="0.25">
      <c r="A1295" s="475" t="s">
        <v>1413</v>
      </c>
      <c r="B1295" s="476"/>
      <c r="C1295" s="476"/>
      <c r="D1295" s="476"/>
      <c r="E1295" s="476"/>
      <c r="F1295" s="476"/>
      <c r="G1295" s="476"/>
      <c r="H1295" s="476"/>
      <c r="I1295" s="476"/>
      <c r="J1295" s="476"/>
      <c r="K1295" s="477"/>
      <c r="L1295" s="250"/>
      <c r="M1295" s="149"/>
      <c r="N1295" s="149"/>
      <c r="O1295" s="149"/>
      <c r="P1295" s="149"/>
      <c r="Q1295" s="149"/>
      <c r="R1295" s="149"/>
    </row>
    <row r="1296" spans="1:18" s="166" customFormat="1" ht="20.100000000000001" customHeight="1" x14ac:dyDescent="0.25">
      <c r="A1296" s="245"/>
      <c r="B1296" s="246" t="s">
        <v>1568</v>
      </c>
      <c r="C1296" s="246"/>
      <c r="D1296" s="246"/>
      <c r="E1296" s="246"/>
      <c r="F1296" s="247"/>
      <c r="G1296" s="248"/>
      <c r="H1296" s="249"/>
      <c r="I1296" s="249">
        <v>7.28</v>
      </c>
      <c r="J1296" s="248"/>
      <c r="K1296" s="249">
        <f>I1296</f>
        <v>7.28</v>
      </c>
      <c r="L1296" s="250"/>
      <c r="M1296" s="149"/>
    </row>
    <row r="1297" spans="1:18" s="166" customFormat="1" ht="20.100000000000001" customHeight="1" x14ac:dyDescent="0.25">
      <c r="A1297" s="245"/>
      <c r="B1297" s="246" t="s">
        <v>1568</v>
      </c>
      <c r="C1297" s="246"/>
      <c r="D1297" s="246"/>
      <c r="E1297" s="246"/>
      <c r="F1297" s="247"/>
      <c r="G1297" s="248"/>
      <c r="H1297" s="249"/>
      <c r="I1297" s="249">
        <v>15.52</v>
      </c>
      <c r="J1297" s="248"/>
      <c r="K1297" s="249">
        <f t="shared" ref="K1297:K1301" si="80">I1297</f>
        <v>15.52</v>
      </c>
      <c r="L1297" s="250"/>
      <c r="M1297" s="149"/>
    </row>
    <row r="1298" spans="1:18" s="166" customFormat="1" ht="20.100000000000001" customHeight="1" x14ac:dyDescent="0.25">
      <c r="A1298" s="245"/>
      <c r="B1298" s="246" t="s">
        <v>813</v>
      </c>
      <c r="C1298" s="246"/>
      <c r="D1298" s="246"/>
      <c r="E1298" s="246"/>
      <c r="F1298" s="247"/>
      <c r="G1298" s="248"/>
      <c r="H1298" s="249"/>
      <c r="I1298" s="249">
        <v>39.75</v>
      </c>
      <c r="J1298" s="248"/>
      <c r="K1298" s="249">
        <f t="shared" si="80"/>
        <v>39.75</v>
      </c>
      <c r="L1298" s="250"/>
      <c r="M1298" s="149"/>
    </row>
    <row r="1299" spans="1:18" s="166" customFormat="1" ht="20.100000000000001" customHeight="1" x14ac:dyDescent="0.25">
      <c r="A1299" s="245"/>
      <c r="B1299" s="246" t="s">
        <v>1568</v>
      </c>
      <c r="C1299" s="246"/>
      <c r="D1299" s="246"/>
      <c r="E1299" s="246"/>
      <c r="F1299" s="247"/>
      <c r="G1299" s="248"/>
      <c r="H1299" s="249"/>
      <c r="I1299" s="249">
        <v>35.64</v>
      </c>
      <c r="J1299" s="248"/>
      <c r="K1299" s="249">
        <f t="shared" si="80"/>
        <v>35.64</v>
      </c>
      <c r="L1299" s="250"/>
      <c r="M1299" s="149"/>
    </row>
    <row r="1300" spans="1:18" s="166" customFormat="1" ht="20.100000000000001" customHeight="1" x14ac:dyDescent="0.25">
      <c r="A1300" s="245"/>
      <c r="B1300" s="246" t="s">
        <v>1735</v>
      </c>
      <c r="C1300" s="246"/>
      <c r="D1300" s="246"/>
      <c r="E1300" s="246"/>
      <c r="F1300" s="247"/>
      <c r="G1300" s="248"/>
      <c r="H1300" s="249"/>
      <c r="I1300" s="249">
        <v>3.93</v>
      </c>
      <c r="J1300" s="248"/>
      <c r="K1300" s="249">
        <f t="shared" si="80"/>
        <v>3.93</v>
      </c>
      <c r="L1300" s="250"/>
      <c r="M1300" s="149"/>
    </row>
    <row r="1301" spans="1:18" s="166" customFormat="1" ht="20.100000000000001" customHeight="1" x14ac:dyDescent="0.25">
      <c r="A1301" s="245"/>
      <c r="B1301" s="246" t="s">
        <v>1736</v>
      </c>
      <c r="C1301" s="246"/>
      <c r="D1301" s="246"/>
      <c r="E1301" s="246"/>
      <c r="F1301" s="247"/>
      <c r="G1301" s="248"/>
      <c r="H1301" s="249"/>
      <c r="I1301" s="249">
        <v>3.93</v>
      </c>
      <c r="J1301" s="248"/>
      <c r="K1301" s="249">
        <f t="shared" si="80"/>
        <v>3.93</v>
      </c>
      <c r="L1301" s="250"/>
      <c r="M1301" s="149"/>
    </row>
    <row r="1302" spans="1:18" s="154" customFormat="1" ht="18.75" customHeight="1" x14ac:dyDescent="0.25">
      <c r="A1302" s="470" t="s">
        <v>163</v>
      </c>
      <c r="B1302" s="471"/>
      <c r="C1302" s="471"/>
      <c r="D1302" s="471"/>
      <c r="E1302" s="471"/>
      <c r="F1302" s="472"/>
      <c r="G1302" s="472"/>
      <c r="H1302" s="472"/>
      <c r="I1302" s="472"/>
      <c r="J1302" s="472"/>
      <c r="K1302" s="252">
        <f>SUM(K1239:K1301)</f>
        <v>910.56</v>
      </c>
      <c r="L1302" s="250"/>
      <c r="M1302" s="149"/>
      <c r="N1302" s="149"/>
      <c r="O1302" s="149"/>
      <c r="P1302" s="149"/>
      <c r="Q1302" s="149"/>
      <c r="R1302" s="149"/>
    </row>
    <row r="1303" spans="1:18" s="154" customFormat="1" ht="20.100000000000001" customHeight="1" x14ac:dyDescent="0.25">
      <c r="A1303" s="177" t="s">
        <v>3</v>
      </c>
      <c r="B1303" s="171" t="s">
        <v>746</v>
      </c>
      <c r="C1303" s="171"/>
      <c r="D1303" s="171"/>
      <c r="E1303" s="171"/>
      <c r="F1303" s="243" t="s">
        <v>701</v>
      </c>
      <c r="G1303" s="244"/>
      <c r="H1303" s="244"/>
      <c r="I1303" s="244"/>
      <c r="J1303" s="244"/>
      <c r="K1303" s="244" t="s">
        <v>50</v>
      </c>
      <c r="L1303" s="250"/>
      <c r="M1303" s="149"/>
      <c r="N1303" s="149"/>
      <c r="O1303" s="149"/>
      <c r="P1303" s="149"/>
      <c r="Q1303" s="149"/>
      <c r="R1303" s="149"/>
    </row>
    <row r="1304" spans="1:18" s="154" customFormat="1" ht="20.100000000000001" customHeight="1" x14ac:dyDescent="0.25">
      <c r="A1304" s="475" t="s">
        <v>1384</v>
      </c>
      <c r="B1304" s="476"/>
      <c r="C1304" s="476"/>
      <c r="D1304" s="476"/>
      <c r="E1304" s="476"/>
      <c r="F1304" s="476"/>
      <c r="G1304" s="476"/>
      <c r="H1304" s="476"/>
      <c r="I1304" s="476"/>
      <c r="J1304" s="476"/>
      <c r="K1304" s="477"/>
      <c r="L1304" s="250"/>
      <c r="M1304" s="149"/>
      <c r="N1304" s="149"/>
      <c r="O1304" s="149"/>
      <c r="P1304" s="149"/>
      <c r="Q1304" s="149"/>
      <c r="R1304" s="149"/>
    </row>
    <row r="1305" spans="1:18" s="166" customFormat="1" ht="20.100000000000001" customHeight="1" x14ac:dyDescent="0.25">
      <c r="A1305" s="245"/>
      <c r="B1305" s="246" t="s">
        <v>810</v>
      </c>
      <c r="C1305" s="246"/>
      <c r="D1305" s="246"/>
      <c r="E1305" s="246"/>
      <c r="F1305" s="247"/>
      <c r="G1305" s="248"/>
      <c r="H1305" s="249"/>
      <c r="I1305" s="249"/>
      <c r="J1305" s="248"/>
      <c r="K1305" s="249">
        <f>15.1-0.9</f>
        <v>14.2</v>
      </c>
      <c r="L1305" s="250"/>
      <c r="M1305" s="149"/>
    </row>
    <row r="1306" spans="1:18" s="166" customFormat="1" ht="20.100000000000001" customHeight="1" x14ac:dyDescent="0.25">
      <c r="A1306" s="245"/>
      <c r="B1306" s="246" t="s">
        <v>1602</v>
      </c>
      <c r="C1306" s="246"/>
      <c r="D1306" s="246"/>
      <c r="E1306" s="246"/>
      <c r="F1306" s="247"/>
      <c r="G1306" s="248"/>
      <c r="H1306" s="249"/>
      <c r="I1306" s="249"/>
      <c r="J1306" s="248"/>
      <c r="K1306" s="249">
        <f>9.4-0.9</f>
        <v>8.5</v>
      </c>
      <c r="L1306" s="250"/>
      <c r="M1306" s="149"/>
    </row>
    <row r="1307" spans="1:18" s="166" customFormat="1" ht="20.100000000000001" customHeight="1" x14ac:dyDescent="0.25">
      <c r="A1307" s="245"/>
      <c r="B1307" s="246" t="s">
        <v>1622</v>
      </c>
      <c r="C1307" s="246"/>
      <c r="D1307" s="246"/>
      <c r="E1307" s="246"/>
      <c r="F1307" s="247"/>
      <c r="G1307" s="248"/>
      <c r="H1307" s="249"/>
      <c r="I1307" s="249"/>
      <c r="J1307" s="248"/>
      <c r="K1307" s="249">
        <f>23.6-2*0.9-1-1.2</f>
        <v>19.600000000000001</v>
      </c>
      <c r="L1307" s="250"/>
      <c r="M1307" s="149"/>
    </row>
    <row r="1308" spans="1:18" s="166" customFormat="1" ht="20.100000000000001" customHeight="1" x14ac:dyDescent="0.25">
      <c r="A1308" s="245"/>
      <c r="B1308" s="246" t="s">
        <v>1670</v>
      </c>
      <c r="C1308" s="246"/>
      <c r="D1308" s="246"/>
      <c r="E1308" s="246"/>
      <c r="F1308" s="247"/>
      <c r="G1308" s="248"/>
      <c r="H1308" s="249"/>
      <c r="I1308" s="249"/>
      <c r="J1308" s="248"/>
      <c r="K1308" s="249">
        <f>11.7-0.9</f>
        <v>10.799999999999999</v>
      </c>
      <c r="L1308" s="250"/>
      <c r="M1308" s="149"/>
    </row>
    <row r="1309" spans="1:18" s="166" customFormat="1" ht="20.100000000000001" customHeight="1" x14ac:dyDescent="0.25">
      <c r="A1309" s="245"/>
      <c r="B1309" s="246" t="s">
        <v>1604</v>
      </c>
      <c r="C1309" s="246"/>
      <c r="D1309" s="246"/>
      <c r="E1309" s="246"/>
      <c r="F1309" s="247"/>
      <c r="G1309" s="248"/>
      <c r="H1309" s="249"/>
      <c r="I1309" s="249"/>
      <c r="J1309" s="248"/>
      <c r="K1309" s="249">
        <f>13.25-0.9</f>
        <v>12.35</v>
      </c>
      <c r="L1309" s="250"/>
      <c r="M1309" s="149"/>
    </row>
    <row r="1310" spans="1:18" s="166" customFormat="1" ht="20.100000000000001" customHeight="1" x14ac:dyDescent="0.25">
      <c r="A1310" s="245"/>
      <c r="B1310" s="246" t="s">
        <v>1605</v>
      </c>
      <c r="C1310" s="246"/>
      <c r="D1310" s="246"/>
      <c r="E1310" s="246"/>
      <c r="F1310" s="247"/>
      <c r="G1310" s="248"/>
      <c r="H1310" s="249"/>
      <c r="I1310" s="249"/>
      <c r="J1310" s="248"/>
      <c r="K1310" s="249">
        <f t="shared" ref="K1310:K1314" si="81">13.25-0.9</f>
        <v>12.35</v>
      </c>
      <c r="L1310" s="250"/>
      <c r="M1310" s="149"/>
    </row>
    <row r="1311" spans="1:18" s="166" customFormat="1" ht="20.100000000000001" customHeight="1" x14ac:dyDescent="0.25">
      <c r="A1311" s="245"/>
      <c r="B1311" s="246" t="s">
        <v>1606</v>
      </c>
      <c r="C1311" s="246"/>
      <c r="D1311" s="246"/>
      <c r="E1311" s="246"/>
      <c r="F1311" s="247"/>
      <c r="G1311" s="248"/>
      <c r="H1311" s="249"/>
      <c r="I1311" s="249"/>
      <c r="J1311" s="248"/>
      <c r="K1311" s="249">
        <f t="shared" si="81"/>
        <v>12.35</v>
      </c>
      <c r="L1311" s="250"/>
      <c r="M1311" s="149"/>
    </row>
    <row r="1312" spans="1:18" s="166" customFormat="1" ht="20.100000000000001" customHeight="1" x14ac:dyDescent="0.25">
      <c r="A1312" s="245"/>
      <c r="B1312" s="246" t="s">
        <v>1607</v>
      </c>
      <c r="C1312" s="246"/>
      <c r="D1312" s="246"/>
      <c r="E1312" s="246"/>
      <c r="F1312" s="247"/>
      <c r="G1312" s="248"/>
      <c r="H1312" s="249"/>
      <c r="I1312" s="249"/>
      <c r="J1312" s="248"/>
      <c r="K1312" s="249">
        <f t="shared" si="81"/>
        <v>12.35</v>
      </c>
      <c r="L1312" s="250"/>
      <c r="M1312" s="149"/>
    </row>
    <row r="1313" spans="1:18" s="166" customFormat="1" ht="20.100000000000001" customHeight="1" x14ac:dyDescent="0.25">
      <c r="A1313" s="245"/>
      <c r="B1313" s="246" t="s">
        <v>1608</v>
      </c>
      <c r="C1313" s="246"/>
      <c r="D1313" s="246"/>
      <c r="E1313" s="246"/>
      <c r="F1313" s="247"/>
      <c r="G1313" s="248"/>
      <c r="H1313" s="249"/>
      <c r="I1313" s="249"/>
      <c r="J1313" s="248"/>
      <c r="K1313" s="249">
        <f t="shared" si="81"/>
        <v>12.35</v>
      </c>
      <c r="L1313" s="250"/>
      <c r="M1313" s="149"/>
    </row>
    <row r="1314" spans="1:18" s="166" customFormat="1" ht="20.100000000000001" customHeight="1" x14ac:dyDescent="0.25">
      <c r="A1314" s="245"/>
      <c r="B1314" s="246" t="s">
        <v>1609</v>
      </c>
      <c r="C1314" s="246"/>
      <c r="D1314" s="246"/>
      <c r="E1314" s="246"/>
      <c r="F1314" s="247"/>
      <c r="G1314" s="248"/>
      <c r="H1314" s="249"/>
      <c r="I1314" s="249"/>
      <c r="J1314" s="248"/>
      <c r="K1314" s="249">
        <f t="shared" si="81"/>
        <v>12.35</v>
      </c>
      <c r="L1314" s="250"/>
      <c r="M1314" s="149"/>
    </row>
    <row r="1315" spans="1:18" s="166" customFormat="1" ht="20.100000000000001" customHeight="1" x14ac:dyDescent="0.25">
      <c r="A1315" s="245"/>
      <c r="B1315" s="246" t="s">
        <v>1671</v>
      </c>
      <c r="C1315" s="246"/>
      <c r="D1315" s="246"/>
      <c r="E1315" s="246"/>
      <c r="F1315" s="247"/>
      <c r="G1315" s="248"/>
      <c r="H1315" s="249"/>
      <c r="I1315" s="249"/>
      <c r="J1315" s="248"/>
      <c r="K1315" s="249">
        <f>18.18-0.9</f>
        <v>17.28</v>
      </c>
      <c r="L1315" s="250"/>
      <c r="M1315" s="149"/>
    </row>
    <row r="1316" spans="1:18" s="166" customFormat="1" ht="20.100000000000001" customHeight="1" x14ac:dyDescent="0.25">
      <c r="A1316" s="245"/>
      <c r="B1316" s="246" t="s">
        <v>1672</v>
      </c>
      <c r="C1316" s="246"/>
      <c r="D1316" s="246"/>
      <c r="E1316" s="246"/>
      <c r="F1316" s="247"/>
      <c r="G1316" s="248"/>
      <c r="H1316" s="249"/>
      <c r="I1316" s="249"/>
      <c r="J1316" s="248"/>
      <c r="K1316" s="249">
        <f>13.11-0.9</f>
        <v>12.209999999999999</v>
      </c>
      <c r="L1316" s="250"/>
      <c r="M1316" s="149"/>
    </row>
    <row r="1317" spans="1:18" s="166" customFormat="1" ht="20.100000000000001" customHeight="1" x14ac:dyDescent="0.25">
      <c r="A1317" s="245"/>
      <c r="B1317" s="246" t="s">
        <v>1610</v>
      </c>
      <c r="C1317" s="246"/>
      <c r="D1317" s="246"/>
      <c r="E1317" s="246"/>
      <c r="F1317" s="247"/>
      <c r="G1317" s="248"/>
      <c r="H1317" s="249"/>
      <c r="I1317" s="249"/>
      <c r="J1317" s="248"/>
      <c r="K1317" s="249">
        <v>13</v>
      </c>
      <c r="L1317" s="250"/>
      <c r="M1317" s="149"/>
    </row>
    <row r="1318" spans="1:18" s="166" customFormat="1" ht="20.100000000000001" customHeight="1" x14ac:dyDescent="0.25">
      <c r="A1318" s="245"/>
      <c r="B1318" s="246" t="s">
        <v>1391</v>
      </c>
      <c r="C1318" s="246"/>
      <c r="D1318" s="246"/>
      <c r="E1318" s="246"/>
      <c r="F1318" s="247"/>
      <c r="G1318" s="248"/>
      <c r="H1318" s="249"/>
      <c r="I1318" s="249"/>
      <c r="J1318" s="248"/>
      <c r="K1318" s="249">
        <f>10.86-0.9</f>
        <v>9.9599999999999991</v>
      </c>
      <c r="L1318" s="250"/>
      <c r="M1318" s="149"/>
    </row>
    <row r="1319" spans="1:18" s="166" customFormat="1" ht="20.100000000000001" customHeight="1" x14ac:dyDescent="0.25">
      <c r="A1319" s="245"/>
      <c r="B1319" s="246" t="s">
        <v>1453</v>
      </c>
      <c r="C1319" s="246"/>
      <c r="D1319" s="246"/>
      <c r="E1319" s="246"/>
      <c r="F1319" s="247"/>
      <c r="G1319" s="248"/>
      <c r="H1319" s="249"/>
      <c r="I1319" s="249"/>
      <c r="J1319" s="248"/>
      <c r="K1319" s="249">
        <f>9.5-0.9</f>
        <v>8.6</v>
      </c>
      <c r="L1319" s="250"/>
      <c r="M1319" s="149"/>
    </row>
    <row r="1320" spans="1:18" s="166" customFormat="1" ht="20.100000000000001" customHeight="1" x14ac:dyDescent="0.25">
      <c r="A1320" s="245"/>
      <c r="B1320" s="246" t="s">
        <v>812</v>
      </c>
      <c r="C1320" s="246"/>
      <c r="D1320" s="246"/>
      <c r="E1320" s="246"/>
      <c r="F1320" s="247"/>
      <c r="G1320" s="248"/>
      <c r="H1320" s="249"/>
      <c r="I1320" s="249"/>
      <c r="J1320" s="248"/>
      <c r="K1320" s="249">
        <f>25.74-1.2-0.9-0.9</f>
        <v>22.740000000000002</v>
      </c>
      <c r="L1320" s="250"/>
      <c r="M1320" s="149"/>
    </row>
    <row r="1321" spans="1:18" s="166" customFormat="1" ht="20.100000000000001" customHeight="1" x14ac:dyDescent="0.25">
      <c r="A1321" s="245"/>
      <c r="B1321" s="246" t="s">
        <v>813</v>
      </c>
      <c r="C1321" s="246"/>
      <c r="D1321" s="246"/>
      <c r="E1321" s="246"/>
      <c r="F1321" s="247"/>
      <c r="G1321" s="248"/>
      <c r="H1321" s="249"/>
      <c r="I1321" s="249"/>
      <c r="J1321" s="248"/>
      <c r="K1321" s="249">
        <f>35.2-12*0.9-1.2-1.2</f>
        <v>22.000000000000004</v>
      </c>
      <c r="L1321" s="250"/>
      <c r="M1321" s="149"/>
    </row>
    <row r="1322" spans="1:18" s="154" customFormat="1" ht="20.100000000000001" customHeight="1" x14ac:dyDescent="0.25">
      <c r="A1322" s="475" t="s">
        <v>1409</v>
      </c>
      <c r="B1322" s="476"/>
      <c r="C1322" s="476"/>
      <c r="D1322" s="476"/>
      <c r="E1322" s="476"/>
      <c r="F1322" s="476"/>
      <c r="G1322" s="476"/>
      <c r="H1322" s="476"/>
      <c r="I1322" s="476"/>
      <c r="J1322" s="476"/>
      <c r="K1322" s="477"/>
      <c r="L1322" s="250"/>
      <c r="M1322" s="149"/>
      <c r="N1322" s="149"/>
      <c r="O1322" s="149"/>
      <c r="P1322" s="149"/>
      <c r="Q1322" s="149"/>
      <c r="R1322" s="149"/>
    </row>
    <row r="1323" spans="1:18" s="166" customFormat="1" ht="20.100000000000001" customHeight="1" x14ac:dyDescent="0.25">
      <c r="A1323" s="245"/>
      <c r="B1323" s="246" t="s">
        <v>1556</v>
      </c>
      <c r="C1323" s="246"/>
      <c r="D1323" s="246"/>
      <c r="E1323" s="246"/>
      <c r="F1323" s="247"/>
      <c r="G1323" s="248"/>
      <c r="H1323" s="249"/>
      <c r="I1323" s="249"/>
      <c r="J1323" s="248"/>
      <c r="K1323" s="249">
        <f>23.6-0.9</f>
        <v>22.700000000000003</v>
      </c>
      <c r="L1323" s="250"/>
      <c r="M1323" s="149"/>
    </row>
    <row r="1324" spans="1:18" s="166" customFormat="1" ht="20.100000000000001" customHeight="1" x14ac:dyDescent="0.25">
      <c r="A1324" s="245"/>
      <c r="B1324" s="246" t="s">
        <v>811</v>
      </c>
      <c r="C1324" s="246"/>
      <c r="D1324" s="246"/>
      <c r="E1324" s="246"/>
      <c r="F1324" s="247"/>
      <c r="G1324" s="248"/>
      <c r="H1324" s="249"/>
      <c r="I1324" s="249"/>
      <c r="J1324" s="248"/>
      <c r="K1324" s="249">
        <f>11.5-0.9</f>
        <v>10.6</v>
      </c>
      <c r="L1324" s="250"/>
      <c r="M1324" s="149"/>
    </row>
    <row r="1325" spans="1:18" s="166" customFormat="1" ht="20.100000000000001" customHeight="1" x14ac:dyDescent="0.25">
      <c r="A1325" s="245"/>
      <c r="B1325" s="246" t="s">
        <v>1673</v>
      </c>
      <c r="C1325" s="246"/>
      <c r="D1325" s="246"/>
      <c r="E1325" s="246"/>
      <c r="F1325" s="247"/>
      <c r="G1325" s="248"/>
      <c r="H1325" s="249"/>
      <c r="I1325" s="249"/>
      <c r="J1325" s="248"/>
      <c r="K1325" s="249">
        <f>8.2-0.9</f>
        <v>7.2999999999999989</v>
      </c>
      <c r="L1325" s="250"/>
      <c r="M1325" s="149"/>
    </row>
    <row r="1326" spans="1:18" s="166" customFormat="1" ht="20.100000000000001" customHeight="1" x14ac:dyDescent="0.25">
      <c r="A1326" s="245"/>
      <c r="B1326" s="246" t="s">
        <v>1674</v>
      </c>
      <c r="C1326" s="246"/>
      <c r="D1326" s="246"/>
      <c r="E1326" s="246"/>
      <c r="F1326" s="247"/>
      <c r="G1326" s="248"/>
      <c r="H1326" s="249"/>
      <c r="I1326" s="249"/>
      <c r="J1326" s="248"/>
      <c r="K1326" s="249">
        <f>8.2-0.9</f>
        <v>7.2999999999999989</v>
      </c>
      <c r="L1326" s="250"/>
      <c r="M1326" s="149"/>
    </row>
    <row r="1327" spans="1:18" s="166" customFormat="1" ht="20.100000000000001" customHeight="1" x14ac:dyDescent="0.25">
      <c r="A1327" s="245"/>
      <c r="B1327" s="246" t="s">
        <v>813</v>
      </c>
      <c r="C1327" s="246"/>
      <c r="D1327" s="246"/>
      <c r="E1327" s="246"/>
      <c r="F1327" s="247"/>
      <c r="G1327" s="248"/>
      <c r="H1327" s="249"/>
      <c r="I1327" s="249"/>
      <c r="J1327" s="248"/>
      <c r="K1327" s="249">
        <f>26.86-4.95-1</f>
        <v>20.91</v>
      </c>
      <c r="L1327" s="250"/>
      <c r="M1327" s="149"/>
    </row>
    <row r="1328" spans="1:18" s="166" customFormat="1" ht="20.100000000000001" customHeight="1" x14ac:dyDescent="0.25">
      <c r="A1328" s="245"/>
      <c r="B1328" s="246" t="s">
        <v>1675</v>
      </c>
      <c r="C1328" s="246"/>
      <c r="D1328" s="246"/>
      <c r="E1328" s="246"/>
      <c r="F1328" s="247"/>
      <c r="G1328" s="248"/>
      <c r="H1328" s="249"/>
      <c r="I1328" s="249"/>
      <c r="J1328" s="248"/>
      <c r="K1328" s="249">
        <f>49.45-9*0.9</f>
        <v>41.35</v>
      </c>
      <c r="L1328" s="250"/>
      <c r="M1328" s="149"/>
    </row>
    <row r="1329" spans="1:18" s="166" customFormat="1" ht="20.100000000000001" customHeight="1" x14ac:dyDescent="0.25">
      <c r="A1329" s="245"/>
      <c r="B1329" s="246" t="s">
        <v>1558</v>
      </c>
      <c r="C1329" s="246"/>
      <c r="D1329" s="246"/>
      <c r="E1329" s="246"/>
      <c r="F1329" s="247"/>
      <c r="G1329" s="248"/>
      <c r="H1329" s="249"/>
      <c r="I1329" s="249"/>
      <c r="J1329" s="248"/>
      <c r="K1329" s="249">
        <f>29.5-0.9</f>
        <v>28.6</v>
      </c>
      <c r="L1329" s="250"/>
      <c r="M1329" s="149"/>
    </row>
    <row r="1330" spans="1:18" s="166" customFormat="1" ht="20.100000000000001" customHeight="1" x14ac:dyDescent="0.25">
      <c r="A1330" s="245"/>
      <c r="B1330" s="246" t="s">
        <v>1558</v>
      </c>
      <c r="C1330" s="246"/>
      <c r="D1330" s="246"/>
      <c r="E1330" s="246"/>
      <c r="F1330" s="247"/>
      <c r="G1330" s="248"/>
      <c r="H1330" s="249"/>
      <c r="I1330" s="249"/>
      <c r="J1330" s="248"/>
      <c r="K1330" s="249">
        <f>15.99-0.9</f>
        <v>15.09</v>
      </c>
      <c r="L1330" s="250"/>
      <c r="M1330" s="149"/>
    </row>
    <row r="1331" spans="1:18" s="166" customFormat="1" ht="20.100000000000001" customHeight="1" x14ac:dyDescent="0.25">
      <c r="A1331" s="245"/>
      <c r="B1331" s="246" t="s">
        <v>1676</v>
      </c>
      <c r="C1331" s="246"/>
      <c r="D1331" s="246"/>
      <c r="E1331" s="246"/>
      <c r="F1331" s="247"/>
      <c r="G1331" s="248"/>
      <c r="H1331" s="249"/>
      <c r="I1331" s="249"/>
      <c r="J1331" s="248"/>
      <c r="K1331" s="249">
        <f>16.9-0.9</f>
        <v>15.999999999999998</v>
      </c>
      <c r="L1331" s="250"/>
      <c r="M1331" s="149"/>
    </row>
    <row r="1332" spans="1:18" s="166" customFormat="1" ht="20.100000000000001" customHeight="1" x14ac:dyDescent="0.25">
      <c r="A1332" s="245"/>
      <c r="B1332" s="246" t="s">
        <v>1558</v>
      </c>
      <c r="C1332" s="246"/>
      <c r="D1332" s="246"/>
      <c r="E1332" s="246"/>
      <c r="F1332" s="247"/>
      <c r="G1332" s="248"/>
      <c r="H1332" s="249"/>
      <c r="I1332" s="249"/>
      <c r="J1332" s="248"/>
      <c r="K1332" s="249">
        <f>14.5-0.9</f>
        <v>13.6</v>
      </c>
      <c r="L1332" s="250"/>
      <c r="M1332" s="149"/>
    </row>
    <row r="1333" spans="1:18" s="166" customFormat="1" ht="20.100000000000001" customHeight="1" x14ac:dyDescent="0.25">
      <c r="A1333" s="245"/>
      <c r="B1333" s="246" t="s">
        <v>1558</v>
      </c>
      <c r="C1333" s="246"/>
      <c r="D1333" s="246"/>
      <c r="E1333" s="246"/>
      <c r="F1333" s="247"/>
      <c r="G1333" s="248"/>
      <c r="H1333" s="249"/>
      <c r="I1333" s="249"/>
      <c r="J1333" s="248"/>
      <c r="K1333" s="249">
        <f>14.5-0.9</f>
        <v>13.6</v>
      </c>
      <c r="L1333" s="250"/>
      <c r="M1333" s="149"/>
    </row>
    <row r="1334" spans="1:18" s="166" customFormat="1" ht="20.100000000000001" customHeight="1" x14ac:dyDescent="0.25">
      <c r="A1334" s="245"/>
      <c r="B1334" s="246" t="s">
        <v>1677</v>
      </c>
      <c r="C1334" s="246"/>
      <c r="D1334" s="246"/>
      <c r="E1334" s="246"/>
      <c r="F1334" s="247"/>
      <c r="G1334" s="248"/>
      <c r="H1334" s="249"/>
      <c r="I1334" s="249"/>
      <c r="J1334" s="248"/>
      <c r="K1334" s="249">
        <f>9.4-0.9</f>
        <v>8.5</v>
      </c>
      <c r="L1334" s="250"/>
      <c r="M1334" s="149"/>
    </row>
    <row r="1335" spans="1:18" s="166" customFormat="1" ht="20.100000000000001" customHeight="1" x14ac:dyDescent="0.25">
      <c r="A1335" s="245"/>
      <c r="B1335" s="246" t="s">
        <v>745</v>
      </c>
      <c r="C1335" s="246"/>
      <c r="D1335" s="246"/>
      <c r="E1335" s="246"/>
      <c r="F1335" s="247"/>
      <c r="G1335" s="248"/>
      <c r="H1335" s="249"/>
      <c r="I1335" s="249"/>
      <c r="J1335" s="248"/>
      <c r="K1335" s="249">
        <f>9.4-0.9</f>
        <v>8.5</v>
      </c>
      <c r="L1335" s="250"/>
      <c r="M1335" s="149"/>
    </row>
    <row r="1336" spans="1:18" s="166" customFormat="1" ht="20.100000000000001" customHeight="1" x14ac:dyDescent="0.25">
      <c r="A1336" s="245"/>
      <c r="B1336" s="246" t="s">
        <v>1678</v>
      </c>
      <c r="C1336" s="246"/>
      <c r="D1336" s="246"/>
      <c r="E1336" s="246"/>
      <c r="F1336" s="247"/>
      <c r="G1336" s="248"/>
      <c r="H1336" s="249"/>
      <c r="I1336" s="249"/>
      <c r="J1336" s="248"/>
      <c r="K1336" s="249">
        <f>29.5-2.35-2.4-0.9</f>
        <v>23.85</v>
      </c>
      <c r="L1336" s="250"/>
      <c r="M1336" s="149"/>
    </row>
    <row r="1337" spans="1:18" s="166" customFormat="1" ht="20.100000000000001" customHeight="1" x14ac:dyDescent="0.25">
      <c r="A1337" s="245"/>
      <c r="B1337" s="246" t="s">
        <v>1679</v>
      </c>
      <c r="C1337" s="246"/>
      <c r="D1337" s="246"/>
      <c r="E1337" s="246"/>
      <c r="F1337" s="247"/>
      <c r="G1337" s="248"/>
      <c r="H1337" s="249"/>
      <c r="I1337" s="249"/>
      <c r="J1337" s="248"/>
      <c r="K1337" s="249">
        <f>14.45-0.9</f>
        <v>13.549999999999999</v>
      </c>
      <c r="L1337" s="250"/>
      <c r="M1337" s="149"/>
    </row>
    <row r="1338" spans="1:18" s="166" customFormat="1" ht="20.100000000000001" customHeight="1" x14ac:dyDescent="0.25">
      <c r="A1338" s="245"/>
      <c r="B1338" s="246" t="s">
        <v>1680</v>
      </c>
      <c r="C1338" s="246"/>
      <c r="D1338" s="246"/>
      <c r="E1338" s="246"/>
      <c r="F1338" s="247"/>
      <c r="G1338" s="248"/>
      <c r="H1338" s="249"/>
      <c r="I1338" s="249"/>
      <c r="J1338" s="248"/>
      <c r="K1338" s="249">
        <f>14.45-2.4-2.4</f>
        <v>9.6499999999999986</v>
      </c>
      <c r="L1338" s="250"/>
      <c r="M1338" s="149"/>
    </row>
    <row r="1339" spans="1:18" s="154" customFormat="1" ht="20.100000000000001" customHeight="1" x14ac:dyDescent="0.25">
      <c r="A1339" s="475" t="s">
        <v>1411</v>
      </c>
      <c r="B1339" s="476"/>
      <c r="C1339" s="476"/>
      <c r="D1339" s="476"/>
      <c r="E1339" s="476"/>
      <c r="F1339" s="476"/>
      <c r="G1339" s="476"/>
      <c r="H1339" s="476"/>
      <c r="I1339" s="476"/>
      <c r="J1339" s="476"/>
      <c r="K1339" s="477"/>
      <c r="L1339" s="250"/>
      <c r="M1339" s="149"/>
      <c r="N1339" s="149"/>
      <c r="O1339" s="149"/>
      <c r="P1339" s="149"/>
      <c r="Q1339" s="149"/>
      <c r="R1339" s="149"/>
    </row>
    <row r="1340" spans="1:18" s="166" customFormat="1" ht="20.100000000000001" customHeight="1" x14ac:dyDescent="0.25">
      <c r="A1340" s="245"/>
      <c r="B1340" s="246" t="s">
        <v>1682</v>
      </c>
      <c r="C1340" s="246"/>
      <c r="D1340" s="246"/>
      <c r="E1340" s="246"/>
      <c r="F1340" s="247"/>
      <c r="G1340" s="248"/>
      <c r="H1340" s="249"/>
      <c r="I1340" s="249"/>
      <c r="J1340" s="248"/>
      <c r="K1340" s="249">
        <f>17.5-0.9</f>
        <v>16.600000000000001</v>
      </c>
      <c r="L1340" s="250"/>
      <c r="M1340" s="149"/>
    </row>
    <row r="1341" spans="1:18" s="166" customFormat="1" ht="20.100000000000001" customHeight="1" x14ac:dyDescent="0.25">
      <c r="A1341" s="245"/>
      <c r="B1341" s="246" t="s">
        <v>1665</v>
      </c>
      <c r="C1341" s="246"/>
      <c r="D1341" s="246"/>
      <c r="E1341" s="246"/>
      <c r="F1341" s="247"/>
      <c r="G1341" s="248"/>
      <c r="H1341" s="249"/>
      <c r="I1341" s="249"/>
      <c r="J1341" s="248"/>
      <c r="K1341" s="249">
        <f>13.1-0.9</f>
        <v>12.2</v>
      </c>
      <c r="L1341" s="250"/>
      <c r="M1341" s="149"/>
    </row>
    <row r="1342" spans="1:18" s="166" customFormat="1" ht="20.100000000000001" customHeight="1" x14ac:dyDescent="0.25">
      <c r="A1342" s="245"/>
      <c r="B1342" s="246" t="s">
        <v>1469</v>
      </c>
      <c r="C1342" s="246"/>
      <c r="D1342" s="246"/>
      <c r="E1342" s="246"/>
      <c r="F1342" s="247"/>
      <c r="G1342" s="248"/>
      <c r="H1342" s="249"/>
      <c r="I1342" s="249"/>
      <c r="J1342" s="248"/>
      <c r="K1342" s="249">
        <f>17.2-0.9-1</f>
        <v>15.3</v>
      </c>
      <c r="L1342" s="250"/>
      <c r="M1342" s="149"/>
    </row>
    <row r="1343" spans="1:18" s="166" customFormat="1" ht="20.100000000000001" customHeight="1" x14ac:dyDescent="0.25">
      <c r="A1343" s="245"/>
      <c r="B1343" s="246" t="s">
        <v>1664</v>
      </c>
      <c r="C1343" s="246"/>
      <c r="D1343" s="246"/>
      <c r="E1343" s="246"/>
      <c r="F1343" s="247"/>
      <c r="G1343" s="248"/>
      <c r="H1343" s="249"/>
      <c r="I1343" s="249"/>
      <c r="J1343" s="248"/>
      <c r="K1343" s="249">
        <f>17.1-0.9</f>
        <v>16.200000000000003</v>
      </c>
      <c r="L1343" s="250"/>
      <c r="M1343" s="149"/>
    </row>
    <row r="1344" spans="1:18" s="166" customFormat="1" ht="20.100000000000001" customHeight="1" x14ac:dyDescent="0.25">
      <c r="A1344" s="245"/>
      <c r="B1344" s="246" t="s">
        <v>1683</v>
      </c>
      <c r="C1344" s="246"/>
      <c r="D1344" s="246"/>
      <c r="E1344" s="246"/>
      <c r="F1344" s="247"/>
      <c r="G1344" s="248"/>
      <c r="H1344" s="249"/>
      <c r="I1344" s="249"/>
      <c r="J1344" s="248"/>
      <c r="K1344" s="249">
        <f>36.3-2.45-4*0.9-1.5</f>
        <v>28.749999999999993</v>
      </c>
      <c r="L1344" s="250"/>
      <c r="M1344" s="149"/>
    </row>
    <row r="1345" spans="1:18" s="166" customFormat="1" ht="20.100000000000001" customHeight="1" x14ac:dyDescent="0.25">
      <c r="A1345" s="245"/>
      <c r="B1345" s="246" t="s">
        <v>1684</v>
      </c>
      <c r="C1345" s="246"/>
      <c r="D1345" s="246"/>
      <c r="E1345" s="246"/>
      <c r="F1345" s="247"/>
      <c r="G1345" s="248"/>
      <c r="H1345" s="249"/>
      <c r="I1345" s="249"/>
      <c r="J1345" s="248"/>
      <c r="K1345" s="249">
        <f>17.1-0.9</f>
        <v>16.200000000000003</v>
      </c>
      <c r="L1345" s="250"/>
      <c r="M1345" s="149"/>
    </row>
    <row r="1346" spans="1:18" s="166" customFormat="1" ht="20.100000000000001" customHeight="1" x14ac:dyDescent="0.25">
      <c r="A1346" s="245"/>
      <c r="B1346" s="246" t="s">
        <v>1685</v>
      </c>
      <c r="C1346" s="246"/>
      <c r="D1346" s="246"/>
      <c r="E1346" s="246"/>
      <c r="F1346" s="247"/>
      <c r="G1346" s="248"/>
      <c r="H1346" s="249"/>
      <c r="I1346" s="249"/>
      <c r="J1346" s="248"/>
      <c r="K1346" s="249">
        <f>12.9-0.9</f>
        <v>12</v>
      </c>
      <c r="L1346" s="250"/>
      <c r="M1346" s="149"/>
    </row>
    <row r="1347" spans="1:18" s="166" customFormat="1" ht="20.100000000000001" customHeight="1" x14ac:dyDescent="0.25">
      <c r="A1347" s="245"/>
      <c r="B1347" s="246" t="s">
        <v>1686</v>
      </c>
      <c r="C1347" s="246"/>
      <c r="D1347" s="246"/>
      <c r="E1347" s="246"/>
      <c r="F1347" s="247"/>
      <c r="G1347" s="248"/>
      <c r="H1347" s="249"/>
      <c r="I1347" s="249"/>
      <c r="J1347" s="248"/>
      <c r="K1347" s="249">
        <f>12.9-0.9</f>
        <v>12</v>
      </c>
      <c r="L1347" s="250"/>
      <c r="M1347" s="149"/>
    </row>
    <row r="1348" spans="1:18" s="166" customFormat="1" ht="20.100000000000001" customHeight="1" x14ac:dyDescent="0.25">
      <c r="A1348" s="245"/>
      <c r="B1348" s="246" t="s">
        <v>813</v>
      </c>
      <c r="C1348" s="246"/>
      <c r="D1348" s="246"/>
      <c r="E1348" s="246"/>
      <c r="F1348" s="247"/>
      <c r="G1348" s="248"/>
      <c r="H1348" s="249"/>
      <c r="I1348" s="249"/>
      <c r="J1348" s="248"/>
      <c r="K1348" s="249">
        <f>18.3-6*0.9-2*1.5</f>
        <v>9.9</v>
      </c>
      <c r="L1348" s="250"/>
      <c r="M1348" s="149"/>
    </row>
    <row r="1349" spans="1:18" s="166" customFormat="1" ht="20.100000000000001" customHeight="1" x14ac:dyDescent="0.25">
      <c r="A1349" s="245"/>
      <c r="B1349" s="246" t="s">
        <v>1584</v>
      </c>
      <c r="C1349" s="246"/>
      <c r="D1349" s="246"/>
      <c r="E1349" s="246"/>
      <c r="F1349" s="247"/>
      <c r="G1349" s="248"/>
      <c r="H1349" s="249"/>
      <c r="I1349" s="249"/>
      <c r="J1349" s="248"/>
      <c r="K1349" s="249">
        <f>12.9-0.9</f>
        <v>12</v>
      </c>
      <c r="L1349" s="250"/>
      <c r="M1349" s="149"/>
    </row>
    <row r="1350" spans="1:18" s="166" customFormat="1" ht="20.100000000000001" customHeight="1" x14ac:dyDescent="0.25">
      <c r="A1350" s="245"/>
      <c r="B1350" s="246" t="s">
        <v>1569</v>
      </c>
      <c r="C1350" s="246"/>
      <c r="D1350" s="246"/>
      <c r="E1350" s="246"/>
      <c r="F1350" s="247"/>
      <c r="G1350" s="248"/>
      <c r="H1350" s="249"/>
      <c r="I1350" s="249"/>
      <c r="J1350" s="248"/>
      <c r="K1350" s="249">
        <f>12.9-0.9</f>
        <v>12</v>
      </c>
      <c r="L1350" s="250"/>
      <c r="M1350" s="149"/>
    </row>
    <row r="1351" spans="1:18" s="166" customFormat="1" ht="20.100000000000001" customHeight="1" x14ac:dyDescent="0.25">
      <c r="A1351" s="245"/>
      <c r="B1351" s="246" t="s">
        <v>1660</v>
      </c>
      <c r="C1351" s="246"/>
      <c r="D1351" s="246"/>
      <c r="E1351" s="246"/>
      <c r="F1351" s="247"/>
      <c r="G1351" s="248"/>
      <c r="H1351" s="249"/>
      <c r="I1351" s="249"/>
      <c r="J1351" s="248"/>
      <c r="K1351" s="249">
        <f t="shared" ref="K1351:K1352" si="82">12.9-0.9</f>
        <v>12</v>
      </c>
      <c r="L1351" s="250"/>
      <c r="M1351" s="149"/>
    </row>
    <row r="1352" spans="1:18" s="166" customFormat="1" ht="20.100000000000001" customHeight="1" x14ac:dyDescent="0.25">
      <c r="A1352" s="245"/>
      <c r="B1352" s="246" t="s">
        <v>1658</v>
      </c>
      <c r="C1352" s="246"/>
      <c r="D1352" s="246"/>
      <c r="E1352" s="246"/>
      <c r="F1352" s="247"/>
      <c r="G1352" s="248"/>
      <c r="H1352" s="249"/>
      <c r="I1352" s="249"/>
      <c r="J1352" s="248"/>
      <c r="K1352" s="249">
        <f t="shared" si="82"/>
        <v>12</v>
      </c>
      <c r="L1352" s="250"/>
      <c r="M1352" s="149"/>
    </row>
    <row r="1353" spans="1:18" s="154" customFormat="1" ht="20.100000000000001" customHeight="1" x14ac:dyDescent="0.25">
      <c r="A1353" s="475" t="s">
        <v>1413</v>
      </c>
      <c r="B1353" s="476"/>
      <c r="C1353" s="476"/>
      <c r="D1353" s="476"/>
      <c r="E1353" s="476"/>
      <c r="F1353" s="476"/>
      <c r="G1353" s="476"/>
      <c r="H1353" s="476"/>
      <c r="I1353" s="476"/>
      <c r="J1353" s="476"/>
      <c r="K1353" s="477"/>
      <c r="L1353" s="250"/>
      <c r="M1353" s="149"/>
      <c r="N1353" s="149"/>
      <c r="O1353" s="149"/>
      <c r="P1353" s="149"/>
      <c r="Q1353" s="149"/>
      <c r="R1353" s="149"/>
    </row>
    <row r="1354" spans="1:18" s="166" customFormat="1" ht="20.100000000000001" customHeight="1" x14ac:dyDescent="0.25">
      <c r="A1354" s="245"/>
      <c r="B1354" s="246" t="s">
        <v>1568</v>
      </c>
      <c r="C1354" s="246"/>
      <c r="D1354" s="246"/>
      <c r="E1354" s="246"/>
      <c r="F1354" s="247"/>
      <c r="G1354" s="248"/>
      <c r="H1354" s="249"/>
      <c r="I1354" s="249"/>
      <c r="J1354" s="248"/>
      <c r="K1354" s="249">
        <f>12.7-1.1</f>
        <v>11.6</v>
      </c>
      <c r="L1354" s="250"/>
      <c r="M1354" s="149"/>
    </row>
    <row r="1355" spans="1:18" s="166" customFormat="1" ht="20.100000000000001" customHeight="1" x14ac:dyDescent="0.25">
      <c r="A1355" s="245"/>
      <c r="B1355" s="246" t="s">
        <v>1568</v>
      </c>
      <c r="C1355" s="246"/>
      <c r="D1355" s="246"/>
      <c r="E1355" s="246"/>
      <c r="F1355" s="247"/>
      <c r="G1355" s="248"/>
      <c r="H1355" s="249"/>
      <c r="I1355" s="249"/>
      <c r="J1355" s="248"/>
      <c r="K1355" s="249">
        <f>16.1-0.9</f>
        <v>15.200000000000001</v>
      </c>
      <c r="L1355" s="250"/>
      <c r="M1355" s="149"/>
    </row>
    <row r="1356" spans="1:18" s="166" customFormat="1" ht="20.100000000000001" customHeight="1" x14ac:dyDescent="0.25">
      <c r="A1356" s="245"/>
      <c r="B1356" s="246" t="s">
        <v>813</v>
      </c>
      <c r="C1356" s="246"/>
      <c r="D1356" s="246"/>
      <c r="E1356" s="246"/>
      <c r="F1356" s="247"/>
      <c r="G1356" s="248"/>
      <c r="H1356" s="249"/>
      <c r="I1356" s="249"/>
      <c r="J1356" s="248"/>
      <c r="K1356" s="249">
        <f>48.2-4*0.9-2*0.9-1.5-2.5-1.65</f>
        <v>37.150000000000006</v>
      </c>
      <c r="L1356" s="250"/>
      <c r="M1356" s="149"/>
    </row>
    <row r="1357" spans="1:18" s="166" customFormat="1" ht="20.100000000000001" customHeight="1" x14ac:dyDescent="0.25">
      <c r="A1357" s="245"/>
      <c r="B1357" s="246" t="s">
        <v>1568</v>
      </c>
      <c r="C1357" s="246"/>
      <c r="D1357" s="246"/>
      <c r="E1357" s="246"/>
      <c r="F1357" s="247"/>
      <c r="G1357" s="248"/>
      <c r="H1357" s="249"/>
      <c r="I1357" s="249"/>
      <c r="J1357" s="248"/>
      <c r="K1357" s="249">
        <f>24.4-0.9</f>
        <v>23.5</v>
      </c>
      <c r="L1357" s="250"/>
      <c r="M1357" s="149"/>
    </row>
    <row r="1358" spans="1:18" s="166" customFormat="1" ht="20.100000000000001" customHeight="1" x14ac:dyDescent="0.25">
      <c r="A1358" s="245"/>
      <c r="B1358" s="246" t="s">
        <v>1735</v>
      </c>
      <c r="C1358" s="246"/>
      <c r="D1358" s="246"/>
      <c r="E1358" s="246"/>
      <c r="F1358" s="247"/>
      <c r="G1358" s="248"/>
      <c r="H1358" s="249"/>
      <c r="I1358" s="249"/>
      <c r="J1358" s="248"/>
      <c r="K1358" s="249">
        <f>8.06-0.9</f>
        <v>7.16</v>
      </c>
      <c r="L1358" s="250"/>
      <c r="M1358" s="149"/>
    </row>
    <row r="1359" spans="1:18" s="166" customFormat="1" ht="20.100000000000001" customHeight="1" x14ac:dyDescent="0.25">
      <c r="A1359" s="245"/>
      <c r="B1359" s="246" t="s">
        <v>1736</v>
      </c>
      <c r="C1359" s="246"/>
      <c r="D1359" s="246"/>
      <c r="E1359" s="246"/>
      <c r="F1359" s="247"/>
      <c r="G1359" s="248"/>
      <c r="H1359" s="249"/>
      <c r="I1359" s="249"/>
      <c r="J1359" s="248"/>
      <c r="K1359" s="249">
        <f>8.06-0.9</f>
        <v>7.16</v>
      </c>
      <c r="L1359" s="250"/>
      <c r="M1359" s="149"/>
    </row>
    <row r="1360" spans="1:18" s="154" customFormat="1" ht="18.75" customHeight="1" x14ac:dyDescent="0.25">
      <c r="A1360" s="470" t="s">
        <v>163</v>
      </c>
      <c r="B1360" s="471"/>
      <c r="C1360" s="471"/>
      <c r="D1360" s="471"/>
      <c r="E1360" s="471"/>
      <c r="F1360" s="472"/>
      <c r="G1360" s="472"/>
      <c r="H1360" s="472"/>
      <c r="I1360" s="472"/>
      <c r="J1360" s="472"/>
      <c r="K1360" s="252">
        <f>SUM(K1305:K1359)</f>
        <v>783.01000000000022</v>
      </c>
      <c r="L1360" s="250"/>
      <c r="M1360" s="149"/>
      <c r="N1360" s="149"/>
      <c r="O1360" s="149"/>
      <c r="P1360" s="149"/>
      <c r="Q1360" s="149"/>
      <c r="R1360" s="149"/>
    </row>
    <row r="1361" spans="1:18" s="154" customFormat="1" ht="20.100000000000001" customHeight="1" x14ac:dyDescent="0.25">
      <c r="A1361" s="478" t="s">
        <v>351</v>
      </c>
      <c r="B1361" s="478"/>
      <c r="C1361" s="478"/>
      <c r="D1361" s="478"/>
      <c r="E1361" s="478"/>
      <c r="F1361" s="478"/>
      <c r="G1361" s="478"/>
      <c r="H1361" s="478"/>
      <c r="I1361" s="478"/>
      <c r="J1361" s="478"/>
      <c r="K1361" s="478"/>
      <c r="L1361" s="250"/>
      <c r="M1361" s="149"/>
      <c r="N1361" s="149"/>
      <c r="O1361" s="149"/>
      <c r="P1361" s="149"/>
      <c r="Q1361" s="149"/>
      <c r="R1361" s="149"/>
    </row>
    <row r="1362" spans="1:18" s="154" customFormat="1" ht="20.100000000000001" customHeight="1" x14ac:dyDescent="0.25">
      <c r="A1362" s="177" t="s">
        <v>3</v>
      </c>
      <c r="B1362" s="171" t="s">
        <v>1737</v>
      </c>
      <c r="C1362" s="171"/>
      <c r="D1362" s="171"/>
      <c r="E1362" s="171"/>
      <c r="F1362" s="243" t="s">
        <v>26</v>
      </c>
      <c r="G1362" s="244"/>
      <c r="H1362" s="244"/>
      <c r="I1362" s="244" t="s">
        <v>61</v>
      </c>
      <c r="J1362" s="244"/>
      <c r="K1362" s="244" t="s">
        <v>50</v>
      </c>
      <c r="L1362" s="250"/>
      <c r="M1362" s="149"/>
      <c r="N1362" s="149"/>
      <c r="O1362" s="149"/>
      <c r="P1362" s="149"/>
      <c r="Q1362" s="149"/>
      <c r="R1362" s="149"/>
    </row>
    <row r="1363" spans="1:18" s="154" customFormat="1" ht="20.100000000000001" customHeight="1" x14ac:dyDescent="0.25">
      <c r="A1363" s="475" t="s">
        <v>1384</v>
      </c>
      <c r="B1363" s="476"/>
      <c r="C1363" s="476"/>
      <c r="D1363" s="476"/>
      <c r="E1363" s="476"/>
      <c r="F1363" s="476"/>
      <c r="G1363" s="476"/>
      <c r="H1363" s="476"/>
      <c r="I1363" s="476"/>
      <c r="J1363" s="476"/>
      <c r="K1363" s="477"/>
      <c r="L1363" s="250"/>
      <c r="M1363" s="149"/>
      <c r="N1363" s="149"/>
      <c r="O1363" s="149"/>
      <c r="P1363" s="149"/>
      <c r="Q1363" s="149"/>
      <c r="R1363" s="149"/>
    </row>
    <row r="1364" spans="1:18" s="149" customFormat="1" ht="20.100000000000001" customHeight="1" x14ac:dyDescent="0.25">
      <c r="A1364" s="267"/>
      <c r="B1364" s="246" t="s">
        <v>1604</v>
      </c>
      <c r="C1364" s="246"/>
      <c r="D1364" s="246"/>
      <c r="E1364" s="246"/>
      <c r="F1364" s="247"/>
      <c r="G1364" s="248"/>
      <c r="H1364" s="249"/>
      <c r="I1364" s="249">
        <v>1</v>
      </c>
      <c r="J1364" s="248"/>
      <c r="K1364" s="269">
        <f>I1364</f>
        <v>1</v>
      </c>
      <c r="L1364" s="250"/>
    </row>
    <row r="1365" spans="1:18" s="149" customFormat="1" ht="20.100000000000001" customHeight="1" x14ac:dyDescent="0.25">
      <c r="A1365" s="267"/>
      <c r="B1365" s="246" t="s">
        <v>1605</v>
      </c>
      <c r="C1365" s="246"/>
      <c r="D1365" s="246"/>
      <c r="E1365" s="246"/>
      <c r="F1365" s="247"/>
      <c r="G1365" s="248"/>
      <c r="H1365" s="249"/>
      <c r="I1365" s="249">
        <v>1</v>
      </c>
      <c r="J1365" s="248"/>
      <c r="K1365" s="269">
        <f t="shared" ref="K1365:K1373" si="83">I1365</f>
        <v>1</v>
      </c>
      <c r="L1365" s="250"/>
    </row>
    <row r="1366" spans="1:18" s="166" customFormat="1" ht="20.100000000000001" customHeight="1" x14ac:dyDescent="0.25">
      <c r="A1366" s="245"/>
      <c r="B1366" s="246" t="s">
        <v>1606</v>
      </c>
      <c r="C1366" s="246"/>
      <c r="D1366" s="246"/>
      <c r="E1366" s="246"/>
      <c r="F1366" s="247"/>
      <c r="G1366" s="248"/>
      <c r="H1366" s="249"/>
      <c r="I1366" s="249">
        <v>1</v>
      </c>
      <c r="J1366" s="248"/>
      <c r="K1366" s="269">
        <f t="shared" si="83"/>
        <v>1</v>
      </c>
      <c r="L1366" s="250"/>
    </row>
    <row r="1367" spans="1:18" s="166" customFormat="1" ht="20.100000000000001" customHeight="1" x14ac:dyDescent="0.25">
      <c r="A1367" s="245"/>
      <c r="B1367" s="246" t="s">
        <v>1607</v>
      </c>
      <c r="C1367" s="246"/>
      <c r="D1367" s="246"/>
      <c r="E1367" s="246"/>
      <c r="F1367" s="247"/>
      <c r="G1367" s="248"/>
      <c r="H1367" s="249"/>
      <c r="I1367" s="249">
        <v>1</v>
      </c>
      <c r="J1367" s="248"/>
      <c r="K1367" s="269">
        <f t="shared" si="83"/>
        <v>1</v>
      </c>
      <c r="L1367" s="250"/>
    </row>
    <row r="1368" spans="1:18" s="149" customFormat="1" ht="20.100000000000001" customHeight="1" x14ac:dyDescent="0.25">
      <c r="A1368" s="267"/>
      <c r="B1368" s="246" t="s">
        <v>1608</v>
      </c>
      <c r="C1368" s="246"/>
      <c r="D1368" s="246"/>
      <c r="E1368" s="246"/>
      <c r="F1368" s="247"/>
      <c r="G1368" s="248"/>
      <c r="H1368" s="249"/>
      <c r="I1368" s="249">
        <v>1</v>
      </c>
      <c r="J1368" s="248"/>
      <c r="K1368" s="269">
        <f t="shared" si="83"/>
        <v>1</v>
      </c>
      <c r="L1368" s="250"/>
    </row>
    <row r="1369" spans="1:18" s="149" customFormat="1" ht="20.100000000000001" customHeight="1" x14ac:dyDescent="0.25">
      <c r="A1369" s="267"/>
      <c r="B1369" s="246" t="s">
        <v>1609</v>
      </c>
      <c r="C1369" s="246"/>
      <c r="D1369" s="246"/>
      <c r="E1369" s="246"/>
      <c r="F1369" s="247"/>
      <c r="G1369" s="248"/>
      <c r="H1369" s="249"/>
      <c r="I1369" s="249">
        <v>1</v>
      </c>
      <c r="J1369" s="248"/>
      <c r="K1369" s="269">
        <f t="shared" si="83"/>
        <v>1</v>
      </c>
      <c r="L1369" s="250"/>
    </row>
    <row r="1370" spans="1:18" s="166" customFormat="1" ht="20.100000000000001" customHeight="1" x14ac:dyDescent="0.25">
      <c r="A1370" s="245"/>
      <c r="B1370" s="246" t="s">
        <v>1738</v>
      </c>
      <c r="C1370" s="246"/>
      <c r="D1370" s="246"/>
      <c r="E1370" s="246"/>
      <c r="F1370" s="247"/>
      <c r="G1370" s="248"/>
      <c r="H1370" s="249"/>
      <c r="I1370" s="249">
        <v>1</v>
      </c>
      <c r="J1370" s="248"/>
      <c r="K1370" s="269">
        <f t="shared" si="83"/>
        <v>1</v>
      </c>
      <c r="L1370" s="250"/>
    </row>
    <row r="1371" spans="1:18" s="166" customFormat="1" ht="20.100000000000001" customHeight="1" x14ac:dyDescent="0.25">
      <c r="A1371" s="245"/>
      <c r="B1371" s="246" t="s">
        <v>1739</v>
      </c>
      <c r="C1371" s="246"/>
      <c r="D1371" s="246"/>
      <c r="E1371" s="246"/>
      <c r="F1371" s="247"/>
      <c r="G1371" s="248"/>
      <c r="H1371" s="249"/>
      <c r="I1371" s="249">
        <v>1</v>
      </c>
      <c r="J1371" s="248"/>
      <c r="K1371" s="269">
        <f t="shared" si="83"/>
        <v>1</v>
      </c>
      <c r="L1371" s="250"/>
    </row>
    <row r="1372" spans="1:18" s="166" customFormat="1" ht="20.100000000000001" customHeight="1" x14ac:dyDescent="0.25">
      <c r="A1372" s="245"/>
      <c r="B1372" s="246" t="s">
        <v>1570</v>
      </c>
      <c r="C1372" s="246"/>
      <c r="D1372" s="246"/>
      <c r="E1372" s="246"/>
      <c r="F1372" s="247"/>
      <c r="G1372" s="248"/>
      <c r="H1372" s="249"/>
      <c r="I1372" s="249">
        <v>1</v>
      </c>
      <c r="J1372" s="248"/>
      <c r="K1372" s="269">
        <f t="shared" si="83"/>
        <v>1</v>
      </c>
      <c r="L1372" s="250"/>
    </row>
    <row r="1373" spans="1:18" s="166" customFormat="1" ht="20.100000000000001" customHeight="1" x14ac:dyDescent="0.25">
      <c r="A1373" s="245"/>
      <c r="B1373" s="246" t="s">
        <v>1620</v>
      </c>
      <c r="C1373" s="246"/>
      <c r="D1373" s="246"/>
      <c r="E1373" s="246"/>
      <c r="F1373" s="247"/>
      <c r="G1373" s="248"/>
      <c r="H1373" s="249"/>
      <c r="I1373" s="249">
        <v>1</v>
      </c>
      <c r="J1373" s="248"/>
      <c r="K1373" s="269">
        <f t="shared" si="83"/>
        <v>1</v>
      </c>
      <c r="L1373" s="250"/>
    </row>
    <row r="1374" spans="1:18" s="154" customFormat="1" ht="18.75" customHeight="1" x14ac:dyDescent="0.25">
      <c r="A1374" s="475" t="s">
        <v>1413</v>
      </c>
      <c r="B1374" s="476"/>
      <c r="C1374" s="476"/>
      <c r="D1374" s="476"/>
      <c r="E1374" s="476"/>
      <c r="F1374" s="476"/>
      <c r="G1374" s="476"/>
      <c r="H1374" s="476"/>
      <c r="I1374" s="476"/>
      <c r="J1374" s="476"/>
      <c r="K1374" s="477"/>
      <c r="L1374" s="250"/>
      <c r="M1374" s="149"/>
      <c r="N1374" s="149"/>
      <c r="O1374" s="149"/>
      <c r="P1374" s="149"/>
      <c r="Q1374" s="149"/>
      <c r="R1374" s="149"/>
    </row>
    <row r="1375" spans="1:18" s="149" customFormat="1" ht="20.100000000000001" customHeight="1" x14ac:dyDescent="0.25">
      <c r="A1375" s="267"/>
      <c r="B1375" s="246" t="s">
        <v>1475</v>
      </c>
      <c r="C1375" s="246"/>
      <c r="D1375" s="246"/>
      <c r="E1375" s="246"/>
      <c r="F1375" s="247"/>
      <c r="G1375" s="248"/>
      <c r="H1375" s="249"/>
      <c r="I1375" s="249">
        <v>6</v>
      </c>
      <c r="J1375" s="248"/>
      <c r="K1375" s="269">
        <f t="shared" ref="K1375" si="84">I1375</f>
        <v>6</v>
      </c>
      <c r="L1375" s="250"/>
    </row>
    <row r="1376" spans="1:18" s="154" customFormat="1" ht="18.75" customHeight="1" x14ac:dyDescent="0.25">
      <c r="A1376" s="470" t="s">
        <v>163</v>
      </c>
      <c r="B1376" s="471"/>
      <c r="C1376" s="471"/>
      <c r="D1376" s="471"/>
      <c r="E1376" s="471"/>
      <c r="F1376" s="472"/>
      <c r="G1376" s="472"/>
      <c r="H1376" s="472"/>
      <c r="I1376" s="472"/>
      <c r="J1376" s="472"/>
      <c r="K1376" s="252">
        <f>SUM(K1364:K1375)</f>
        <v>16</v>
      </c>
      <c r="L1376" s="250"/>
      <c r="M1376" s="149"/>
      <c r="N1376" s="149"/>
      <c r="O1376" s="149"/>
      <c r="P1376" s="149"/>
      <c r="Q1376" s="149"/>
      <c r="R1376" s="149"/>
    </row>
    <row r="1377" spans="1:18" s="154" customFormat="1" ht="20.100000000000001" customHeight="1" x14ac:dyDescent="0.25">
      <c r="A1377" s="177" t="s">
        <v>3</v>
      </c>
      <c r="B1377" s="171" t="s">
        <v>1740</v>
      </c>
      <c r="C1377" s="171"/>
      <c r="D1377" s="171"/>
      <c r="E1377" s="171"/>
      <c r="F1377" s="243" t="s">
        <v>26</v>
      </c>
      <c r="G1377" s="244"/>
      <c r="H1377" s="244"/>
      <c r="I1377" s="244" t="s">
        <v>61</v>
      </c>
      <c r="J1377" s="244"/>
      <c r="K1377" s="244" t="s">
        <v>50</v>
      </c>
      <c r="L1377" s="250"/>
      <c r="M1377" s="149"/>
      <c r="N1377" s="149"/>
      <c r="O1377" s="149"/>
      <c r="P1377" s="149"/>
      <c r="Q1377" s="149"/>
      <c r="R1377" s="149"/>
    </row>
    <row r="1378" spans="1:18" s="154" customFormat="1" ht="20.100000000000001" customHeight="1" x14ac:dyDescent="0.25">
      <c r="A1378" s="475" t="s">
        <v>1384</v>
      </c>
      <c r="B1378" s="476"/>
      <c r="C1378" s="476"/>
      <c r="D1378" s="476"/>
      <c r="E1378" s="476"/>
      <c r="F1378" s="476"/>
      <c r="G1378" s="476"/>
      <c r="H1378" s="476"/>
      <c r="I1378" s="476"/>
      <c r="J1378" s="476"/>
      <c r="K1378" s="477"/>
      <c r="L1378" s="250"/>
      <c r="M1378" s="149"/>
      <c r="N1378" s="149"/>
      <c r="O1378" s="149"/>
      <c r="P1378" s="149"/>
      <c r="Q1378" s="149"/>
      <c r="R1378" s="149"/>
    </row>
    <row r="1379" spans="1:18" s="149" customFormat="1" ht="20.100000000000001" customHeight="1" x14ac:dyDescent="0.25">
      <c r="A1379" s="267"/>
      <c r="B1379" s="246" t="s">
        <v>1553</v>
      </c>
      <c r="C1379" s="246"/>
      <c r="D1379" s="246"/>
      <c r="E1379" s="246"/>
      <c r="F1379" s="247"/>
      <c r="G1379" s="248"/>
      <c r="H1379" s="249"/>
      <c r="I1379" s="249">
        <v>1</v>
      </c>
      <c r="J1379" s="248"/>
      <c r="K1379" s="269">
        <f>I1379</f>
        <v>1</v>
      </c>
      <c r="L1379" s="250"/>
    </row>
    <row r="1380" spans="1:18" s="154" customFormat="1" ht="18.75" customHeight="1" x14ac:dyDescent="0.25">
      <c r="A1380" s="475" t="s">
        <v>1413</v>
      </c>
      <c r="B1380" s="476"/>
      <c r="C1380" s="476"/>
      <c r="D1380" s="476"/>
      <c r="E1380" s="476"/>
      <c r="F1380" s="476"/>
      <c r="G1380" s="476"/>
      <c r="H1380" s="476"/>
      <c r="I1380" s="476"/>
      <c r="J1380" s="476"/>
      <c r="K1380" s="477"/>
      <c r="L1380" s="250"/>
      <c r="M1380" s="149"/>
      <c r="N1380" s="149"/>
      <c r="O1380" s="149"/>
      <c r="P1380" s="149"/>
      <c r="Q1380" s="149"/>
      <c r="R1380" s="149"/>
    </row>
    <row r="1381" spans="1:18" s="149" customFormat="1" ht="20.100000000000001" customHeight="1" x14ac:dyDescent="0.25">
      <c r="A1381" s="267"/>
      <c r="B1381" s="246" t="s">
        <v>1420</v>
      </c>
      <c r="C1381" s="246"/>
      <c r="D1381" s="246"/>
      <c r="E1381" s="246"/>
      <c r="F1381" s="247"/>
      <c r="G1381" s="248"/>
      <c r="H1381" s="249"/>
      <c r="I1381" s="249">
        <v>1</v>
      </c>
      <c r="J1381" s="248"/>
      <c r="K1381" s="269">
        <f t="shared" ref="K1381" si="85">I1381</f>
        <v>1</v>
      </c>
      <c r="L1381" s="250"/>
    </row>
    <row r="1382" spans="1:18" s="154" customFormat="1" ht="18.75" customHeight="1" x14ac:dyDescent="0.25">
      <c r="A1382" s="470" t="s">
        <v>163</v>
      </c>
      <c r="B1382" s="471"/>
      <c r="C1382" s="471"/>
      <c r="D1382" s="471"/>
      <c r="E1382" s="471"/>
      <c r="F1382" s="472"/>
      <c r="G1382" s="472"/>
      <c r="H1382" s="472"/>
      <c r="I1382" s="472"/>
      <c r="J1382" s="472"/>
      <c r="K1382" s="252">
        <f>SUM(K1379:K1381)</f>
        <v>2</v>
      </c>
      <c r="L1382" s="250"/>
      <c r="M1382" s="149"/>
      <c r="N1382" s="149"/>
      <c r="O1382" s="149"/>
      <c r="P1382" s="149"/>
      <c r="Q1382" s="149"/>
      <c r="R1382" s="149"/>
    </row>
    <row r="1383" spans="1:18" s="154" customFormat="1" ht="20.100000000000001" customHeight="1" x14ac:dyDescent="0.25">
      <c r="A1383" s="177" t="s">
        <v>3</v>
      </c>
      <c r="B1383" s="171" t="s">
        <v>1741</v>
      </c>
      <c r="C1383" s="171"/>
      <c r="D1383" s="171"/>
      <c r="E1383" s="171"/>
      <c r="F1383" s="243" t="s">
        <v>26</v>
      </c>
      <c r="G1383" s="244"/>
      <c r="H1383" s="244"/>
      <c r="I1383" s="244" t="s">
        <v>61</v>
      </c>
      <c r="J1383" s="244"/>
      <c r="K1383" s="244" t="s">
        <v>50</v>
      </c>
      <c r="L1383" s="250"/>
      <c r="M1383" s="149"/>
      <c r="N1383" s="149"/>
      <c r="O1383" s="149"/>
      <c r="P1383" s="149"/>
      <c r="Q1383" s="149"/>
      <c r="R1383" s="149"/>
    </row>
    <row r="1384" spans="1:18" s="154" customFormat="1" ht="20.100000000000001" customHeight="1" x14ac:dyDescent="0.25">
      <c r="A1384" s="475" t="s">
        <v>1384</v>
      </c>
      <c r="B1384" s="476"/>
      <c r="C1384" s="476"/>
      <c r="D1384" s="476"/>
      <c r="E1384" s="476"/>
      <c r="F1384" s="476"/>
      <c r="G1384" s="476"/>
      <c r="H1384" s="476"/>
      <c r="I1384" s="476"/>
      <c r="J1384" s="476"/>
      <c r="K1384" s="477"/>
      <c r="L1384" s="250"/>
      <c r="M1384" s="149"/>
      <c r="N1384" s="149"/>
      <c r="O1384" s="149"/>
      <c r="P1384" s="149"/>
      <c r="Q1384" s="149"/>
      <c r="R1384" s="149"/>
    </row>
    <row r="1385" spans="1:18" s="149" customFormat="1" ht="20.100000000000001" customHeight="1" x14ac:dyDescent="0.25">
      <c r="A1385" s="267"/>
      <c r="B1385" s="246" t="s">
        <v>811</v>
      </c>
      <c r="C1385" s="246"/>
      <c r="D1385" s="246"/>
      <c r="E1385" s="246"/>
      <c r="F1385" s="247"/>
      <c r="G1385" s="248"/>
      <c r="H1385" s="249"/>
      <c r="I1385" s="249">
        <v>1</v>
      </c>
      <c r="J1385" s="248"/>
      <c r="K1385" s="269">
        <f>I1385</f>
        <v>1</v>
      </c>
      <c r="L1385" s="250"/>
    </row>
    <row r="1386" spans="1:18" s="154" customFormat="1" ht="20.100000000000001" customHeight="1" x14ac:dyDescent="0.25">
      <c r="A1386" s="475" t="s">
        <v>1409</v>
      </c>
      <c r="B1386" s="476"/>
      <c r="C1386" s="476"/>
      <c r="D1386" s="476"/>
      <c r="E1386" s="476"/>
      <c r="F1386" s="476"/>
      <c r="G1386" s="476"/>
      <c r="H1386" s="476"/>
      <c r="I1386" s="476"/>
      <c r="J1386" s="476"/>
      <c r="K1386" s="477"/>
      <c r="L1386" s="250"/>
      <c r="M1386" s="149"/>
      <c r="N1386" s="149"/>
      <c r="O1386" s="149"/>
      <c r="P1386" s="149"/>
      <c r="Q1386" s="149"/>
      <c r="R1386" s="149"/>
    </row>
    <row r="1387" spans="1:18" s="166" customFormat="1" ht="20.100000000000001" customHeight="1" x14ac:dyDescent="0.25">
      <c r="A1387" s="245"/>
      <c r="B1387" s="246" t="s">
        <v>1742</v>
      </c>
      <c r="C1387" s="246"/>
      <c r="D1387" s="246"/>
      <c r="E1387" s="246"/>
      <c r="F1387" s="247"/>
      <c r="G1387" s="248"/>
      <c r="H1387" s="249"/>
      <c r="I1387" s="249">
        <v>1</v>
      </c>
      <c r="J1387" s="248"/>
      <c r="K1387" s="269">
        <f t="shared" ref="K1387" si="86">I1387</f>
        <v>1</v>
      </c>
      <c r="L1387" s="250"/>
    </row>
    <row r="1388" spans="1:18" s="154" customFormat="1" ht="20.100000000000001" customHeight="1" x14ac:dyDescent="0.25">
      <c r="A1388" s="475" t="s">
        <v>1411</v>
      </c>
      <c r="B1388" s="476"/>
      <c r="C1388" s="476"/>
      <c r="D1388" s="476"/>
      <c r="E1388" s="476"/>
      <c r="F1388" s="476"/>
      <c r="G1388" s="476"/>
      <c r="H1388" s="476"/>
      <c r="I1388" s="476"/>
      <c r="J1388" s="476"/>
      <c r="K1388" s="477"/>
      <c r="L1388" s="250"/>
      <c r="M1388" s="149"/>
      <c r="N1388" s="149"/>
      <c r="O1388" s="149"/>
      <c r="P1388" s="149"/>
      <c r="Q1388" s="149"/>
      <c r="R1388" s="149"/>
    </row>
    <row r="1389" spans="1:18" s="166" customFormat="1" ht="20.100000000000001" customHeight="1" x14ac:dyDescent="0.25">
      <c r="A1389" s="245"/>
      <c r="B1389" s="246" t="s">
        <v>1742</v>
      </c>
      <c r="C1389" s="246"/>
      <c r="D1389" s="246"/>
      <c r="E1389" s="246"/>
      <c r="F1389" s="247"/>
      <c r="G1389" s="248"/>
      <c r="H1389" s="249"/>
      <c r="I1389" s="249">
        <v>1</v>
      </c>
      <c r="J1389" s="248"/>
      <c r="K1389" s="269">
        <f t="shared" ref="K1389" si="87">I1389</f>
        <v>1</v>
      </c>
      <c r="L1389" s="250"/>
    </row>
    <row r="1390" spans="1:18" s="154" customFormat="1" ht="18.75" customHeight="1" x14ac:dyDescent="0.25">
      <c r="A1390" s="470" t="s">
        <v>163</v>
      </c>
      <c r="B1390" s="471"/>
      <c r="C1390" s="471"/>
      <c r="D1390" s="471"/>
      <c r="E1390" s="471"/>
      <c r="F1390" s="472"/>
      <c r="G1390" s="472"/>
      <c r="H1390" s="472"/>
      <c r="I1390" s="472"/>
      <c r="J1390" s="472"/>
      <c r="K1390" s="252">
        <f>SUM(K1385:K1389)</f>
        <v>3</v>
      </c>
      <c r="L1390" s="250"/>
      <c r="M1390" s="149"/>
      <c r="N1390" s="149"/>
      <c r="O1390" s="149"/>
      <c r="P1390" s="149"/>
      <c r="Q1390" s="149"/>
      <c r="R1390" s="149"/>
    </row>
    <row r="1391" spans="1:18" s="154" customFormat="1" ht="20.100000000000001" customHeight="1" x14ac:dyDescent="0.25">
      <c r="A1391" s="177" t="s">
        <v>3</v>
      </c>
      <c r="B1391" s="171" t="s">
        <v>1743</v>
      </c>
      <c r="C1391" s="171"/>
      <c r="D1391" s="171"/>
      <c r="E1391" s="171"/>
      <c r="F1391" s="243" t="s">
        <v>26</v>
      </c>
      <c r="G1391" s="244"/>
      <c r="H1391" s="244"/>
      <c r="I1391" s="244" t="s">
        <v>61</v>
      </c>
      <c r="J1391" s="244"/>
      <c r="K1391" s="244" t="s">
        <v>50</v>
      </c>
      <c r="L1391" s="250"/>
      <c r="M1391" s="149"/>
      <c r="N1391" s="149"/>
      <c r="O1391" s="149"/>
      <c r="P1391" s="149"/>
      <c r="Q1391" s="149"/>
      <c r="R1391" s="149"/>
    </row>
    <row r="1392" spans="1:18" s="154" customFormat="1" ht="20.100000000000001" customHeight="1" x14ac:dyDescent="0.25">
      <c r="A1392" s="475" t="s">
        <v>1384</v>
      </c>
      <c r="B1392" s="476"/>
      <c r="C1392" s="476"/>
      <c r="D1392" s="476"/>
      <c r="E1392" s="476"/>
      <c r="F1392" s="476"/>
      <c r="G1392" s="476"/>
      <c r="H1392" s="476"/>
      <c r="I1392" s="476"/>
      <c r="J1392" s="476"/>
      <c r="K1392" s="477"/>
      <c r="L1392" s="250"/>
      <c r="M1392" s="149"/>
      <c r="N1392" s="149"/>
      <c r="O1392" s="149"/>
      <c r="P1392" s="149"/>
      <c r="Q1392" s="149"/>
      <c r="R1392" s="149"/>
    </row>
    <row r="1393" spans="1:18" s="166" customFormat="1" ht="20.100000000000001" customHeight="1" x14ac:dyDescent="0.25">
      <c r="A1393" s="245"/>
      <c r="B1393" s="246" t="s">
        <v>1738</v>
      </c>
      <c r="C1393" s="246"/>
      <c r="D1393" s="246"/>
      <c r="E1393" s="246"/>
      <c r="F1393" s="247"/>
      <c r="G1393" s="248"/>
      <c r="H1393" s="249"/>
      <c r="I1393" s="249">
        <v>1</v>
      </c>
      <c r="J1393" s="248"/>
      <c r="K1393" s="269">
        <f t="shared" ref="K1393:K1397" si="88">I1393</f>
        <v>1</v>
      </c>
      <c r="L1393" s="250"/>
    </row>
    <row r="1394" spans="1:18" s="166" customFormat="1" ht="20.100000000000001" customHeight="1" x14ac:dyDescent="0.25">
      <c r="A1394" s="245"/>
      <c r="B1394" s="246" t="s">
        <v>1739</v>
      </c>
      <c r="C1394" s="246"/>
      <c r="D1394" s="246"/>
      <c r="E1394" s="246"/>
      <c r="F1394" s="247"/>
      <c r="G1394" s="248"/>
      <c r="H1394" s="249"/>
      <c r="I1394" s="249">
        <v>1</v>
      </c>
      <c r="J1394" s="248"/>
      <c r="K1394" s="269">
        <f t="shared" si="88"/>
        <v>1</v>
      </c>
      <c r="L1394" s="250"/>
    </row>
    <row r="1395" spans="1:18" s="166" customFormat="1" ht="20.100000000000001" customHeight="1" x14ac:dyDescent="0.25">
      <c r="A1395" s="245"/>
      <c r="B1395" s="246" t="s">
        <v>1570</v>
      </c>
      <c r="C1395" s="246"/>
      <c r="D1395" s="246"/>
      <c r="E1395" s="246"/>
      <c r="F1395" s="247"/>
      <c r="G1395" s="248"/>
      <c r="H1395" s="249"/>
      <c r="I1395" s="249">
        <v>1</v>
      </c>
      <c r="J1395" s="248"/>
      <c r="K1395" s="269">
        <f t="shared" si="88"/>
        <v>1</v>
      </c>
      <c r="L1395" s="250"/>
    </row>
    <row r="1396" spans="1:18" s="166" customFormat="1" ht="20.100000000000001" customHeight="1" x14ac:dyDescent="0.25">
      <c r="A1396" s="245"/>
      <c r="B1396" s="246" t="s">
        <v>1620</v>
      </c>
      <c r="C1396" s="246"/>
      <c r="D1396" s="246"/>
      <c r="E1396" s="246"/>
      <c r="F1396" s="247"/>
      <c r="G1396" s="248"/>
      <c r="H1396" s="249"/>
      <c r="I1396" s="249">
        <v>1</v>
      </c>
      <c r="J1396" s="248"/>
      <c r="K1396" s="269">
        <f t="shared" si="88"/>
        <v>1</v>
      </c>
      <c r="L1396" s="250"/>
    </row>
    <row r="1397" spans="1:18" s="149" customFormat="1" ht="20.100000000000001" customHeight="1" x14ac:dyDescent="0.25">
      <c r="A1397" s="267"/>
      <c r="B1397" s="246" t="s">
        <v>1744</v>
      </c>
      <c r="C1397" s="246"/>
      <c r="D1397" s="246"/>
      <c r="E1397" s="246"/>
      <c r="F1397" s="247"/>
      <c r="G1397" s="248"/>
      <c r="H1397" s="249"/>
      <c r="I1397" s="249">
        <v>1</v>
      </c>
      <c r="J1397" s="248"/>
      <c r="K1397" s="269">
        <f t="shared" si="88"/>
        <v>1</v>
      </c>
      <c r="L1397" s="250"/>
    </row>
    <row r="1398" spans="1:18" s="154" customFormat="1" ht="20.100000000000001" customHeight="1" x14ac:dyDescent="0.25">
      <c r="A1398" s="475" t="s">
        <v>1409</v>
      </c>
      <c r="B1398" s="476"/>
      <c r="C1398" s="476"/>
      <c r="D1398" s="476"/>
      <c r="E1398" s="476"/>
      <c r="F1398" s="476"/>
      <c r="G1398" s="476"/>
      <c r="H1398" s="476"/>
      <c r="I1398" s="476"/>
      <c r="J1398" s="476"/>
      <c r="K1398" s="477"/>
      <c r="L1398" s="250"/>
      <c r="M1398" s="149"/>
      <c r="N1398" s="149"/>
      <c r="O1398" s="149"/>
      <c r="P1398" s="149"/>
      <c r="Q1398" s="149"/>
      <c r="R1398" s="149"/>
    </row>
    <row r="1399" spans="1:18" s="149" customFormat="1" ht="20.100000000000001" customHeight="1" x14ac:dyDescent="0.25">
      <c r="A1399" s="267"/>
      <c r="B1399" s="246" t="s">
        <v>1745</v>
      </c>
      <c r="C1399" s="246"/>
      <c r="D1399" s="246"/>
      <c r="E1399" s="246"/>
      <c r="F1399" s="247"/>
      <c r="G1399" s="248"/>
      <c r="H1399" s="249"/>
      <c r="I1399" s="249">
        <v>5</v>
      </c>
      <c r="J1399" s="248"/>
      <c r="K1399" s="269">
        <f t="shared" ref="K1399" si="89">I1399</f>
        <v>5</v>
      </c>
      <c r="L1399" s="250"/>
    </row>
    <row r="1400" spans="1:18" s="154" customFormat="1" ht="20.100000000000001" customHeight="1" x14ac:dyDescent="0.25">
      <c r="A1400" s="475" t="s">
        <v>1411</v>
      </c>
      <c r="B1400" s="476"/>
      <c r="C1400" s="476"/>
      <c r="D1400" s="476"/>
      <c r="E1400" s="476"/>
      <c r="F1400" s="476"/>
      <c r="G1400" s="476"/>
      <c r="H1400" s="476"/>
      <c r="I1400" s="476"/>
      <c r="J1400" s="476"/>
      <c r="K1400" s="477"/>
      <c r="L1400" s="250"/>
      <c r="M1400" s="149"/>
      <c r="N1400" s="149"/>
      <c r="O1400" s="149"/>
      <c r="P1400" s="149"/>
      <c r="Q1400" s="149"/>
      <c r="R1400" s="149"/>
    </row>
    <row r="1401" spans="1:18" s="149" customFormat="1" ht="20.100000000000001" customHeight="1" x14ac:dyDescent="0.25">
      <c r="A1401" s="267"/>
      <c r="B1401" s="246" t="s">
        <v>1746</v>
      </c>
      <c r="C1401" s="246"/>
      <c r="D1401" s="246"/>
      <c r="E1401" s="246"/>
      <c r="F1401" s="247"/>
      <c r="G1401" s="248"/>
      <c r="H1401" s="249"/>
      <c r="I1401" s="249">
        <v>2</v>
      </c>
      <c r="J1401" s="248"/>
      <c r="K1401" s="269">
        <f t="shared" ref="K1401" si="90">I1401</f>
        <v>2</v>
      </c>
      <c r="L1401" s="250"/>
    </row>
    <row r="1402" spans="1:18" s="154" customFormat="1" ht="18.75" customHeight="1" x14ac:dyDescent="0.25">
      <c r="A1402" s="475" t="s">
        <v>1413</v>
      </c>
      <c r="B1402" s="476"/>
      <c r="C1402" s="476"/>
      <c r="D1402" s="476"/>
      <c r="E1402" s="476"/>
      <c r="F1402" s="476"/>
      <c r="G1402" s="476"/>
      <c r="H1402" s="476"/>
      <c r="I1402" s="476"/>
      <c r="J1402" s="476"/>
      <c r="K1402" s="477"/>
      <c r="L1402" s="250"/>
      <c r="M1402" s="149"/>
      <c r="N1402" s="149"/>
      <c r="O1402" s="149"/>
      <c r="P1402" s="149"/>
      <c r="Q1402" s="149"/>
      <c r="R1402" s="149"/>
    </row>
    <row r="1403" spans="1:18" s="149" customFormat="1" ht="20.100000000000001" customHeight="1" x14ac:dyDescent="0.25">
      <c r="A1403" s="267"/>
      <c r="B1403" s="246" t="s">
        <v>1475</v>
      </c>
      <c r="C1403" s="246"/>
      <c r="D1403" s="246"/>
      <c r="E1403" s="246"/>
      <c r="F1403" s="247"/>
      <c r="G1403" s="248"/>
      <c r="H1403" s="249"/>
      <c r="I1403" s="249">
        <v>4</v>
      </c>
      <c r="J1403" s="248"/>
      <c r="K1403" s="269">
        <f t="shared" ref="K1403" si="91">I1403</f>
        <v>4</v>
      </c>
      <c r="L1403" s="250"/>
    </row>
    <row r="1404" spans="1:18" s="154" customFormat="1" ht="18.75" customHeight="1" x14ac:dyDescent="0.25">
      <c r="A1404" s="470" t="s">
        <v>163</v>
      </c>
      <c r="B1404" s="471"/>
      <c r="C1404" s="471"/>
      <c r="D1404" s="471"/>
      <c r="E1404" s="471"/>
      <c r="F1404" s="472" t="s">
        <v>1747</v>
      </c>
      <c r="G1404" s="472"/>
      <c r="H1404" s="472"/>
      <c r="I1404" s="472"/>
      <c r="J1404" s="472"/>
      <c r="K1404" s="252">
        <f>SUM(K1397:K1403)</f>
        <v>12</v>
      </c>
      <c r="L1404" s="250"/>
      <c r="M1404" s="149"/>
      <c r="N1404" s="149"/>
      <c r="O1404" s="149"/>
      <c r="P1404" s="149"/>
      <c r="Q1404" s="149"/>
      <c r="R1404" s="149"/>
    </row>
    <row r="1405" spans="1:18" s="154" customFormat="1" ht="20.100000000000001" customHeight="1" x14ac:dyDescent="0.25">
      <c r="A1405" s="177" t="s">
        <v>3</v>
      </c>
      <c r="B1405" s="171" t="s">
        <v>1748</v>
      </c>
      <c r="C1405" s="171"/>
      <c r="D1405" s="171"/>
      <c r="E1405" s="171"/>
      <c r="F1405" s="243" t="s">
        <v>26</v>
      </c>
      <c r="G1405" s="244"/>
      <c r="H1405" s="244"/>
      <c r="I1405" s="244" t="s">
        <v>61</v>
      </c>
      <c r="J1405" s="244"/>
      <c r="K1405" s="244" t="s">
        <v>50</v>
      </c>
      <c r="L1405" s="250"/>
      <c r="M1405" s="149"/>
      <c r="N1405" s="149"/>
      <c r="O1405" s="149"/>
      <c r="P1405" s="149"/>
      <c r="Q1405" s="149"/>
      <c r="R1405" s="149"/>
    </row>
    <row r="1406" spans="1:18" s="154" customFormat="1" ht="20.100000000000001" customHeight="1" x14ac:dyDescent="0.25">
      <c r="A1406" s="475" t="s">
        <v>1384</v>
      </c>
      <c r="B1406" s="476"/>
      <c r="C1406" s="476"/>
      <c r="D1406" s="476"/>
      <c r="E1406" s="476"/>
      <c r="F1406" s="476"/>
      <c r="G1406" s="476"/>
      <c r="H1406" s="476"/>
      <c r="I1406" s="476"/>
      <c r="J1406" s="476"/>
      <c r="K1406" s="477"/>
      <c r="L1406" s="250"/>
      <c r="M1406" s="149"/>
      <c r="N1406" s="149"/>
      <c r="O1406" s="149"/>
      <c r="P1406" s="149"/>
      <c r="Q1406" s="149"/>
      <c r="R1406" s="149"/>
    </row>
    <row r="1407" spans="1:18" s="166" customFormat="1" ht="20.100000000000001" customHeight="1" x14ac:dyDescent="0.25">
      <c r="A1407" s="245"/>
      <c r="B1407" s="246" t="s">
        <v>1738</v>
      </c>
      <c r="C1407" s="246"/>
      <c r="D1407" s="246"/>
      <c r="E1407" s="246"/>
      <c r="F1407" s="247"/>
      <c r="G1407" s="248"/>
      <c r="H1407" s="249"/>
      <c r="I1407" s="249">
        <v>1</v>
      </c>
      <c r="J1407" s="248"/>
      <c r="K1407" s="269">
        <f t="shared" ref="K1407:K1410" si="92">I1407</f>
        <v>1</v>
      </c>
      <c r="L1407" s="250"/>
    </row>
    <row r="1408" spans="1:18" s="166" customFormat="1" ht="20.100000000000001" customHeight="1" x14ac:dyDescent="0.25">
      <c r="A1408" s="245"/>
      <c r="B1408" s="246" t="s">
        <v>1739</v>
      </c>
      <c r="C1408" s="246"/>
      <c r="D1408" s="246"/>
      <c r="E1408" s="246"/>
      <c r="F1408" s="247"/>
      <c r="G1408" s="248"/>
      <c r="H1408" s="249"/>
      <c r="I1408" s="249">
        <v>1</v>
      </c>
      <c r="J1408" s="248"/>
      <c r="K1408" s="269">
        <f t="shared" si="92"/>
        <v>1</v>
      </c>
      <c r="L1408" s="250"/>
    </row>
    <row r="1409" spans="1:18" s="166" customFormat="1" ht="20.100000000000001" customHeight="1" x14ac:dyDescent="0.25">
      <c r="A1409" s="245"/>
      <c r="B1409" s="246" t="s">
        <v>1570</v>
      </c>
      <c r="C1409" s="246"/>
      <c r="D1409" s="246"/>
      <c r="E1409" s="246"/>
      <c r="F1409" s="247"/>
      <c r="G1409" s="248"/>
      <c r="H1409" s="249"/>
      <c r="I1409" s="249">
        <v>1</v>
      </c>
      <c r="J1409" s="248"/>
      <c r="K1409" s="269">
        <f t="shared" si="92"/>
        <v>1</v>
      </c>
      <c r="L1409" s="250"/>
    </row>
    <row r="1410" spans="1:18" s="166" customFormat="1" ht="20.100000000000001" customHeight="1" x14ac:dyDescent="0.25">
      <c r="A1410" s="245"/>
      <c r="B1410" s="246" t="s">
        <v>1620</v>
      </c>
      <c r="C1410" s="246"/>
      <c r="D1410" s="246"/>
      <c r="E1410" s="246"/>
      <c r="F1410" s="247"/>
      <c r="G1410" s="248"/>
      <c r="H1410" s="249"/>
      <c r="I1410" s="249">
        <v>1</v>
      </c>
      <c r="J1410" s="248"/>
      <c r="K1410" s="269">
        <f t="shared" si="92"/>
        <v>1</v>
      </c>
      <c r="L1410" s="250"/>
    </row>
    <row r="1411" spans="1:18" s="154" customFormat="1" ht="20.100000000000001" customHeight="1" x14ac:dyDescent="0.25">
      <c r="A1411" s="475" t="s">
        <v>1409</v>
      </c>
      <c r="B1411" s="476"/>
      <c r="C1411" s="476"/>
      <c r="D1411" s="476"/>
      <c r="E1411" s="476"/>
      <c r="F1411" s="476"/>
      <c r="G1411" s="476"/>
      <c r="H1411" s="476"/>
      <c r="I1411" s="476"/>
      <c r="J1411" s="476"/>
      <c r="K1411" s="477"/>
      <c r="L1411" s="250"/>
      <c r="M1411" s="149"/>
      <c r="N1411" s="149"/>
      <c r="O1411" s="149"/>
      <c r="P1411" s="149"/>
      <c r="Q1411" s="149"/>
      <c r="R1411" s="149"/>
    </row>
    <row r="1412" spans="1:18" s="166" customFormat="1" ht="20.100000000000001" customHeight="1" x14ac:dyDescent="0.25">
      <c r="A1412" s="245"/>
      <c r="B1412" s="246" t="s">
        <v>1749</v>
      </c>
      <c r="C1412" s="246"/>
      <c r="D1412" s="246"/>
      <c r="E1412" s="246"/>
      <c r="F1412" s="247"/>
      <c r="G1412" s="248"/>
      <c r="H1412" s="249"/>
      <c r="I1412" s="249">
        <v>4</v>
      </c>
      <c r="J1412" s="248"/>
      <c r="K1412" s="269">
        <f t="shared" ref="K1412" si="93">I1412</f>
        <v>4</v>
      </c>
      <c r="L1412" s="250"/>
    </row>
    <row r="1413" spans="1:18" s="154" customFormat="1" ht="20.100000000000001" customHeight="1" x14ac:dyDescent="0.25">
      <c r="A1413" s="475" t="s">
        <v>1411</v>
      </c>
      <c r="B1413" s="476"/>
      <c r="C1413" s="476"/>
      <c r="D1413" s="476"/>
      <c r="E1413" s="476"/>
      <c r="F1413" s="476"/>
      <c r="G1413" s="476"/>
      <c r="H1413" s="476"/>
      <c r="I1413" s="476"/>
      <c r="J1413" s="476"/>
      <c r="K1413" s="477"/>
      <c r="L1413" s="250"/>
      <c r="M1413" s="149"/>
      <c r="N1413" s="149"/>
      <c r="O1413" s="149"/>
      <c r="P1413" s="149"/>
      <c r="Q1413" s="149"/>
      <c r="R1413" s="149"/>
    </row>
    <row r="1414" spans="1:18" s="166" customFormat="1" ht="20.100000000000001" customHeight="1" x14ac:dyDescent="0.25">
      <c r="A1414" s="245"/>
      <c r="B1414" s="246" t="s">
        <v>1750</v>
      </c>
      <c r="C1414" s="246"/>
      <c r="D1414" s="246"/>
      <c r="E1414" s="246"/>
      <c r="F1414" s="247"/>
      <c r="G1414" s="248"/>
      <c r="H1414" s="249"/>
      <c r="I1414" s="249">
        <v>2</v>
      </c>
      <c r="J1414" s="248"/>
      <c r="K1414" s="269">
        <f t="shared" ref="K1414" si="94">I1414</f>
        <v>2</v>
      </c>
      <c r="L1414" s="250"/>
    </row>
    <row r="1415" spans="1:18" s="154" customFormat="1" ht="18.75" customHeight="1" x14ac:dyDescent="0.25">
      <c r="A1415" s="475" t="s">
        <v>1413</v>
      </c>
      <c r="B1415" s="476"/>
      <c r="C1415" s="476"/>
      <c r="D1415" s="476"/>
      <c r="E1415" s="476"/>
      <c r="F1415" s="476"/>
      <c r="G1415" s="476"/>
      <c r="H1415" s="476"/>
      <c r="I1415" s="476"/>
      <c r="J1415" s="476"/>
      <c r="K1415" s="477"/>
      <c r="L1415" s="250"/>
      <c r="M1415" s="149"/>
      <c r="N1415" s="149"/>
      <c r="O1415" s="149"/>
      <c r="P1415" s="149"/>
      <c r="Q1415" s="149"/>
      <c r="R1415" s="149"/>
    </row>
    <row r="1416" spans="1:18" s="166" customFormat="1" ht="20.100000000000001" customHeight="1" x14ac:dyDescent="0.25">
      <c r="A1416" s="245"/>
      <c r="B1416" s="246" t="s">
        <v>1475</v>
      </c>
      <c r="C1416" s="246"/>
      <c r="D1416" s="246"/>
      <c r="E1416" s="246"/>
      <c r="F1416" s="247"/>
      <c r="G1416" s="248"/>
      <c r="H1416" s="249"/>
      <c r="I1416" s="249">
        <v>10</v>
      </c>
      <c r="J1416" s="248"/>
      <c r="K1416" s="269">
        <f t="shared" ref="K1416" si="95">I1416</f>
        <v>10</v>
      </c>
      <c r="L1416" s="250"/>
    </row>
    <row r="1417" spans="1:18" s="154" customFormat="1" ht="18.75" customHeight="1" x14ac:dyDescent="0.25">
      <c r="A1417" s="470" t="s">
        <v>163</v>
      </c>
      <c r="B1417" s="471"/>
      <c r="C1417" s="471"/>
      <c r="D1417" s="471"/>
      <c r="E1417" s="471"/>
      <c r="F1417" s="472"/>
      <c r="G1417" s="472"/>
      <c r="H1417" s="472"/>
      <c r="I1417" s="472"/>
      <c r="J1417" s="472"/>
      <c r="K1417" s="252">
        <f>SUM(K1407:K1416)</f>
        <v>20</v>
      </c>
      <c r="L1417" s="250"/>
      <c r="M1417" s="149"/>
      <c r="N1417" s="149"/>
      <c r="O1417" s="149"/>
      <c r="P1417" s="149"/>
      <c r="Q1417" s="149"/>
      <c r="R1417" s="149"/>
    </row>
    <row r="1418" spans="1:18" s="154" customFormat="1" ht="20.100000000000001" customHeight="1" x14ac:dyDescent="0.25">
      <c r="A1418" s="478" t="s">
        <v>644</v>
      </c>
      <c r="B1418" s="478"/>
      <c r="C1418" s="478"/>
      <c r="D1418" s="478"/>
      <c r="E1418" s="478"/>
      <c r="F1418" s="478"/>
      <c r="G1418" s="478"/>
      <c r="H1418" s="478"/>
      <c r="I1418" s="478"/>
      <c r="J1418" s="478"/>
      <c r="K1418" s="478"/>
      <c r="L1418" s="250"/>
      <c r="M1418" s="149"/>
      <c r="N1418" s="149"/>
      <c r="O1418" s="149"/>
      <c r="P1418" s="149"/>
      <c r="Q1418" s="149"/>
      <c r="R1418" s="149"/>
    </row>
    <row r="1419" spans="1:18" s="154" customFormat="1" ht="20.100000000000001" customHeight="1" x14ac:dyDescent="0.25">
      <c r="A1419" s="177" t="s">
        <v>1704</v>
      </c>
      <c r="B1419" s="171" t="s">
        <v>1751</v>
      </c>
      <c r="C1419" s="171"/>
      <c r="D1419" s="171"/>
      <c r="E1419" s="171"/>
      <c r="F1419" s="243" t="s">
        <v>24</v>
      </c>
      <c r="G1419" s="244" t="s">
        <v>1539</v>
      </c>
      <c r="H1419" s="244" t="s">
        <v>735</v>
      </c>
      <c r="I1419" s="244" t="s">
        <v>724</v>
      </c>
      <c r="J1419" s="244"/>
      <c r="K1419" s="244" t="s">
        <v>50</v>
      </c>
      <c r="L1419" s="250"/>
      <c r="M1419" s="149"/>
      <c r="N1419" s="149"/>
      <c r="O1419" s="149"/>
      <c r="P1419" s="149"/>
      <c r="Q1419" s="149"/>
      <c r="R1419" s="149"/>
    </row>
    <row r="1420" spans="1:18" s="154" customFormat="1" ht="20.100000000000001" customHeight="1" x14ac:dyDescent="0.25">
      <c r="A1420" s="475" t="s">
        <v>1382</v>
      </c>
      <c r="B1420" s="476"/>
      <c r="C1420" s="476"/>
      <c r="D1420" s="476"/>
      <c r="E1420" s="476"/>
      <c r="F1420" s="476"/>
      <c r="G1420" s="476"/>
      <c r="H1420" s="476"/>
      <c r="I1420" s="476"/>
      <c r="J1420" s="476"/>
      <c r="K1420" s="477"/>
      <c r="L1420" s="250"/>
      <c r="M1420" s="149"/>
      <c r="N1420" s="149"/>
      <c r="O1420" s="149"/>
      <c r="P1420" s="149"/>
      <c r="Q1420" s="149"/>
      <c r="R1420" s="149"/>
    </row>
    <row r="1421" spans="1:18" s="166" customFormat="1" ht="20.100000000000001" customHeight="1" x14ac:dyDescent="0.25">
      <c r="A1421" s="245"/>
      <c r="B1421" s="246" t="s">
        <v>1752</v>
      </c>
      <c r="C1421" s="246"/>
      <c r="D1421" s="246"/>
      <c r="E1421" s="246"/>
      <c r="F1421" s="247"/>
      <c r="G1421" s="248">
        <v>0.4</v>
      </c>
      <c r="H1421" s="249">
        <v>0.6</v>
      </c>
      <c r="I1421" s="249">
        <v>1</v>
      </c>
      <c r="J1421" s="248"/>
      <c r="K1421" s="249">
        <f t="shared" ref="K1421:K1423" si="96">TRUNC(G1421*H1421*I1421,2)</f>
        <v>0.24</v>
      </c>
      <c r="L1421" s="250"/>
      <c r="M1421" s="149"/>
    </row>
    <row r="1422" spans="1:18" s="166" customFormat="1" ht="20.100000000000001" customHeight="1" x14ac:dyDescent="0.25">
      <c r="A1422" s="245"/>
      <c r="B1422" s="246" t="s">
        <v>1569</v>
      </c>
      <c r="C1422" s="246"/>
      <c r="D1422" s="246"/>
      <c r="E1422" s="246"/>
      <c r="F1422" s="247"/>
      <c r="G1422" s="248">
        <v>0.4</v>
      </c>
      <c r="H1422" s="249">
        <v>0.6</v>
      </c>
      <c r="I1422" s="249">
        <v>1</v>
      </c>
      <c r="J1422" s="248"/>
      <c r="K1422" s="249">
        <f t="shared" si="96"/>
        <v>0.24</v>
      </c>
      <c r="L1422" s="250"/>
      <c r="M1422" s="149"/>
    </row>
    <row r="1423" spans="1:18" s="166" customFormat="1" ht="20.100000000000001" customHeight="1" x14ac:dyDescent="0.25">
      <c r="A1423" s="245"/>
      <c r="B1423" s="246" t="s">
        <v>1753</v>
      </c>
      <c r="C1423" s="246"/>
      <c r="D1423" s="246"/>
      <c r="E1423" s="246"/>
      <c r="F1423" s="247"/>
      <c r="G1423" s="248">
        <v>0.4</v>
      </c>
      <c r="H1423" s="249">
        <v>0.6</v>
      </c>
      <c r="I1423" s="249">
        <v>1</v>
      </c>
      <c r="J1423" s="248"/>
      <c r="K1423" s="249">
        <f t="shared" si="96"/>
        <v>0.24</v>
      </c>
      <c r="L1423" s="250"/>
      <c r="M1423" s="149"/>
    </row>
    <row r="1424" spans="1:18" s="154" customFormat="1" ht="20.100000000000001" customHeight="1" x14ac:dyDescent="0.25">
      <c r="A1424" s="475" t="s">
        <v>1384</v>
      </c>
      <c r="B1424" s="476"/>
      <c r="C1424" s="476"/>
      <c r="D1424" s="476"/>
      <c r="E1424" s="476"/>
      <c r="F1424" s="476"/>
      <c r="G1424" s="476"/>
      <c r="H1424" s="476"/>
      <c r="I1424" s="476"/>
      <c r="J1424" s="476"/>
      <c r="K1424" s="477"/>
      <c r="L1424" s="250"/>
      <c r="M1424" s="149"/>
      <c r="N1424" s="149"/>
      <c r="O1424" s="149"/>
      <c r="P1424" s="149"/>
      <c r="Q1424" s="149"/>
      <c r="R1424" s="149"/>
    </row>
    <row r="1425" spans="1:18" s="166" customFormat="1" ht="20.100000000000001" customHeight="1" x14ac:dyDescent="0.25">
      <c r="A1425" s="245"/>
      <c r="B1425" s="246" t="s">
        <v>1668</v>
      </c>
      <c r="C1425" s="246"/>
      <c r="D1425" s="246"/>
      <c r="E1425" s="246"/>
      <c r="F1425" s="247"/>
      <c r="G1425" s="248">
        <v>0.4</v>
      </c>
      <c r="H1425" s="249">
        <v>0.6</v>
      </c>
      <c r="I1425" s="249">
        <v>1</v>
      </c>
      <c r="J1425" s="248"/>
      <c r="K1425" s="249">
        <f t="shared" ref="K1425:K1428" si="97">TRUNC(G1425*H1425*I1425,2)</f>
        <v>0.24</v>
      </c>
      <c r="L1425" s="250"/>
      <c r="M1425" s="149"/>
    </row>
    <row r="1426" spans="1:18" s="166" customFormat="1" ht="20.100000000000001" customHeight="1" x14ac:dyDescent="0.25">
      <c r="A1426" s="245"/>
      <c r="B1426" s="246" t="s">
        <v>1669</v>
      </c>
      <c r="C1426" s="246"/>
      <c r="D1426" s="246"/>
      <c r="E1426" s="246"/>
      <c r="F1426" s="247"/>
      <c r="G1426" s="248">
        <v>0.4</v>
      </c>
      <c r="H1426" s="249">
        <v>0.6</v>
      </c>
      <c r="I1426" s="249">
        <v>1</v>
      </c>
      <c r="J1426" s="248"/>
      <c r="K1426" s="249">
        <f t="shared" si="97"/>
        <v>0.24</v>
      </c>
      <c r="L1426" s="250"/>
      <c r="M1426" s="149"/>
    </row>
    <row r="1427" spans="1:18" s="166" customFormat="1" ht="20.100000000000001" customHeight="1" x14ac:dyDescent="0.25">
      <c r="A1427" s="245"/>
      <c r="B1427" s="246" t="s">
        <v>1569</v>
      </c>
      <c r="C1427" s="246"/>
      <c r="D1427" s="246"/>
      <c r="E1427" s="246"/>
      <c r="F1427" s="247"/>
      <c r="G1427" s="248">
        <v>0.4</v>
      </c>
      <c r="H1427" s="249">
        <v>0.6</v>
      </c>
      <c r="I1427" s="249">
        <v>1</v>
      </c>
      <c r="J1427" s="248"/>
      <c r="K1427" s="249">
        <f t="shared" si="97"/>
        <v>0.24</v>
      </c>
      <c r="L1427" s="250"/>
      <c r="M1427" s="149"/>
    </row>
    <row r="1428" spans="1:18" s="166" customFormat="1" ht="20.100000000000001" customHeight="1" x14ac:dyDescent="0.25">
      <c r="A1428" s="245"/>
      <c r="B1428" s="246" t="s">
        <v>1584</v>
      </c>
      <c r="C1428" s="246"/>
      <c r="D1428" s="246"/>
      <c r="E1428" s="246"/>
      <c r="F1428" s="247"/>
      <c r="G1428" s="248">
        <v>0.4</v>
      </c>
      <c r="H1428" s="249">
        <v>0.6</v>
      </c>
      <c r="I1428" s="249">
        <v>1</v>
      </c>
      <c r="J1428" s="248"/>
      <c r="K1428" s="249">
        <f t="shared" si="97"/>
        <v>0.24</v>
      </c>
      <c r="L1428" s="250"/>
      <c r="M1428" s="149"/>
    </row>
    <row r="1429" spans="1:18" s="154" customFormat="1" ht="20.100000000000001" customHeight="1" x14ac:dyDescent="0.25">
      <c r="A1429" s="475" t="s">
        <v>1409</v>
      </c>
      <c r="B1429" s="476"/>
      <c r="C1429" s="476"/>
      <c r="D1429" s="476"/>
      <c r="E1429" s="476"/>
      <c r="F1429" s="476"/>
      <c r="G1429" s="476"/>
      <c r="H1429" s="476"/>
      <c r="I1429" s="476"/>
      <c r="J1429" s="476"/>
      <c r="K1429" s="477"/>
      <c r="L1429" s="250"/>
      <c r="M1429" s="149"/>
      <c r="N1429" s="149"/>
      <c r="O1429" s="149"/>
      <c r="P1429" s="149"/>
      <c r="Q1429" s="149"/>
      <c r="R1429" s="149"/>
    </row>
    <row r="1430" spans="1:18" s="166" customFormat="1" ht="20.100000000000001" customHeight="1" x14ac:dyDescent="0.25">
      <c r="A1430" s="245"/>
      <c r="B1430" s="246" t="s">
        <v>1754</v>
      </c>
      <c r="C1430" s="246"/>
      <c r="D1430" s="246"/>
      <c r="E1430" s="246"/>
      <c r="F1430" s="247"/>
      <c r="G1430" s="248">
        <v>0.4</v>
      </c>
      <c r="H1430" s="249">
        <v>0.6</v>
      </c>
      <c r="I1430" s="249">
        <v>1</v>
      </c>
      <c r="J1430" s="248"/>
      <c r="K1430" s="249">
        <f t="shared" ref="K1430:K1433" si="98">TRUNC(G1430*H1430*I1430,2)</f>
        <v>0.24</v>
      </c>
      <c r="L1430" s="250"/>
      <c r="M1430" s="149"/>
    </row>
    <row r="1431" spans="1:18" s="166" customFormat="1" ht="20.100000000000001" customHeight="1" x14ac:dyDescent="0.25">
      <c r="A1431" s="245"/>
      <c r="B1431" s="246" t="s">
        <v>1755</v>
      </c>
      <c r="C1431" s="246"/>
      <c r="D1431" s="246"/>
      <c r="E1431" s="246"/>
      <c r="F1431" s="247"/>
      <c r="G1431" s="248">
        <v>0.4</v>
      </c>
      <c r="H1431" s="249">
        <v>0.6</v>
      </c>
      <c r="I1431" s="249">
        <v>1</v>
      </c>
      <c r="J1431" s="248"/>
      <c r="K1431" s="249">
        <f t="shared" si="98"/>
        <v>0.24</v>
      </c>
      <c r="L1431" s="250"/>
      <c r="M1431" s="149"/>
    </row>
    <row r="1432" spans="1:18" s="166" customFormat="1" ht="20.100000000000001" customHeight="1" x14ac:dyDescent="0.25">
      <c r="A1432" s="245"/>
      <c r="B1432" s="246" t="s">
        <v>1569</v>
      </c>
      <c r="C1432" s="246"/>
      <c r="D1432" s="246"/>
      <c r="E1432" s="246"/>
      <c r="F1432" s="247"/>
      <c r="G1432" s="248">
        <v>0.4</v>
      </c>
      <c r="H1432" s="249">
        <v>0.6</v>
      </c>
      <c r="I1432" s="249">
        <v>1</v>
      </c>
      <c r="J1432" s="248"/>
      <c r="K1432" s="249">
        <f t="shared" si="98"/>
        <v>0.24</v>
      </c>
      <c r="L1432" s="250"/>
      <c r="M1432" s="149"/>
    </row>
    <row r="1433" spans="1:18" s="166" customFormat="1" ht="20.100000000000001" customHeight="1" x14ac:dyDescent="0.25">
      <c r="A1433" s="245"/>
      <c r="B1433" s="246" t="s">
        <v>1570</v>
      </c>
      <c r="C1433" s="246"/>
      <c r="D1433" s="246"/>
      <c r="E1433" s="246"/>
      <c r="F1433" s="247"/>
      <c r="G1433" s="248">
        <v>0.4</v>
      </c>
      <c r="H1433" s="249">
        <v>0.6</v>
      </c>
      <c r="I1433" s="249">
        <v>1</v>
      </c>
      <c r="J1433" s="248"/>
      <c r="K1433" s="249">
        <f t="shared" si="98"/>
        <v>0.24</v>
      </c>
      <c r="L1433" s="250"/>
      <c r="M1433" s="149"/>
    </row>
    <row r="1434" spans="1:18" s="154" customFormat="1" ht="20.100000000000001" customHeight="1" x14ac:dyDescent="0.25">
      <c r="A1434" s="475" t="s">
        <v>1411</v>
      </c>
      <c r="B1434" s="476"/>
      <c r="C1434" s="476"/>
      <c r="D1434" s="476"/>
      <c r="E1434" s="476"/>
      <c r="F1434" s="476"/>
      <c r="G1434" s="476"/>
      <c r="H1434" s="476"/>
      <c r="I1434" s="476"/>
      <c r="J1434" s="476"/>
      <c r="K1434" s="477"/>
      <c r="L1434" s="250"/>
      <c r="M1434" s="149"/>
      <c r="N1434" s="149"/>
      <c r="O1434" s="149"/>
      <c r="P1434" s="149"/>
      <c r="Q1434" s="149"/>
      <c r="R1434" s="149"/>
    </row>
    <row r="1435" spans="1:18" s="166" customFormat="1" ht="20.100000000000001" customHeight="1" x14ac:dyDescent="0.25">
      <c r="A1435" s="245"/>
      <c r="B1435" s="246" t="s">
        <v>1569</v>
      </c>
      <c r="C1435" s="246"/>
      <c r="D1435" s="246"/>
      <c r="E1435" s="246"/>
      <c r="F1435" s="247"/>
      <c r="G1435" s="248">
        <v>0.4</v>
      </c>
      <c r="H1435" s="249">
        <v>0.6</v>
      </c>
      <c r="I1435" s="249">
        <v>1</v>
      </c>
      <c r="J1435" s="248"/>
      <c r="K1435" s="249">
        <f t="shared" ref="K1435:K1436" si="99">TRUNC(G1435*H1435*I1435,2)</f>
        <v>0.24</v>
      </c>
      <c r="L1435" s="250"/>
      <c r="M1435" s="149"/>
    </row>
    <row r="1436" spans="1:18" s="166" customFormat="1" ht="20.100000000000001" customHeight="1" x14ac:dyDescent="0.25">
      <c r="A1436" s="245"/>
      <c r="B1436" s="246" t="s">
        <v>1570</v>
      </c>
      <c r="C1436" s="246"/>
      <c r="D1436" s="246"/>
      <c r="E1436" s="246"/>
      <c r="F1436" s="247"/>
      <c r="G1436" s="248">
        <v>0.4</v>
      </c>
      <c r="H1436" s="249">
        <v>0.6</v>
      </c>
      <c r="I1436" s="249">
        <v>1</v>
      </c>
      <c r="J1436" s="248"/>
      <c r="K1436" s="249">
        <f t="shared" si="99"/>
        <v>0.24</v>
      </c>
      <c r="L1436" s="250"/>
      <c r="M1436" s="149"/>
    </row>
    <row r="1437" spans="1:18" s="154" customFormat="1" ht="20.100000000000001" customHeight="1" x14ac:dyDescent="0.25">
      <c r="A1437" s="475" t="s">
        <v>1413</v>
      </c>
      <c r="B1437" s="476"/>
      <c r="C1437" s="476"/>
      <c r="D1437" s="476"/>
      <c r="E1437" s="476"/>
      <c r="F1437" s="476"/>
      <c r="G1437" s="476"/>
      <c r="H1437" s="476"/>
      <c r="I1437" s="476"/>
      <c r="J1437" s="476"/>
      <c r="K1437" s="477"/>
      <c r="L1437" s="250"/>
      <c r="M1437" s="149"/>
      <c r="N1437" s="149"/>
      <c r="O1437" s="149"/>
      <c r="P1437" s="149"/>
      <c r="Q1437" s="149"/>
      <c r="R1437" s="149"/>
    </row>
    <row r="1438" spans="1:18" s="166" customFormat="1" ht="20.100000000000001" customHeight="1" x14ac:dyDescent="0.25">
      <c r="A1438" s="245"/>
      <c r="B1438" s="246" t="s">
        <v>1754</v>
      </c>
      <c r="C1438" s="246"/>
      <c r="D1438" s="246"/>
      <c r="E1438" s="246"/>
      <c r="F1438" s="247"/>
      <c r="G1438" s="248">
        <v>0.4</v>
      </c>
      <c r="H1438" s="249">
        <v>0.6</v>
      </c>
      <c r="I1438" s="249">
        <v>1</v>
      </c>
      <c r="J1438" s="248"/>
      <c r="K1438" s="249">
        <f t="shared" ref="K1438:K1441" si="100">TRUNC(G1438*H1438*I1438,2)</f>
        <v>0.24</v>
      </c>
      <c r="L1438" s="250"/>
      <c r="M1438" s="149"/>
    </row>
    <row r="1439" spans="1:18" s="166" customFormat="1" ht="20.100000000000001" customHeight="1" x14ac:dyDescent="0.25">
      <c r="A1439" s="245"/>
      <c r="B1439" s="246" t="s">
        <v>1755</v>
      </c>
      <c r="C1439" s="246"/>
      <c r="D1439" s="246"/>
      <c r="E1439" s="246"/>
      <c r="F1439" s="247"/>
      <c r="G1439" s="248">
        <v>0.4</v>
      </c>
      <c r="H1439" s="249">
        <v>0.6</v>
      </c>
      <c r="I1439" s="249">
        <v>1</v>
      </c>
      <c r="J1439" s="248"/>
      <c r="K1439" s="249">
        <f t="shared" si="100"/>
        <v>0.24</v>
      </c>
      <c r="L1439" s="250"/>
      <c r="M1439" s="149"/>
    </row>
    <row r="1440" spans="1:18" s="166" customFormat="1" ht="20.100000000000001" customHeight="1" x14ac:dyDescent="0.25">
      <c r="A1440" s="245"/>
      <c r="B1440" s="246" t="s">
        <v>1569</v>
      </c>
      <c r="C1440" s="246"/>
      <c r="D1440" s="246"/>
      <c r="E1440" s="246"/>
      <c r="F1440" s="247"/>
      <c r="G1440" s="248">
        <v>3</v>
      </c>
      <c r="H1440" s="249">
        <v>1</v>
      </c>
      <c r="I1440" s="249">
        <v>1</v>
      </c>
      <c r="J1440" s="248"/>
      <c r="K1440" s="249">
        <f t="shared" si="100"/>
        <v>3</v>
      </c>
      <c r="L1440" s="250"/>
      <c r="M1440" s="149"/>
    </row>
    <row r="1441" spans="1:18" s="166" customFormat="1" ht="20.100000000000001" customHeight="1" x14ac:dyDescent="0.25">
      <c r="A1441" s="245"/>
      <c r="B1441" s="246" t="s">
        <v>1570</v>
      </c>
      <c r="C1441" s="246"/>
      <c r="D1441" s="246"/>
      <c r="E1441" s="246"/>
      <c r="F1441" s="247"/>
      <c r="G1441" s="248">
        <v>3</v>
      </c>
      <c r="H1441" s="249">
        <v>1</v>
      </c>
      <c r="I1441" s="249">
        <v>1</v>
      </c>
      <c r="J1441" s="248"/>
      <c r="K1441" s="249">
        <f t="shared" si="100"/>
        <v>3</v>
      </c>
      <c r="L1441" s="250"/>
      <c r="M1441" s="149"/>
    </row>
    <row r="1442" spans="1:18" s="154" customFormat="1" ht="20.100000000000001" customHeight="1" x14ac:dyDescent="0.25">
      <c r="A1442" s="470" t="s">
        <v>163</v>
      </c>
      <c r="B1442" s="471"/>
      <c r="C1442" s="471"/>
      <c r="D1442" s="471"/>
      <c r="E1442" s="471"/>
      <c r="F1442" s="472"/>
      <c r="G1442" s="472"/>
      <c r="H1442" s="472"/>
      <c r="I1442" s="274"/>
      <c r="J1442" s="275"/>
      <c r="K1442" s="252">
        <f>SUM(K1421:K1441)</f>
        <v>9.6000000000000014</v>
      </c>
      <c r="L1442" s="250"/>
      <c r="M1442" s="149"/>
      <c r="N1442" s="149"/>
      <c r="O1442" s="149"/>
      <c r="P1442" s="149"/>
      <c r="Q1442" s="149"/>
      <c r="R1442" s="149"/>
    </row>
    <row r="1443" spans="1:18" s="154" customFormat="1" ht="20.100000000000001" customHeight="1" x14ac:dyDescent="0.25">
      <c r="A1443" s="177" t="s">
        <v>1704</v>
      </c>
      <c r="B1443" s="171" t="s">
        <v>1756</v>
      </c>
      <c r="C1443" s="171"/>
      <c r="D1443" s="171"/>
      <c r="E1443" s="171"/>
      <c r="F1443" s="243" t="s">
        <v>26</v>
      </c>
      <c r="G1443" s="244"/>
      <c r="H1443" s="244"/>
      <c r="I1443" s="244"/>
      <c r="J1443" s="244"/>
      <c r="K1443" s="244" t="s">
        <v>50</v>
      </c>
      <c r="L1443" s="250"/>
      <c r="M1443" s="149"/>
      <c r="N1443" s="149"/>
      <c r="O1443" s="149"/>
      <c r="P1443" s="149"/>
      <c r="Q1443" s="149"/>
      <c r="R1443" s="149"/>
    </row>
    <row r="1444" spans="1:18" s="154" customFormat="1" ht="20.100000000000001" customHeight="1" x14ac:dyDescent="0.25">
      <c r="A1444" s="475" t="s">
        <v>1382</v>
      </c>
      <c r="B1444" s="476"/>
      <c r="C1444" s="476"/>
      <c r="D1444" s="476"/>
      <c r="E1444" s="476"/>
      <c r="F1444" s="476"/>
      <c r="G1444" s="476"/>
      <c r="H1444" s="476"/>
      <c r="I1444" s="476"/>
      <c r="J1444" s="476"/>
      <c r="K1444" s="477"/>
      <c r="L1444" s="250"/>
      <c r="M1444" s="149"/>
      <c r="N1444" s="149"/>
      <c r="O1444" s="149"/>
      <c r="P1444" s="149"/>
      <c r="Q1444" s="149"/>
      <c r="R1444" s="149"/>
    </row>
    <row r="1445" spans="1:18" s="166" customFormat="1" ht="20.100000000000001" customHeight="1" x14ac:dyDescent="0.25">
      <c r="A1445" s="245"/>
      <c r="B1445" s="246" t="s">
        <v>1752</v>
      </c>
      <c r="C1445" s="246"/>
      <c r="D1445" s="246"/>
      <c r="E1445" s="246"/>
      <c r="F1445" s="247"/>
      <c r="G1445" s="248"/>
      <c r="H1445" s="249"/>
      <c r="I1445" s="249">
        <v>1</v>
      </c>
      <c r="J1445" s="248"/>
      <c r="K1445" s="249">
        <v>2</v>
      </c>
      <c r="L1445" s="250"/>
      <c r="M1445" s="149"/>
    </row>
    <row r="1446" spans="1:18" s="166" customFormat="1" ht="20.100000000000001" customHeight="1" x14ac:dyDescent="0.25">
      <c r="A1446" s="245"/>
      <c r="B1446" s="246" t="s">
        <v>1569</v>
      </c>
      <c r="C1446" s="246"/>
      <c r="D1446" s="246"/>
      <c r="E1446" s="246"/>
      <c r="F1446" s="247"/>
      <c r="G1446" s="248"/>
      <c r="H1446" s="249"/>
      <c r="I1446" s="249">
        <v>1</v>
      </c>
      <c r="J1446" s="248"/>
      <c r="K1446" s="249">
        <v>2</v>
      </c>
      <c r="L1446" s="250"/>
      <c r="M1446" s="149"/>
    </row>
    <row r="1447" spans="1:18" s="166" customFormat="1" ht="20.100000000000001" customHeight="1" x14ac:dyDescent="0.25">
      <c r="A1447" s="245"/>
      <c r="B1447" s="246" t="s">
        <v>1753</v>
      </c>
      <c r="C1447" s="246"/>
      <c r="D1447" s="246"/>
      <c r="E1447" s="246"/>
      <c r="F1447" s="247"/>
      <c r="G1447" s="248"/>
      <c r="H1447" s="249"/>
      <c r="I1447" s="249">
        <v>1</v>
      </c>
      <c r="J1447" s="248"/>
      <c r="K1447" s="249">
        <v>1</v>
      </c>
      <c r="L1447" s="250"/>
      <c r="M1447" s="149"/>
    </row>
    <row r="1448" spans="1:18" s="154" customFormat="1" ht="20.100000000000001" customHeight="1" x14ac:dyDescent="0.25">
      <c r="A1448" s="475" t="s">
        <v>1384</v>
      </c>
      <c r="B1448" s="476"/>
      <c r="C1448" s="476"/>
      <c r="D1448" s="476"/>
      <c r="E1448" s="476"/>
      <c r="F1448" s="476"/>
      <c r="G1448" s="476"/>
      <c r="H1448" s="476"/>
      <c r="I1448" s="476"/>
      <c r="J1448" s="476"/>
      <c r="K1448" s="477"/>
      <c r="L1448" s="250"/>
      <c r="M1448" s="149"/>
      <c r="N1448" s="149"/>
      <c r="O1448" s="149"/>
      <c r="P1448" s="149"/>
      <c r="Q1448" s="149"/>
      <c r="R1448" s="149"/>
    </row>
    <row r="1449" spans="1:18" s="154" customFormat="1" ht="20.100000000000001" customHeight="1" x14ac:dyDescent="0.25">
      <c r="A1449" s="245"/>
      <c r="B1449" s="246" t="s">
        <v>1668</v>
      </c>
      <c r="C1449" s="246"/>
      <c r="D1449" s="246"/>
      <c r="E1449" s="246"/>
      <c r="F1449" s="247"/>
      <c r="G1449" s="248"/>
      <c r="H1449" s="249"/>
      <c r="I1449" s="249"/>
      <c r="J1449" s="248"/>
      <c r="K1449" s="249">
        <v>1</v>
      </c>
      <c r="L1449" s="250"/>
      <c r="M1449" s="149"/>
      <c r="N1449" s="149"/>
      <c r="O1449" s="149"/>
      <c r="P1449" s="149"/>
      <c r="Q1449" s="149"/>
      <c r="R1449" s="149"/>
    </row>
    <row r="1450" spans="1:18" s="166" customFormat="1" ht="20.100000000000001" customHeight="1" x14ac:dyDescent="0.25">
      <c r="A1450" s="245"/>
      <c r="B1450" s="246" t="s">
        <v>1669</v>
      </c>
      <c r="C1450" s="246"/>
      <c r="D1450" s="246"/>
      <c r="E1450" s="246"/>
      <c r="F1450" s="247"/>
      <c r="G1450" s="248"/>
      <c r="H1450" s="249"/>
      <c r="I1450" s="249"/>
      <c r="J1450" s="248"/>
      <c r="K1450" s="249">
        <v>1</v>
      </c>
      <c r="L1450" s="250"/>
      <c r="M1450" s="149"/>
    </row>
    <row r="1451" spans="1:18" s="166" customFormat="1" ht="20.100000000000001" customHeight="1" x14ac:dyDescent="0.25">
      <c r="A1451" s="245"/>
      <c r="B1451" s="246" t="s">
        <v>1569</v>
      </c>
      <c r="C1451" s="246"/>
      <c r="D1451" s="246"/>
      <c r="E1451" s="246"/>
      <c r="F1451" s="247"/>
      <c r="G1451" s="248"/>
      <c r="H1451" s="249"/>
      <c r="I1451" s="249"/>
      <c r="J1451" s="248"/>
      <c r="K1451" s="249">
        <v>2</v>
      </c>
      <c r="L1451" s="250"/>
      <c r="M1451" s="149"/>
    </row>
    <row r="1452" spans="1:18" s="166" customFormat="1" ht="20.100000000000001" customHeight="1" x14ac:dyDescent="0.25">
      <c r="A1452" s="245"/>
      <c r="B1452" s="246" t="s">
        <v>1584</v>
      </c>
      <c r="C1452" s="246"/>
      <c r="D1452" s="246"/>
      <c r="E1452" s="246"/>
      <c r="F1452" s="247"/>
      <c r="G1452" s="248"/>
      <c r="H1452" s="249"/>
      <c r="I1452" s="249"/>
      <c r="J1452" s="248"/>
      <c r="K1452" s="249">
        <v>2</v>
      </c>
      <c r="L1452" s="250"/>
      <c r="M1452" s="149"/>
    </row>
    <row r="1453" spans="1:18" s="154" customFormat="1" ht="20.100000000000001" customHeight="1" x14ac:dyDescent="0.25">
      <c r="A1453" s="475" t="s">
        <v>1409</v>
      </c>
      <c r="B1453" s="476"/>
      <c r="C1453" s="476"/>
      <c r="D1453" s="476"/>
      <c r="E1453" s="476"/>
      <c r="F1453" s="476"/>
      <c r="G1453" s="476"/>
      <c r="H1453" s="476"/>
      <c r="I1453" s="476"/>
      <c r="J1453" s="476"/>
      <c r="K1453" s="477"/>
      <c r="L1453" s="250"/>
      <c r="M1453" s="149"/>
      <c r="N1453" s="149"/>
      <c r="O1453" s="149"/>
      <c r="P1453" s="149"/>
      <c r="Q1453" s="149"/>
      <c r="R1453" s="149"/>
    </row>
    <row r="1454" spans="1:18" s="154" customFormat="1" ht="20.100000000000001" customHeight="1" x14ac:dyDescent="0.25">
      <c r="A1454" s="245"/>
      <c r="B1454" s="246" t="s">
        <v>1754</v>
      </c>
      <c r="C1454" s="246"/>
      <c r="D1454" s="246"/>
      <c r="E1454" s="246"/>
      <c r="F1454" s="247"/>
      <c r="G1454" s="248"/>
      <c r="H1454" s="249"/>
      <c r="I1454" s="249"/>
      <c r="J1454" s="248"/>
      <c r="K1454" s="249">
        <v>1</v>
      </c>
      <c r="L1454" s="250"/>
      <c r="M1454" s="149"/>
      <c r="N1454" s="149"/>
      <c r="O1454" s="149"/>
      <c r="P1454" s="149"/>
      <c r="Q1454" s="149"/>
      <c r="R1454" s="149"/>
    </row>
    <row r="1455" spans="1:18" s="166" customFormat="1" ht="20.100000000000001" customHeight="1" x14ac:dyDescent="0.25">
      <c r="A1455" s="245"/>
      <c r="B1455" s="246" t="s">
        <v>1755</v>
      </c>
      <c r="C1455" s="246"/>
      <c r="D1455" s="246"/>
      <c r="E1455" s="246"/>
      <c r="F1455" s="247"/>
      <c r="G1455" s="248"/>
      <c r="H1455" s="249"/>
      <c r="I1455" s="249"/>
      <c r="J1455" s="248"/>
      <c r="K1455" s="249">
        <v>1</v>
      </c>
      <c r="L1455" s="250"/>
      <c r="M1455" s="149"/>
    </row>
    <row r="1456" spans="1:18" s="166" customFormat="1" ht="20.100000000000001" customHeight="1" x14ac:dyDescent="0.25">
      <c r="A1456" s="245"/>
      <c r="B1456" s="246" t="s">
        <v>1569</v>
      </c>
      <c r="C1456" s="246"/>
      <c r="D1456" s="246"/>
      <c r="E1456" s="246"/>
      <c r="F1456" s="247"/>
      <c r="G1456" s="248"/>
      <c r="H1456" s="249"/>
      <c r="I1456" s="249"/>
      <c r="J1456" s="248"/>
      <c r="K1456" s="249">
        <v>1</v>
      </c>
      <c r="L1456" s="250"/>
      <c r="M1456" s="149"/>
    </row>
    <row r="1457" spans="1:18" s="166" customFormat="1" ht="20.100000000000001" customHeight="1" x14ac:dyDescent="0.25">
      <c r="A1457" s="245"/>
      <c r="B1457" s="246" t="s">
        <v>1570</v>
      </c>
      <c r="C1457" s="246"/>
      <c r="D1457" s="246"/>
      <c r="E1457" s="246"/>
      <c r="F1457" s="247"/>
      <c r="G1457" s="248"/>
      <c r="H1457" s="249"/>
      <c r="I1457" s="249"/>
      <c r="J1457" s="248"/>
      <c r="K1457" s="249">
        <v>1</v>
      </c>
      <c r="L1457" s="250"/>
      <c r="M1457" s="149"/>
    </row>
    <row r="1458" spans="1:18" s="154" customFormat="1" ht="20.100000000000001" customHeight="1" x14ac:dyDescent="0.25">
      <c r="A1458" s="475" t="s">
        <v>1411</v>
      </c>
      <c r="B1458" s="476"/>
      <c r="C1458" s="476"/>
      <c r="D1458" s="476"/>
      <c r="E1458" s="476"/>
      <c r="F1458" s="476"/>
      <c r="G1458" s="476"/>
      <c r="H1458" s="476"/>
      <c r="I1458" s="476"/>
      <c r="J1458" s="476"/>
      <c r="K1458" s="477"/>
      <c r="L1458" s="250"/>
      <c r="M1458" s="149"/>
      <c r="N1458" s="149"/>
      <c r="O1458" s="149"/>
      <c r="P1458" s="149"/>
      <c r="Q1458" s="149"/>
      <c r="R1458" s="149"/>
    </row>
    <row r="1459" spans="1:18" s="166" customFormat="1" ht="20.100000000000001" customHeight="1" x14ac:dyDescent="0.25">
      <c r="A1459" s="245"/>
      <c r="B1459" s="246" t="s">
        <v>1569</v>
      </c>
      <c r="C1459" s="246"/>
      <c r="D1459" s="246"/>
      <c r="E1459" s="246"/>
      <c r="F1459" s="247"/>
      <c r="G1459" s="248"/>
      <c r="H1459" s="249"/>
      <c r="I1459" s="249"/>
      <c r="J1459" s="248"/>
      <c r="K1459" s="249">
        <v>1</v>
      </c>
      <c r="L1459" s="250"/>
      <c r="M1459" s="149"/>
    </row>
    <row r="1460" spans="1:18" s="166" customFormat="1" ht="20.100000000000001" customHeight="1" x14ac:dyDescent="0.25">
      <c r="A1460" s="245"/>
      <c r="B1460" s="246" t="s">
        <v>1570</v>
      </c>
      <c r="C1460" s="246"/>
      <c r="D1460" s="246"/>
      <c r="E1460" s="246"/>
      <c r="F1460" s="247"/>
      <c r="G1460" s="248"/>
      <c r="H1460" s="249"/>
      <c r="I1460" s="249"/>
      <c r="J1460" s="248"/>
      <c r="K1460" s="249">
        <v>1</v>
      </c>
      <c r="L1460" s="250"/>
      <c r="M1460" s="149"/>
    </row>
    <row r="1461" spans="1:18" s="154" customFormat="1" ht="20.100000000000001" customHeight="1" x14ac:dyDescent="0.25">
      <c r="A1461" s="475" t="s">
        <v>1413</v>
      </c>
      <c r="B1461" s="476"/>
      <c r="C1461" s="476"/>
      <c r="D1461" s="476"/>
      <c r="E1461" s="476"/>
      <c r="F1461" s="476"/>
      <c r="G1461" s="476"/>
      <c r="H1461" s="476"/>
      <c r="I1461" s="476"/>
      <c r="J1461" s="476"/>
      <c r="K1461" s="477"/>
      <c r="L1461" s="250"/>
      <c r="M1461" s="149"/>
      <c r="N1461" s="149"/>
      <c r="O1461" s="149"/>
      <c r="P1461" s="149"/>
      <c r="Q1461" s="149"/>
      <c r="R1461" s="149"/>
    </row>
    <row r="1462" spans="1:18" s="154" customFormat="1" ht="20.100000000000001" customHeight="1" x14ac:dyDescent="0.25">
      <c r="A1462" s="245"/>
      <c r="B1462" s="246" t="s">
        <v>1754</v>
      </c>
      <c r="C1462" s="246"/>
      <c r="D1462" s="246"/>
      <c r="E1462" s="246"/>
      <c r="F1462" s="247"/>
      <c r="G1462" s="248"/>
      <c r="H1462" s="249"/>
      <c r="I1462" s="249"/>
      <c r="J1462" s="248"/>
      <c r="K1462" s="249">
        <v>1</v>
      </c>
      <c r="L1462" s="250"/>
      <c r="M1462" s="149"/>
      <c r="N1462" s="149"/>
      <c r="O1462" s="149"/>
      <c r="P1462" s="149"/>
      <c r="Q1462" s="149"/>
      <c r="R1462" s="149"/>
    </row>
    <row r="1463" spans="1:18" s="166" customFormat="1" ht="20.100000000000001" customHeight="1" x14ac:dyDescent="0.25">
      <c r="A1463" s="245"/>
      <c r="B1463" s="246" t="s">
        <v>1755</v>
      </c>
      <c r="C1463" s="246"/>
      <c r="D1463" s="246"/>
      <c r="E1463" s="246"/>
      <c r="F1463" s="247"/>
      <c r="G1463" s="248"/>
      <c r="H1463" s="249"/>
      <c r="I1463" s="249"/>
      <c r="J1463" s="248"/>
      <c r="K1463" s="249">
        <v>1</v>
      </c>
      <c r="L1463" s="250"/>
      <c r="M1463" s="149"/>
    </row>
    <row r="1464" spans="1:18" s="166" customFormat="1" ht="20.100000000000001" customHeight="1" x14ac:dyDescent="0.25">
      <c r="A1464" s="245"/>
      <c r="B1464" s="246" t="s">
        <v>1569</v>
      </c>
      <c r="C1464" s="246"/>
      <c r="D1464" s="246"/>
      <c r="E1464" s="246"/>
      <c r="F1464" s="247"/>
      <c r="G1464" s="248"/>
      <c r="H1464" s="249"/>
      <c r="I1464" s="249"/>
      <c r="J1464" s="248"/>
      <c r="K1464" s="249">
        <v>4</v>
      </c>
      <c r="L1464" s="250"/>
      <c r="M1464" s="149"/>
    </row>
    <row r="1465" spans="1:18" s="166" customFormat="1" ht="20.100000000000001" customHeight="1" x14ac:dyDescent="0.25">
      <c r="A1465" s="245"/>
      <c r="B1465" s="246" t="s">
        <v>1570</v>
      </c>
      <c r="C1465" s="246"/>
      <c r="D1465" s="246"/>
      <c r="E1465" s="246"/>
      <c r="F1465" s="247"/>
      <c r="G1465" s="248"/>
      <c r="H1465" s="249"/>
      <c r="I1465" s="249"/>
      <c r="J1465" s="248"/>
      <c r="K1465" s="249">
        <v>4</v>
      </c>
      <c r="L1465" s="250"/>
      <c r="M1465" s="149"/>
    </row>
    <row r="1466" spans="1:18" s="154" customFormat="1" ht="20.100000000000001" customHeight="1" x14ac:dyDescent="0.25">
      <c r="A1466" s="470" t="s">
        <v>163</v>
      </c>
      <c r="B1466" s="471"/>
      <c r="C1466" s="471"/>
      <c r="D1466" s="471"/>
      <c r="E1466" s="471"/>
      <c r="F1466" s="472"/>
      <c r="G1466" s="472"/>
      <c r="H1466" s="472"/>
      <c r="I1466" s="274"/>
      <c r="J1466" s="275"/>
      <c r="K1466" s="252">
        <f>SUM(K1445:K1465)</f>
        <v>27</v>
      </c>
      <c r="L1466" s="250"/>
      <c r="M1466" s="149"/>
      <c r="N1466" s="149"/>
      <c r="O1466" s="149"/>
      <c r="P1466" s="149"/>
      <c r="Q1466" s="149"/>
      <c r="R1466" s="149"/>
    </row>
    <row r="1467" spans="1:18" s="154" customFormat="1" ht="20.100000000000001" customHeight="1" x14ac:dyDescent="0.25">
      <c r="A1467" s="177" t="s">
        <v>1704</v>
      </c>
      <c r="B1467" s="171" t="s">
        <v>1757</v>
      </c>
      <c r="C1467" s="171"/>
      <c r="D1467" s="171"/>
      <c r="E1467" s="171"/>
      <c r="F1467" s="243" t="s">
        <v>24</v>
      </c>
      <c r="G1467" s="244"/>
      <c r="H1467" s="244"/>
      <c r="I1467" s="244"/>
      <c r="J1467" s="244"/>
      <c r="K1467" s="244" t="s">
        <v>50</v>
      </c>
      <c r="L1467" s="250"/>
      <c r="M1467" s="149"/>
      <c r="N1467" s="149"/>
      <c r="O1467" s="149"/>
      <c r="P1467" s="149"/>
      <c r="Q1467" s="149"/>
      <c r="R1467" s="149"/>
    </row>
    <row r="1468" spans="1:18" s="154" customFormat="1" ht="20.100000000000001" customHeight="1" x14ac:dyDescent="0.25">
      <c r="A1468" s="475" t="s">
        <v>1384</v>
      </c>
      <c r="B1468" s="476"/>
      <c r="C1468" s="476"/>
      <c r="D1468" s="476"/>
      <c r="E1468" s="476"/>
      <c r="F1468" s="476"/>
      <c r="G1468" s="476"/>
      <c r="H1468" s="476"/>
      <c r="I1468" s="476"/>
      <c r="J1468" s="476"/>
      <c r="K1468" s="477"/>
      <c r="L1468" s="250"/>
      <c r="M1468" s="149"/>
      <c r="N1468" s="149"/>
      <c r="O1468" s="149"/>
      <c r="P1468" s="149"/>
      <c r="Q1468" s="149"/>
      <c r="R1468" s="149"/>
    </row>
    <row r="1469" spans="1:18" s="166" customFormat="1" ht="20.100000000000001" customHeight="1" x14ac:dyDescent="0.25">
      <c r="A1469" s="245"/>
      <c r="B1469" s="246" t="s">
        <v>1604</v>
      </c>
      <c r="C1469" s="246"/>
      <c r="D1469" s="246"/>
      <c r="E1469" s="246"/>
      <c r="F1469" s="247"/>
      <c r="G1469" s="248"/>
      <c r="H1469" s="249"/>
      <c r="I1469" s="249"/>
      <c r="J1469" s="248"/>
      <c r="K1469" s="249">
        <f>1.61-0.5*0.6</f>
        <v>1.31</v>
      </c>
      <c r="L1469" s="250"/>
      <c r="M1469" s="149"/>
    </row>
    <row r="1470" spans="1:18" s="166" customFormat="1" ht="20.100000000000001" customHeight="1" x14ac:dyDescent="0.25">
      <c r="A1470" s="245"/>
      <c r="B1470" s="246" t="s">
        <v>1605</v>
      </c>
      <c r="C1470" s="246"/>
      <c r="D1470" s="246"/>
      <c r="E1470" s="246"/>
      <c r="F1470" s="247"/>
      <c r="G1470" s="248"/>
      <c r="H1470" s="249"/>
      <c r="I1470" s="249"/>
      <c r="J1470" s="248"/>
      <c r="K1470" s="249">
        <v>1.31</v>
      </c>
      <c r="L1470" s="250"/>
      <c r="M1470" s="149"/>
    </row>
    <row r="1471" spans="1:18" s="166" customFormat="1" ht="20.100000000000001" customHeight="1" x14ac:dyDescent="0.25">
      <c r="A1471" s="245"/>
      <c r="B1471" s="246" t="s">
        <v>1606</v>
      </c>
      <c r="C1471" s="246"/>
      <c r="D1471" s="246"/>
      <c r="E1471" s="246"/>
      <c r="F1471" s="247"/>
      <c r="G1471" s="248"/>
      <c r="H1471" s="249"/>
      <c r="I1471" s="249"/>
      <c r="J1471" s="248"/>
      <c r="K1471" s="249">
        <v>1.31</v>
      </c>
      <c r="L1471" s="250"/>
      <c r="M1471" s="149"/>
    </row>
    <row r="1472" spans="1:18" s="166" customFormat="1" ht="20.100000000000001" customHeight="1" x14ac:dyDescent="0.25">
      <c r="A1472" s="245"/>
      <c r="B1472" s="246" t="s">
        <v>1607</v>
      </c>
      <c r="C1472" s="246"/>
      <c r="D1472" s="246"/>
      <c r="E1472" s="246"/>
      <c r="F1472" s="247"/>
      <c r="G1472" s="248"/>
      <c r="H1472" s="249"/>
      <c r="I1472" s="249"/>
      <c r="J1472" s="248"/>
      <c r="K1472" s="249">
        <v>1.31</v>
      </c>
      <c r="L1472" s="250"/>
      <c r="M1472" s="149"/>
    </row>
    <row r="1473" spans="1:18" s="166" customFormat="1" ht="20.100000000000001" customHeight="1" x14ac:dyDescent="0.25">
      <c r="A1473" s="245"/>
      <c r="B1473" s="246" t="s">
        <v>1608</v>
      </c>
      <c r="C1473" s="246"/>
      <c r="D1473" s="246"/>
      <c r="E1473" s="246"/>
      <c r="F1473" s="247"/>
      <c r="G1473" s="248"/>
      <c r="H1473" s="249"/>
      <c r="I1473" s="249"/>
      <c r="J1473" s="248"/>
      <c r="K1473" s="249">
        <v>1.31</v>
      </c>
      <c r="L1473" s="250"/>
      <c r="M1473" s="149"/>
    </row>
    <row r="1474" spans="1:18" s="166" customFormat="1" ht="20.100000000000001" customHeight="1" x14ac:dyDescent="0.25">
      <c r="A1474" s="245"/>
      <c r="B1474" s="246" t="s">
        <v>1609</v>
      </c>
      <c r="C1474" s="246"/>
      <c r="D1474" s="246"/>
      <c r="E1474" s="246"/>
      <c r="F1474" s="247"/>
      <c r="G1474" s="248"/>
      <c r="H1474" s="249"/>
      <c r="I1474" s="249"/>
      <c r="J1474" s="248"/>
      <c r="K1474" s="249">
        <v>1.31</v>
      </c>
      <c r="L1474" s="250"/>
      <c r="M1474" s="149"/>
    </row>
    <row r="1475" spans="1:18" s="166" customFormat="1" ht="20.100000000000001" customHeight="1" x14ac:dyDescent="0.25">
      <c r="A1475" s="245"/>
      <c r="B1475" s="246" t="s">
        <v>1552</v>
      </c>
      <c r="C1475" s="246"/>
      <c r="D1475" s="246"/>
      <c r="E1475" s="246"/>
      <c r="F1475" s="247"/>
      <c r="G1475" s="248"/>
      <c r="H1475" s="249"/>
      <c r="I1475" s="249"/>
      <c r="J1475" s="248"/>
      <c r="K1475" s="249">
        <v>2.2799999999999998</v>
      </c>
      <c r="L1475" s="250"/>
      <c r="M1475" s="149"/>
    </row>
    <row r="1476" spans="1:18" s="166" customFormat="1" ht="20.100000000000001" customHeight="1" x14ac:dyDescent="0.25">
      <c r="A1476" s="245"/>
      <c r="B1476" s="246" t="s">
        <v>1553</v>
      </c>
      <c r="C1476" s="246"/>
      <c r="D1476" s="246"/>
      <c r="E1476" s="246"/>
      <c r="F1476" s="247"/>
      <c r="G1476" s="248"/>
      <c r="H1476" s="249"/>
      <c r="I1476" s="249"/>
      <c r="J1476" s="248"/>
      <c r="K1476" s="249">
        <f>2.65-1.5*0.6</f>
        <v>1.75</v>
      </c>
      <c r="L1476" s="250"/>
      <c r="M1476" s="149"/>
    </row>
    <row r="1477" spans="1:18" s="154" customFormat="1" ht="20.100000000000001" customHeight="1" x14ac:dyDescent="0.25">
      <c r="A1477" s="475" t="s">
        <v>1413</v>
      </c>
      <c r="B1477" s="476"/>
      <c r="C1477" s="476"/>
      <c r="D1477" s="476"/>
      <c r="E1477" s="476"/>
      <c r="F1477" s="476"/>
      <c r="G1477" s="476"/>
      <c r="H1477" s="476"/>
      <c r="I1477" s="476"/>
      <c r="J1477" s="476"/>
      <c r="K1477" s="477"/>
      <c r="L1477" s="250"/>
      <c r="M1477" s="149"/>
      <c r="N1477" s="149"/>
      <c r="O1477" s="149"/>
      <c r="P1477" s="149"/>
      <c r="Q1477" s="149"/>
      <c r="R1477" s="149"/>
    </row>
    <row r="1478" spans="1:18" s="154" customFormat="1" ht="20.100000000000001" customHeight="1" x14ac:dyDescent="0.25">
      <c r="A1478" s="245"/>
      <c r="B1478" s="246" t="s">
        <v>1420</v>
      </c>
      <c r="C1478" s="246"/>
      <c r="D1478" s="246"/>
      <c r="E1478" s="246"/>
      <c r="F1478" s="247"/>
      <c r="G1478" s="248"/>
      <c r="H1478" s="249"/>
      <c r="I1478" s="249"/>
      <c r="J1478" s="248"/>
      <c r="K1478" s="249">
        <v>1.68</v>
      </c>
      <c r="L1478" s="250"/>
      <c r="M1478" s="149"/>
      <c r="N1478" s="149"/>
      <c r="O1478" s="149"/>
      <c r="P1478" s="149"/>
      <c r="Q1478" s="149"/>
      <c r="R1478" s="149"/>
    </row>
    <row r="1479" spans="1:18" s="166" customFormat="1" ht="20.100000000000001" customHeight="1" x14ac:dyDescent="0.25">
      <c r="A1479" s="245"/>
      <c r="B1479" s="246" t="s">
        <v>1569</v>
      </c>
      <c r="C1479" s="246"/>
      <c r="D1479" s="246"/>
      <c r="E1479" s="246"/>
      <c r="F1479" s="247"/>
      <c r="G1479" s="248"/>
      <c r="H1479" s="249"/>
      <c r="I1479" s="249"/>
      <c r="J1479" s="248"/>
      <c r="K1479" s="249">
        <f>3-0.6*0.5*3</f>
        <v>2.1</v>
      </c>
      <c r="L1479" s="250"/>
      <c r="M1479" s="149"/>
    </row>
    <row r="1480" spans="1:18" s="166" customFormat="1" ht="20.100000000000001" customHeight="1" x14ac:dyDescent="0.25">
      <c r="A1480" s="245"/>
      <c r="B1480" s="246" t="s">
        <v>1570</v>
      </c>
      <c r="C1480" s="246"/>
      <c r="D1480" s="246"/>
      <c r="E1480" s="246"/>
      <c r="F1480" s="247"/>
      <c r="G1480" s="248"/>
      <c r="H1480" s="249"/>
      <c r="I1480" s="249"/>
      <c r="J1480" s="248"/>
      <c r="K1480" s="249">
        <f>3-0.6*0.5*3</f>
        <v>2.1</v>
      </c>
      <c r="L1480" s="250"/>
      <c r="M1480" s="149"/>
    </row>
    <row r="1481" spans="1:18" s="154" customFormat="1" ht="20.100000000000001" customHeight="1" x14ac:dyDescent="0.25">
      <c r="A1481" s="470" t="s">
        <v>163</v>
      </c>
      <c r="B1481" s="471"/>
      <c r="C1481" s="471"/>
      <c r="D1481" s="471"/>
      <c r="E1481" s="471"/>
      <c r="F1481" s="472"/>
      <c r="G1481" s="472"/>
      <c r="H1481" s="472"/>
      <c r="I1481" s="274"/>
      <c r="J1481" s="275"/>
      <c r="K1481" s="252">
        <f>SUM(K1469:K1480)</f>
        <v>17.77</v>
      </c>
      <c r="L1481" s="250"/>
      <c r="M1481" s="149"/>
      <c r="N1481" s="149"/>
      <c r="O1481" s="149"/>
      <c r="P1481" s="149"/>
      <c r="Q1481" s="149"/>
      <c r="R1481" s="149"/>
    </row>
    <row r="1482" spans="1:18" s="154" customFormat="1" ht="20.100000000000001" customHeight="1" x14ac:dyDescent="0.25">
      <c r="A1482" s="177" t="s">
        <v>1709</v>
      </c>
      <c r="B1482" s="171" t="s">
        <v>1758</v>
      </c>
      <c r="C1482" s="171"/>
      <c r="D1482" s="171"/>
      <c r="E1482" s="171"/>
      <c r="F1482" s="243" t="s">
        <v>168</v>
      </c>
      <c r="G1482" s="244"/>
      <c r="H1482" s="244"/>
      <c r="I1482" s="244" t="s">
        <v>724</v>
      </c>
      <c r="J1482" s="244"/>
      <c r="K1482" s="244" t="s">
        <v>50</v>
      </c>
      <c r="L1482" s="250"/>
      <c r="M1482" s="149"/>
      <c r="N1482" s="149"/>
      <c r="O1482" s="149"/>
      <c r="P1482" s="149"/>
      <c r="Q1482" s="149"/>
      <c r="R1482" s="149"/>
    </row>
    <row r="1483" spans="1:18" s="154" customFormat="1" ht="20.100000000000001" customHeight="1" x14ac:dyDescent="0.25">
      <c r="A1483" s="475" t="s">
        <v>1384</v>
      </c>
      <c r="B1483" s="476"/>
      <c r="C1483" s="476"/>
      <c r="D1483" s="476"/>
      <c r="E1483" s="476"/>
      <c r="F1483" s="476"/>
      <c r="G1483" s="476"/>
      <c r="H1483" s="476"/>
      <c r="I1483" s="476"/>
      <c r="J1483" s="476"/>
      <c r="K1483" s="477"/>
      <c r="L1483" s="250"/>
      <c r="M1483" s="149"/>
      <c r="N1483" s="149"/>
      <c r="O1483" s="149"/>
      <c r="P1483" s="149"/>
      <c r="Q1483" s="149"/>
      <c r="R1483" s="149"/>
    </row>
    <row r="1484" spans="1:18" s="149" customFormat="1" ht="20.100000000000001" customHeight="1" x14ac:dyDescent="0.25">
      <c r="A1484" s="245"/>
      <c r="B1484" s="246" t="s">
        <v>1602</v>
      </c>
      <c r="C1484" s="246"/>
      <c r="D1484" s="246"/>
      <c r="E1484" s="246"/>
      <c r="F1484" s="247"/>
      <c r="G1484" s="248"/>
      <c r="H1484" s="249"/>
      <c r="I1484" s="249"/>
      <c r="J1484" s="248"/>
      <c r="K1484" s="249">
        <v>1</v>
      </c>
      <c r="L1484" s="250"/>
    </row>
    <row r="1485" spans="1:18" s="149" customFormat="1" ht="20.100000000000001" customHeight="1" x14ac:dyDescent="0.25">
      <c r="A1485" s="245"/>
      <c r="B1485" s="246" t="s">
        <v>810</v>
      </c>
      <c r="C1485" s="246"/>
      <c r="D1485" s="246"/>
      <c r="E1485" s="246"/>
      <c r="F1485" s="247"/>
      <c r="G1485" s="248"/>
      <c r="H1485" s="249"/>
      <c r="I1485" s="249"/>
      <c r="J1485" s="248"/>
      <c r="K1485" s="249">
        <v>1</v>
      </c>
      <c r="L1485" s="250"/>
    </row>
    <row r="1486" spans="1:18" s="149" customFormat="1" ht="20.100000000000001" customHeight="1" x14ac:dyDescent="0.25">
      <c r="A1486" s="245"/>
      <c r="B1486" s="246" t="s">
        <v>1759</v>
      </c>
      <c r="C1486" s="246"/>
      <c r="D1486" s="246"/>
      <c r="E1486" s="246"/>
      <c r="F1486" s="247"/>
      <c r="G1486" s="248"/>
      <c r="H1486" s="249"/>
      <c r="I1486" s="249"/>
      <c r="J1486" s="248"/>
      <c r="K1486" s="249">
        <v>1</v>
      </c>
      <c r="L1486" s="250"/>
    </row>
    <row r="1487" spans="1:18" s="149" customFormat="1" ht="20.100000000000001" customHeight="1" x14ac:dyDescent="0.25">
      <c r="A1487" s="245"/>
      <c r="B1487" s="246" t="s">
        <v>811</v>
      </c>
      <c r="C1487" s="246"/>
      <c r="D1487" s="246"/>
      <c r="E1487" s="246"/>
      <c r="F1487" s="247"/>
      <c r="G1487" s="248"/>
      <c r="H1487" s="249"/>
      <c r="I1487" s="249"/>
      <c r="J1487" s="248"/>
      <c r="K1487" s="249">
        <v>1</v>
      </c>
      <c r="L1487" s="250"/>
    </row>
    <row r="1488" spans="1:18" s="166" customFormat="1" ht="20.100000000000001" customHeight="1" x14ac:dyDescent="0.25">
      <c r="A1488" s="245"/>
      <c r="B1488" s="246" t="s">
        <v>1552</v>
      </c>
      <c r="C1488" s="246"/>
      <c r="D1488" s="246"/>
      <c r="E1488" s="246"/>
      <c r="F1488" s="247"/>
      <c r="G1488" s="248"/>
      <c r="H1488" s="249"/>
      <c r="I1488" s="249"/>
      <c r="J1488" s="248"/>
      <c r="K1488" s="249">
        <v>1</v>
      </c>
      <c r="L1488" s="250"/>
    </row>
    <row r="1489" spans="1:18" s="166" customFormat="1" ht="20.100000000000001" customHeight="1" x14ac:dyDescent="0.25">
      <c r="A1489" s="245"/>
      <c r="B1489" s="246" t="s">
        <v>1553</v>
      </c>
      <c r="C1489" s="246"/>
      <c r="D1489" s="246"/>
      <c r="E1489" s="246"/>
      <c r="F1489" s="247"/>
      <c r="G1489" s="248"/>
      <c r="H1489" s="249"/>
      <c r="I1489" s="249"/>
      <c r="J1489" s="248"/>
      <c r="K1489" s="249">
        <v>1</v>
      </c>
      <c r="L1489" s="250"/>
    </row>
    <row r="1490" spans="1:18" s="149" customFormat="1" ht="20.100000000000001" customHeight="1" x14ac:dyDescent="0.25">
      <c r="A1490" s="245"/>
      <c r="B1490" s="246" t="s">
        <v>1603</v>
      </c>
      <c r="C1490" s="246"/>
      <c r="D1490" s="246"/>
      <c r="E1490" s="246"/>
      <c r="F1490" s="247"/>
      <c r="G1490" s="248"/>
      <c r="H1490" s="249"/>
      <c r="I1490" s="249"/>
      <c r="J1490" s="248"/>
      <c r="K1490" s="249">
        <v>1</v>
      </c>
      <c r="L1490" s="250"/>
    </row>
    <row r="1491" spans="1:18" s="149" customFormat="1" ht="20.100000000000001" customHeight="1" x14ac:dyDescent="0.25">
      <c r="A1491" s="245"/>
      <c r="B1491" s="246" t="s">
        <v>1604</v>
      </c>
      <c r="C1491" s="246"/>
      <c r="D1491" s="246"/>
      <c r="E1491" s="246"/>
      <c r="F1491" s="247"/>
      <c r="G1491" s="248"/>
      <c r="H1491" s="249"/>
      <c r="I1491" s="249"/>
      <c r="J1491" s="248"/>
      <c r="K1491" s="249">
        <v>1</v>
      </c>
      <c r="L1491" s="250"/>
    </row>
    <row r="1492" spans="1:18" s="166" customFormat="1" ht="20.100000000000001" customHeight="1" x14ac:dyDescent="0.25">
      <c r="A1492" s="245"/>
      <c r="B1492" s="246" t="s">
        <v>1605</v>
      </c>
      <c r="C1492" s="246"/>
      <c r="D1492" s="246"/>
      <c r="E1492" s="246"/>
      <c r="F1492" s="247"/>
      <c r="G1492" s="248"/>
      <c r="H1492" s="249"/>
      <c r="I1492" s="249"/>
      <c r="J1492" s="248"/>
      <c r="K1492" s="249">
        <v>1</v>
      </c>
      <c r="L1492" s="250"/>
    </row>
    <row r="1493" spans="1:18" s="166" customFormat="1" ht="20.100000000000001" customHeight="1" x14ac:dyDescent="0.25">
      <c r="A1493" s="245"/>
      <c r="B1493" s="246" t="s">
        <v>1606</v>
      </c>
      <c r="C1493" s="246"/>
      <c r="D1493" s="246"/>
      <c r="E1493" s="246"/>
      <c r="F1493" s="247"/>
      <c r="G1493" s="248"/>
      <c r="H1493" s="249"/>
      <c r="I1493" s="249"/>
      <c r="J1493" s="248"/>
      <c r="K1493" s="249">
        <v>1</v>
      </c>
      <c r="L1493" s="250"/>
    </row>
    <row r="1494" spans="1:18" s="149" customFormat="1" ht="20.100000000000001" customHeight="1" x14ac:dyDescent="0.25">
      <c r="A1494" s="245"/>
      <c r="B1494" s="246" t="s">
        <v>1607</v>
      </c>
      <c r="C1494" s="246"/>
      <c r="D1494" s="246"/>
      <c r="E1494" s="246"/>
      <c r="F1494" s="247"/>
      <c r="G1494" s="248"/>
      <c r="H1494" s="249"/>
      <c r="I1494" s="249"/>
      <c r="J1494" s="248"/>
      <c r="K1494" s="249">
        <v>1</v>
      </c>
      <c r="L1494" s="250"/>
    </row>
    <row r="1495" spans="1:18" s="149" customFormat="1" ht="20.100000000000001" customHeight="1" x14ac:dyDescent="0.25">
      <c r="A1495" s="245"/>
      <c r="B1495" s="246" t="s">
        <v>1608</v>
      </c>
      <c r="C1495" s="246"/>
      <c r="D1495" s="246"/>
      <c r="E1495" s="246"/>
      <c r="F1495" s="247"/>
      <c r="G1495" s="248"/>
      <c r="H1495" s="249"/>
      <c r="I1495" s="249"/>
      <c r="J1495" s="248"/>
      <c r="K1495" s="249">
        <v>1</v>
      </c>
      <c r="L1495" s="250"/>
    </row>
    <row r="1496" spans="1:18" s="166" customFormat="1" ht="20.100000000000001" customHeight="1" x14ac:dyDescent="0.25">
      <c r="A1496" s="245"/>
      <c r="B1496" s="246" t="s">
        <v>1609</v>
      </c>
      <c r="C1496" s="246"/>
      <c r="D1496" s="246"/>
      <c r="E1496" s="246"/>
      <c r="F1496" s="247"/>
      <c r="G1496" s="248"/>
      <c r="H1496" s="249"/>
      <c r="I1496" s="249"/>
      <c r="J1496" s="248"/>
      <c r="K1496" s="249">
        <v>1</v>
      </c>
      <c r="L1496" s="250"/>
    </row>
    <row r="1497" spans="1:18" s="166" customFormat="1" ht="20.100000000000001" customHeight="1" x14ac:dyDescent="0.25">
      <c r="A1497" s="245"/>
      <c r="B1497" s="246" t="s">
        <v>1580</v>
      </c>
      <c r="C1497" s="246"/>
      <c r="D1497" s="246"/>
      <c r="E1497" s="246"/>
      <c r="F1497" s="247"/>
      <c r="G1497" s="248"/>
      <c r="H1497" s="249"/>
      <c r="I1497" s="249"/>
      <c r="J1497" s="248"/>
      <c r="K1497" s="249">
        <v>1</v>
      </c>
      <c r="L1497" s="250"/>
    </row>
    <row r="1498" spans="1:18" s="149" customFormat="1" ht="20.100000000000001" customHeight="1" x14ac:dyDescent="0.25">
      <c r="A1498" s="245"/>
      <c r="B1498" s="246" t="s">
        <v>1610</v>
      </c>
      <c r="C1498" s="246"/>
      <c r="D1498" s="246"/>
      <c r="E1498" s="246"/>
      <c r="F1498" s="247"/>
      <c r="G1498" s="248"/>
      <c r="H1498" s="249"/>
      <c r="I1498" s="249"/>
      <c r="J1498" s="248"/>
      <c r="K1498" s="249">
        <v>1</v>
      </c>
      <c r="L1498" s="250"/>
    </row>
    <row r="1499" spans="1:18" s="149" customFormat="1" ht="20.100000000000001" customHeight="1" x14ac:dyDescent="0.25">
      <c r="A1499" s="245"/>
      <c r="B1499" s="246" t="s">
        <v>1453</v>
      </c>
      <c r="C1499" s="246"/>
      <c r="D1499" s="246"/>
      <c r="E1499" s="246"/>
      <c r="F1499" s="247"/>
      <c r="G1499" s="248"/>
      <c r="H1499" s="249"/>
      <c r="I1499" s="249"/>
      <c r="J1499" s="248"/>
      <c r="K1499" s="249">
        <v>1</v>
      </c>
      <c r="L1499" s="250"/>
    </row>
    <row r="1500" spans="1:18" s="166" customFormat="1" ht="20.100000000000001" customHeight="1" x14ac:dyDescent="0.25">
      <c r="A1500" s="245"/>
      <c r="B1500" s="246" t="s">
        <v>1611</v>
      </c>
      <c r="C1500" s="246"/>
      <c r="D1500" s="246"/>
      <c r="E1500" s="246"/>
      <c r="F1500" s="247"/>
      <c r="G1500" s="248"/>
      <c r="H1500" s="249"/>
      <c r="I1500" s="249"/>
      <c r="J1500" s="248"/>
      <c r="K1500" s="249">
        <v>1</v>
      </c>
      <c r="L1500" s="250"/>
    </row>
    <row r="1501" spans="1:18" s="154" customFormat="1" ht="20.100000000000001" customHeight="1" x14ac:dyDescent="0.25">
      <c r="A1501" s="245"/>
      <c r="B1501" s="246" t="s">
        <v>1455</v>
      </c>
      <c r="C1501" s="246"/>
      <c r="D1501" s="246"/>
      <c r="E1501" s="246"/>
      <c r="F1501" s="247"/>
      <c r="G1501" s="248"/>
      <c r="H1501" s="249"/>
      <c r="I1501" s="249"/>
      <c r="J1501" s="248"/>
      <c r="K1501" s="249">
        <v>1</v>
      </c>
      <c r="L1501" s="250"/>
      <c r="M1501" s="149"/>
      <c r="N1501" s="149"/>
      <c r="O1501" s="149"/>
      <c r="P1501" s="149"/>
      <c r="Q1501" s="149"/>
      <c r="R1501" s="149"/>
    </row>
    <row r="1502" spans="1:18" s="170" customFormat="1" ht="20.100000000000001" customHeight="1" x14ac:dyDescent="0.25">
      <c r="A1502" s="245"/>
      <c r="B1502" s="246" t="s">
        <v>1612</v>
      </c>
      <c r="C1502" s="246"/>
      <c r="D1502" s="246"/>
      <c r="E1502" s="246"/>
      <c r="F1502" s="247"/>
      <c r="G1502" s="248"/>
      <c r="H1502" s="249"/>
      <c r="I1502" s="249"/>
      <c r="J1502" s="248"/>
      <c r="K1502" s="249">
        <v>1</v>
      </c>
      <c r="L1502" s="250"/>
      <c r="M1502" s="149"/>
      <c r="N1502" s="131"/>
      <c r="O1502" s="131"/>
      <c r="P1502" s="131"/>
      <c r="Q1502" s="131"/>
      <c r="R1502" s="131"/>
    </row>
    <row r="1503" spans="1:18" s="170" customFormat="1" ht="20.100000000000001" customHeight="1" x14ac:dyDescent="0.25">
      <c r="A1503" s="245"/>
      <c r="B1503" s="246" t="s">
        <v>1613</v>
      </c>
      <c r="C1503" s="246"/>
      <c r="D1503" s="246"/>
      <c r="E1503" s="246"/>
      <c r="F1503" s="247"/>
      <c r="G1503" s="248"/>
      <c r="H1503" s="249"/>
      <c r="I1503" s="249"/>
      <c r="J1503" s="248"/>
      <c r="K1503" s="249">
        <v>1</v>
      </c>
      <c r="L1503" s="250"/>
      <c r="M1503" s="149"/>
      <c r="N1503" s="131"/>
      <c r="O1503" s="131"/>
      <c r="P1503" s="131"/>
      <c r="Q1503" s="131"/>
      <c r="R1503" s="131"/>
    </row>
    <row r="1504" spans="1:18" s="170" customFormat="1" ht="20.100000000000001" customHeight="1" x14ac:dyDescent="0.25">
      <c r="A1504" s="245"/>
      <c r="B1504" s="246" t="s">
        <v>1614</v>
      </c>
      <c r="C1504" s="246"/>
      <c r="D1504" s="246"/>
      <c r="E1504" s="246"/>
      <c r="F1504" s="247"/>
      <c r="G1504" s="248"/>
      <c r="H1504" s="249"/>
      <c r="I1504" s="249"/>
      <c r="J1504" s="248"/>
      <c r="K1504" s="249">
        <v>1</v>
      </c>
      <c r="L1504" s="250"/>
      <c r="M1504" s="149"/>
      <c r="N1504" s="131"/>
      <c r="O1504" s="131"/>
      <c r="P1504" s="131"/>
      <c r="Q1504" s="131"/>
      <c r="R1504" s="131"/>
    </row>
    <row r="1505" spans="1:18" s="170" customFormat="1" ht="20.100000000000001" customHeight="1" x14ac:dyDescent="0.25">
      <c r="A1505" s="245"/>
      <c r="B1505" s="246" t="s">
        <v>1615</v>
      </c>
      <c r="C1505" s="246"/>
      <c r="D1505" s="246"/>
      <c r="E1505" s="246"/>
      <c r="F1505" s="247"/>
      <c r="G1505" s="248"/>
      <c r="H1505" s="249"/>
      <c r="I1505" s="249"/>
      <c r="J1505" s="248"/>
      <c r="K1505" s="249">
        <v>1</v>
      </c>
      <c r="L1505" s="250"/>
      <c r="M1505" s="149"/>
      <c r="N1505" s="131"/>
      <c r="O1505" s="131"/>
      <c r="P1505" s="131"/>
      <c r="Q1505" s="131"/>
      <c r="R1505" s="131"/>
    </row>
    <row r="1506" spans="1:18" s="154" customFormat="1" ht="20.100000000000001" customHeight="1" x14ac:dyDescent="0.25">
      <c r="A1506" s="475" t="s">
        <v>1409</v>
      </c>
      <c r="B1506" s="476"/>
      <c r="C1506" s="476"/>
      <c r="D1506" s="476"/>
      <c r="E1506" s="476"/>
      <c r="F1506" s="476"/>
      <c r="G1506" s="476"/>
      <c r="H1506" s="476"/>
      <c r="I1506" s="476"/>
      <c r="J1506" s="476"/>
      <c r="K1506" s="477"/>
      <c r="L1506" s="250"/>
      <c r="M1506" s="149"/>
      <c r="N1506" s="149"/>
      <c r="O1506" s="149"/>
      <c r="P1506" s="149"/>
      <c r="Q1506" s="149"/>
      <c r="R1506" s="149"/>
    </row>
    <row r="1507" spans="1:18" s="149" customFormat="1" x14ac:dyDescent="0.25">
      <c r="A1507" s="245"/>
      <c r="B1507" s="246" t="s">
        <v>1556</v>
      </c>
      <c r="C1507" s="246"/>
      <c r="D1507" s="246"/>
      <c r="E1507" s="246"/>
      <c r="F1507" s="247"/>
      <c r="G1507" s="248"/>
      <c r="H1507" s="249"/>
      <c r="I1507" s="249"/>
      <c r="J1507" s="248"/>
      <c r="K1507" s="249">
        <v>1</v>
      </c>
      <c r="L1507" s="250"/>
    </row>
    <row r="1508" spans="1:18" s="149" customFormat="1" x14ac:dyDescent="0.25">
      <c r="A1508" s="245"/>
      <c r="B1508" s="246" t="s">
        <v>811</v>
      </c>
      <c r="C1508" s="246"/>
      <c r="D1508" s="246"/>
      <c r="E1508" s="246"/>
      <c r="F1508" s="247"/>
      <c r="G1508" s="248"/>
      <c r="H1508" s="249"/>
      <c r="I1508" s="249"/>
      <c r="J1508" s="248"/>
      <c r="K1508" s="249">
        <v>1</v>
      </c>
      <c r="L1508" s="250"/>
    </row>
    <row r="1509" spans="1:18" s="149" customFormat="1" x14ac:dyDescent="0.25">
      <c r="A1509" s="245"/>
      <c r="B1509" s="246" t="s">
        <v>1673</v>
      </c>
      <c r="C1509" s="246"/>
      <c r="D1509" s="246"/>
      <c r="E1509" s="246"/>
      <c r="F1509" s="247"/>
      <c r="G1509" s="248"/>
      <c r="H1509" s="249"/>
      <c r="I1509" s="249"/>
      <c r="J1509" s="248"/>
      <c r="K1509" s="249">
        <v>1</v>
      </c>
      <c r="L1509" s="250"/>
    </row>
    <row r="1510" spans="1:18" s="149" customFormat="1" x14ac:dyDescent="0.25">
      <c r="A1510" s="245"/>
      <c r="B1510" s="246" t="s">
        <v>1674</v>
      </c>
      <c r="C1510" s="246"/>
      <c r="D1510" s="246"/>
      <c r="E1510" s="246"/>
      <c r="F1510" s="247"/>
      <c r="G1510" s="248"/>
      <c r="H1510" s="249"/>
      <c r="I1510" s="249"/>
      <c r="J1510" s="248"/>
      <c r="K1510" s="249">
        <v>1</v>
      </c>
      <c r="L1510" s="250"/>
    </row>
    <row r="1511" spans="1:18" s="166" customFormat="1" x14ac:dyDescent="0.25">
      <c r="A1511" s="245"/>
      <c r="B1511" s="246" t="s">
        <v>813</v>
      </c>
      <c r="C1511" s="246"/>
      <c r="D1511" s="246"/>
      <c r="E1511" s="246"/>
      <c r="F1511" s="247"/>
      <c r="G1511" s="248"/>
      <c r="H1511" s="249"/>
      <c r="I1511" s="249"/>
      <c r="J1511" s="248"/>
      <c r="K1511" s="249">
        <v>1</v>
      </c>
      <c r="L1511" s="250"/>
    </row>
    <row r="1512" spans="1:18" s="166" customFormat="1" x14ac:dyDescent="0.25">
      <c r="A1512" s="245"/>
      <c r="B1512" s="246" t="s">
        <v>1675</v>
      </c>
      <c r="C1512" s="246"/>
      <c r="D1512" s="246"/>
      <c r="E1512" s="246"/>
      <c r="F1512" s="247"/>
      <c r="G1512" s="248"/>
      <c r="H1512" s="249"/>
      <c r="I1512" s="249"/>
      <c r="J1512" s="248"/>
      <c r="K1512" s="249">
        <v>1</v>
      </c>
      <c r="L1512" s="250"/>
    </row>
    <row r="1513" spans="1:18" s="149" customFormat="1" x14ac:dyDescent="0.25">
      <c r="A1513" s="245"/>
      <c r="B1513" s="246" t="s">
        <v>1558</v>
      </c>
      <c r="C1513" s="246"/>
      <c r="D1513" s="246"/>
      <c r="E1513" s="246"/>
      <c r="F1513" s="247"/>
      <c r="G1513" s="248"/>
      <c r="H1513" s="249"/>
      <c r="I1513" s="249"/>
      <c r="J1513" s="248"/>
      <c r="K1513" s="249">
        <v>1</v>
      </c>
      <c r="L1513" s="250"/>
    </row>
    <row r="1514" spans="1:18" s="149" customFormat="1" x14ac:dyDescent="0.25">
      <c r="A1514" s="245"/>
      <c r="B1514" s="246" t="s">
        <v>1558</v>
      </c>
      <c r="C1514" s="246"/>
      <c r="D1514" s="246"/>
      <c r="E1514" s="246"/>
      <c r="F1514" s="247"/>
      <c r="G1514" s="248"/>
      <c r="H1514" s="249"/>
      <c r="I1514" s="249"/>
      <c r="J1514" s="248"/>
      <c r="K1514" s="249">
        <v>1</v>
      </c>
      <c r="L1514" s="250"/>
    </row>
    <row r="1515" spans="1:18" s="166" customFormat="1" x14ac:dyDescent="0.25">
      <c r="A1515" s="245"/>
      <c r="B1515" s="246" t="s">
        <v>1676</v>
      </c>
      <c r="C1515" s="246"/>
      <c r="D1515" s="246"/>
      <c r="E1515" s="246"/>
      <c r="F1515" s="247"/>
      <c r="G1515" s="248"/>
      <c r="H1515" s="249"/>
      <c r="I1515" s="249"/>
      <c r="J1515" s="248"/>
      <c r="K1515" s="249">
        <v>1</v>
      </c>
      <c r="L1515" s="250"/>
    </row>
    <row r="1516" spans="1:18" s="166" customFormat="1" x14ac:dyDescent="0.25">
      <c r="A1516" s="245"/>
      <c r="B1516" s="246" t="s">
        <v>1558</v>
      </c>
      <c r="C1516" s="246"/>
      <c r="D1516" s="246"/>
      <c r="E1516" s="246"/>
      <c r="F1516" s="247"/>
      <c r="G1516" s="248"/>
      <c r="H1516" s="249"/>
      <c r="I1516" s="249"/>
      <c r="J1516" s="248"/>
      <c r="K1516" s="249">
        <v>1</v>
      </c>
      <c r="L1516" s="250"/>
    </row>
    <row r="1517" spans="1:18" s="149" customFormat="1" x14ac:dyDescent="0.25">
      <c r="A1517" s="245"/>
      <c r="B1517" s="246" t="s">
        <v>1558</v>
      </c>
      <c r="C1517" s="246"/>
      <c r="D1517" s="246"/>
      <c r="E1517" s="246"/>
      <c r="F1517" s="247"/>
      <c r="G1517" s="248"/>
      <c r="H1517" s="249"/>
      <c r="I1517" s="249"/>
      <c r="J1517" s="248"/>
      <c r="K1517" s="249">
        <v>1</v>
      </c>
      <c r="L1517" s="250"/>
    </row>
    <row r="1518" spans="1:18" s="149" customFormat="1" x14ac:dyDescent="0.25">
      <c r="A1518" s="245"/>
      <c r="B1518" s="246" t="s">
        <v>1677</v>
      </c>
      <c r="C1518" s="246"/>
      <c r="D1518" s="246"/>
      <c r="E1518" s="246"/>
      <c r="F1518" s="247"/>
      <c r="G1518" s="248"/>
      <c r="H1518" s="249"/>
      <c r="I1518" s="249"/>
      <c r="J1518" s="248"/>
      <c r="K1518" s="249">
        <v>1</v>
      </c>
      <c r="L1518" s="250"/>
    </row>
    <row r="1519" spans="1:18" s="166" customFormat="1" x14ac:dyDescent="0.25">
      <c r="A1519" s="245"/>
      <c r="B1519" s="246" t="s">
        <v>1702</v>
      </c>
      <c r="C1519" s="246"/>
      <c r="D1519" s="246"/>
      <c r="E1519" s="246"/>
      <c r="F1519" s="247"/>
      <c r="G1519" s="248"/>
      <c r="H1519" s="249"/>
      <c r="I1519" s="249"/>
      <c r="J1519" s="248"/>
      <c r="K1519" s="249">
        <v>1</v>
      </c>
      <c r="L1519" s="250"/>
    </row>
    <row r="1520" spans="1:18" s="166" customFormat="1" x14ac:dyDescent="0.25">
      <c r="A1520" s="245"/>
      <c r="B1520" s="246" t="s">
        <v>1678</v>
      </c>
      <c r="C1520" s="246"/>
      <c r="D1520" s="246"/>
      <c r="E1520" s="246"/>
      <c r="F1520" s="247"/>
      <c r="G1520" s="248"/>
      <c r="H1520" s="249"/>
      <c r="I1520" s="249"/>
      <c r="J1520" s="248"/>
      <c r="K1520" s="249">
        <v>1</v>
      </c>
      <c r="L1520" s="250"/>
    </row>
    <row r="1521" spans="1:18" s="149" customFormat="1" x14ac:dyDescent="0.25">
      <c r="A1521" s="245"/>
      <c r="B1521" s="246" t="s">
        <v>1679</v>
      </c>
      <c r="C1521" s="246"/>
      <c r="D1521" s="246"/>
      <c r="E1521" s="246"/>
      <c r="F1521" s="247"/>
      <c r="G1521" s="248"/>
      <c r="H1521" s="249"/>
      <c r="I1521" s="249"/>
      <c r="J1521" s="248"/>
      <c r="K1521" s="249">
        <v>1</v>
      </c>
      <c r="L1521" s="250"/>
    </row>
    <row r="1522" spans="1:18" s="149" customFormat="1" x14ac:dyDescent="0.25">
      <c r="A1522" s="245"/>
      <c r="B1522" s="246" t="s">
        <v>1680</v>
      </c>
      <c r="C1522" s="246"/>
      <c r="D1522" s="246"/>
      <c r="E1522" s="246"/>
      <c r="F1522" s="247"/>
      <c r="G1522" s="248"/>
      <c r="H1522" s="249"/>
      <c r="I1522" s="249"/>
      <c r="J1522" s="248"/>
      <c r="K1522" s="249">
        <v>1</v>
      </c>
      <c r="L1522" s="250"/>
    </row>
    <row r="1523" spans="1:18" s="154" customFormat="1" ht="20.100000000000001" customHeight="1" x14ac:dyDescent="0.25">
      <c r="A1523" s="475" t="s">
        <v>1411</v>
      </c>
      <c r="B1523" s="476"/>
      <c r="C1523" s="476"/>
      <c r="D1523" s="476"/>
      <c r="E1523" s="476"/>
      <c r="F1523" s="476"/>
      <c r="G1523" s="476"/>
      <c r="H1523" s="476"/>
      <c r="I1523" s="476"/>
      <c r="J1523" s="476"/>
      <c r="K1523" s="477"/>
      <c r="L1523" s="250"/>
      <c r="M1523" s="149"/>
      <c r="N1523" s="149"/>
      <c r="O1523" s="149"/>
      <c r="P1523" s="149"/>
      <c r="Q1523" s="149"/>
      <c r="R1523" s="149"/>
    </row>
    <row r="1524" spans="1:18" s="154" customFormat="1" ht="20.100000000000001" customHeight="1" x14ac:dyDescent="0.25">
      <c r="A1524" s="267"/>
      <c r="B1524" s="246" t="s">
        <v>1466</v>
      </c>
      <c r="C1524" s="271"/>
      <c r="D1524" s="271"/>
      <c r="E1524" s="271"/>
      <c r="F1524" s="271"/>
      <c r="G1524" s="271"/>
      <c r="H1524" s="271"/>
      <c r="I1524" s="136"/>
      <c r="J1524" s="271"/>
      <c r="K1524" s="249">
        <v>1</v>
      </c>
      <c r="L1524" s="250"/>
      <c r="M1524" s="149"/>
      <c r="N1524" s="149"/>
      <c r="O1524" s="149"/>
      <c r="P1524" s="149"/>
      <c r="Q1524" s="149"/>
      <c r="R1524" s="149"/>
    </row>
    <row r="1525" spans="1:18" s="154" customFormat="1" ht="20.100000000000001" customHeight="1" x14ac:dyDescent="0.25">
      <c r="A1525" s="267"/>
      <c r="B1525" s="246" t="s">
        <v>1467</v>
      </c>
      <c r="C1525" s="271"/>
      <c r="D1525" s="271"/>
      <c r="E1525" s="271"/>
      <c r="F1525" s="271"/>
      <c r="G1525" s="271"/>
      <c r="H1525" s="271"/>
      <c r="I1525" s="136"/>
      <c r="J1525" s="271"/>
      <c r="K1525" s="249">
        <v>1</v>
      </c>
      <c r="L1525" s="250"/>
      <c r="M1525" s="149"/>
      <c r="N1525" s="149"/>
      <c r="O1525" s="149"/>
      <c r="P1525" s="149"/>
      <c r="Q1525" s="149"/>
      <c r="R1525" s="149"/>
    </row>
    <row r="1526" spans="1:18" s="154" customFormat="1" ht="20.100000000000001" customHeight="1" x14ac:dyDescent="0.25">
      <c r="A1526" s="267"/>
      <c r="B1526" s="246" t="s">
        <v>1681</v>
      </c>
      <c r="C1526" s="271"/>
      <c r="D1526" s="271"/>
      <c r="E1526" s="271"/>
      <c r="F1526" s="271"/>
      <c r="G1526" s="271"/>
      <c r="H1526" s="271"/>
      <c r="I1526" s="136"/>
      <c r="J1526" s="271"/>
      <c r="K1526" s="249">
        <v>1</v>
      </c>
      <c r="L1526" s="250"/>
      <c r="M1526" s="149"/>
      <c r="N1526" s="149"/>
      <c r="O1526" s="149"/>
      <c r="P1526" s="149"/>
      <c r="Q1526" s="149"/>
      <c r="R1526" s="149"/>
    </row>
    <row r="1527" spans="1:18" s="154" customFormat="1" ht="20.100000000000001" customHeight="1" x14ac:dyDescent="0.25">
      <c r="A1527" s="267"/>
      <c r="B1527" s="246" t="s">
        <v>813</v>
      </c>
      <c r="C1527" s="271"/>
      <c r="D1527" s="271"/>
      <c r="E1527" s="271"/>
      <c r="F1527" s="271"/>
      <c r="G1527" s="271"/>
      <c r="H1527" s="271"/>
      <c r="I1527" s="136"/>
      <c r="J1527" s="271"/>
      <c r="K1527" s="249">
        <v>1</v>
      </c>
      <c r="L1527" s="250"/>
      <c r="M1527" s="149"/>
      <c r="N1527" s="149"/>
      <c r="O1527" s="149"/>
      <c r="P1527" s="149"/>
      <c r="Q1527" s="149"/>
      <c r="R1527" s="149"/>
    </row>
    <row r="1528" spans="1:18" s="154" customFormat="1" ht="20.100000000000001" customHeight="1" x14ac:dyDescent="0.25">
      <c r="A1528" s="267"/>
      <c r="B1528" s="246" t="s">
        <v>1682</v>
      </c>
      <c r="C1528" s="271"/>
      <c r="D1528" s="271"/>
      <c r="E1528" s="271"/>
      <c r="F1528" s="271"/>
      <c r="G1528" s="271"/>
      <c r="H1528" s="271"/>
      <c r="I1528" s="249"/>
      <c r="J1528" s="271"/>
      <c r="K1528" s="249">
        <v>1</v>
      </c>
      <c r="L1528" s="250"/>
      <c r="M1528" s="149"/>
      <c r="N1528" s="149"/>
      <c r="O1528" s="149"/>
      <c r="P1528" s="149"/>
      <c r="Q1528" s="149"/>
      <c r="R1528" s="149"/>
    </row>
    <row r="1529" spans="1:18" s="154" customFormat="1" ht="20.100000000000001" customHeight="1" x14ac:dyDescent="0.25">
      <c r="A1529" s="267"/>
      <c r="B1529" s="246" t="s">
        <v>1665</v>
      </c>
      <c r="C1529" s="271"/>
      <c r="D1529" s="271"/>
      <c r="E1529" s="271"/>
      <c r="F1529" s="271"/>
      <c r="G1529" s="271"/>
      <c r="H1529" s="271"/>
      <c r="I1529" s="249"/>
      <c r="J1529" s="271"/>
      <c r="K1529" s="249">
        <v>1</v>
      </c>
      <c r="L1529" s="250"/>
      <c r="M1529" s="149"/>
      <c r="N1529" s="149"/>
      <c r="O1529" s="149"/>
      <c r="P1529" s="149"/>
      <c r="Q1529" s="149"/>
      <c r="R1529" s="149"/>
    </row>
    <row r="1530" spans="1:18" s="154" customFormat="1" ht="20.100000000000001" customHeight="1" x14ac:dyDescent="0.25">
      <c r="A1530" s="267"/>
      <c r="B1530" s="246" t="s">
        <v>1469</v>
      </c>
      <c r="C1530" s="271"/>
      <c r="D1530" s="271"/>
      <c r="E1530" s="271"/>
      <c r="F1530" s="271"/>
      <c r="G1530" s="271"/>
      <c r="H1530" s="271"/>
      <c r="I1530" s="249"/>
      <c r="J1530" s="271"/>
      <c r="K1530" s="249">
        <v>1</v>
      </c>
      <c r="L1530" s="250"/>
      <c r="M1530" s="149"/>
      <c r="N1530" s="149"/>
      <c r="O1530" s="149"/>
      <c r="P1530" s="149"/>
      <c r="Q1530" s="149"/>
      <c r="R1530" s="149"/>
    </row>
    <row r="1531" spans="1:18" s="154" customFormat="1" ht="20.100000000000001" customHeight="1" x14ac:dyDescent="0.25">
      <c r="A1531" s="267"/>
      <c r="B1531" s="246" t="s">
        <v>1664</v>
      </c>
      <c r="C1531" s="271"/>
      <c r="D1531" s="271"/>
      <c r="E1531" s="271"/>
      <c r="F1531" s="271"/>
      <c r="G1531" s="271"/>
      <c r="H1531" s="271"/>
      <c r="I1531" s="249"/>
      <c r="J1531" s="271"/>
      <c r="K1531" s="249">
        <v>1</v>
      </c>
      <c r="L1531" s="250"/>
      <c r="M1531" s="149"/>
      <c r="N1531" s="149"/>
      <c r="O1531" s="149"/>
      <c r="P1531" s="149"/>
      <c r="Q1531" s="149"/>
      <c r="R1531" s="149"/>
    </row>
    <row r="1532" spans="1:18" s="154" customFormat="1" ht="20.100000000000001" customHeight="1" x14ac:dyDescent="0.25">
      <c r="A1532" s="267"/>
      <c r="B1532" s="246" t="s">
        <v>1683</v>
      </c>
      <c r="C1532" s="271"/>
      <c r="D1532" s="271"/>
      <c r="E1532" s="271"/>
      <c r="F1532" s="271"/>
      <c r="G1532" s="271"/>
      <c r="H1532" s="271"/>
      <c r="I1532" s="249"/>
      <c r="J1532" s="271"/>
      <c r="K1532" s="249">
        <v>1</v>
      </c>
      <c r="L1532" s="250"/>
      <c r="M1532" s="149"/>
      <c r="N1532" s="149"/>
      <c r="O1532" s="149"/>
      <c r="P1532" s="149"/>
      <c r="Q1532" s="149"/>
      <c r="R1532" s="149"/>
    </row>
    <row r="1533" spans="1:18" s="154" customFormat="1" ht="20.100000000000001" customHeight="1" x14ac:dyDescent="0.25">
      <c r="A1533" s="267"/>
      <c r="B1533" s="246" t="s">
        <v>1684</v>
      </c>
      <c r="C1533" s="271"/>
      <c r="D1533" s="271"/>
      <c r="E1533" s="271"/>
      <c r="F1533" s="271"/>
      <c r="G1533" s="271"/>
      <c r="H1533" s="271"/>
      <c r="I1533" s="249"/>
      <c r="J1533" s="271"/>
      <c r="K1533" s="249">
        <v>1</v>
      </c>
      <c r="L1533" s="250"/>
      <c r="M1533" s="149"/>
      <c r="N1533" s="149"/>
      <c r="O1533" s="149"/>
      <c r="P1533" s="149"/>
      <c r="Q1533" s="149"/>
      <c r="R1533" s="149"/>
    </row>
    <row r="1534" spans="1:18" s="154" customFormat="1" ht="20.100000000000001" customHeight="1" x14ac:dyDescent="0.25">
      <c r="A1534" s="267"/>
      <c r="B1534" s="246" t="s">
        <v>1685</v>
      </c>
      <c r="C1534" s="271"/>
      <c r="D1534" s="271"/>
      <c r="E1534" s="271"/>
      <c r="F1534" s="271"/>
      <c r="G1534" s="271"/>
      <c r="H1534" s="271"/>
      <c r="I1534" s="249"/>
      <c r="J1534" s="271"/>
      <c r="K1534" s="249">
        <v>1</v>
      </c>
      <c r="L1534" s="250"/>
      <c r="M1534" s="149"/>
      <c r="N1534" s="149"/>
      <c r="O1534" s="149"/>
      <c r="P1534" s="149"/>
      <c r="Q1534" s="149"/>
      <c r="R1534" s="149"/>
    </row>
    <row r="1535" spans="1:18" s="154" customFormat="1" ht="20.100000000000001" customHeight="1" x14ac:dyDescent="0.25">
      <c r="A1535" s="267"/>
      <c r="B1535" s="246" t="s">
        <v>1686</v>
      </c>
      <c r="C1535" s="271"/>
      <c r="D1535" s="271"/>
      <c r="E1535" s="271"/>
      <c r="F1535" s="271"/>
      <c r="G1535" s="271"/>
      <c r="H1535" s="271"/>
      <c r="I1535" s="249"/>
      <c r="J1535" s="271"/>
      <c r="K1535" s="249">
        <v>1</v>
      </c>
      <c r="L1535" s="250"/>
      <c r="M1535" s="149"/>
      <c r="N1535" s="149"/>
      <c r="O1535" s="149"/>
      <c r="P1535" s="149"/>
      <c r="Q1535" s="149"/>
      <c r="R1535" s="149"/>
    </row>
    <row r="1536" spans="1:18" s="154" customFormat="1" ht="20.100000000000001" customHeight="1" x14ac:dyDescent="0.25">
      <c r="A1536" s="267"/>
      <c r="B1536" s="246" t="s">
        <v>813</v>
      </c>
      <c r="C1536" s="271"/>
      <c r="D1536" s="271"/>
      <c r="E1536" s="271"/>
      <c r="F1536" s="271"/>
      <c r="G1536" s="271"/>
      <c r="H1536" s="271"/>
      <c r="I1536" s="249"/>
      <c r="J1536" s="271"/>
      <c r="K1536" s="249">
        <v>1</v>
      </c>
      <c r="L1536" s="250"/>
      <c r="M1536" s="149"/>
      <c r="N1536" s="149"/>
      <c r="O1536" s="149"/>
      <c r="P1536" s="149"/>
      <c r="Q1536" s="149"/>
      <c r="R1536" s="149"/>
    </row>
    <row r="1537" spans="1:18" s="154" customFormat="1" ht="20.100000000000001" customHeight="1" x14ac:dyDescent="0.25">
      <c r="A1537" s="267"/>
      <c r="B1537" s="246" t="s">
        <v>1584</v>
      </c>
      <c r="C1537" s="271"/>
      <c r="D1537" s="271"/>
      <c r="E1537" s="271"/>
      <c r="F1537" s="271"/>
      <c r="G1537" s="271"/>
      <c r="H1537" s="271"/>
      <c r="I1537" s="249"/>
      <c r="J1537" s="271"/>
      <c r="K1537" s="249">
        <v>1</v>
      </c>
      <c r="L1537" s="250"/>
      <c r="M1537" s="149"/>
      <c r="N1537" s="149"/>
      <c r="O1537" s="149"/>
      <c r="P1537" s="149"/>
      <c r="Q1537" s="149"/>
      <c r="R1537" s="149"/>
    </row>
    <row r="1538" spans="1:18" s="154" customFormat="1" ht="20.100000000000001" customHeight="1" x14ac:dyDescent="0.25">
      <c r="A1538" s="267"/>
      <c r="B1538" s="246" t="s">
        <v>1620</v>
      </c>
      <c r="C1538" s="271"/>
      <c r="D1538" s="271"/>
      <c r="E1538" s="271"/>
      <c r="F1538" s="271"/>
      <c r="G1538" s="271"/>
      <c r="H1538" s="271"/>
      <c r="I1538" s="249"/>
      <c r="J1538" s="271"/>
      <c r="K1538" s="249">
        <v>1</v>
      </c>
      <c r="L1538" s="250"/>
      <c r="M1538" s="149"/>
      <c r="N1538" s="149"/>
      <c r="O1538" s="149"/>
      <c r="P1538" s="149"/>
      <c r="Q1538" s="149"/>
      <c r="R1538" s="149"/>
    </row>
    <row r="1539" spans="1:18" s="154" customFormat="1" ht="20.100000000000001" customHeight="1" x14ac:dyDescent="0.25">
      <c r="A1539" s="267"/>
      <c r="B1539" s="246" t="s">
        <v>1660</v>
      </c>
      <c r="C1539" s="271"/>
      <c r="D1539" s="271"/>
      <c r="E1539" s="271"/>
      <c r="F1539" s="271"/>
      <c r="G1539" s="271"/>
      <c r="H1539" s="271"/>
      <c r="I1539" s="249"/>
      <c r="J1539" s="271"/>
      <c r="K1539" s="249">
        <v>1</v>
      </c>
      <c r="L1539" s="250"/>
      <c r="M1539" s="149"/>
      <c r="N1539" s="149"/>
      <c r="O1539" s="149"/>
      <c r="P1539" s="149"/>
      <c r="Q1539" s="149"/>
      <c r="R1539" s="149"/>
    </row>
    <row r="1540" spans="1:18" s="154" customFormat="1" ht="20.100000000000001" customHeight="1" x14ac:dyDescent="0.25">
      <c r="A1540" s="267"/>
      <c r="B1540" s="246" t="s">
        <v>1658</v>
      </c>
      <c r="C1540" s="271"/>
      <c r="D1540" s="271"/>
      <c r="E1540" s="271"/>
      <c r="F1540" s="271"/>
      <c r="G1540" s="271"/>
      <c r="H1540" s="271"/>
      <c r="I1540" s="249"/>
      <c r="J1540" s="271"/>
      <c r="K1540" s="249">
        <v>1</v>
      </c>
      <c r="L1540" s="250"/>
      <c r="M1540" s="149"/>
      <c r="N1540" s="149"/>
      <c r="O1540" s="149"/>
      <c r="P1540" s="149"/>
      <c r="Q1540" s="149"/>
      <c r="R1540" s="149"/>
    </row>
    <row r="1541" spans="1:18" s="154" customFormat="1" ht="20.100000000000001" customHeight="1" x14ac:dyDescent="0.25">
      <c r="A1541" s="475" t="s">
        <v>1413</v>
      </c>
      <c r="B1541" s="476"/>
      <c r="C1541" s="476"/>
      <c r="D1541" s="476"/>
      <c r="E1541" s="476"/>
      <c r="F1541" s="476"/>
      <c r="G1541" s="476"/>
      <c r="H1541" s="476"/>
      <c r="I1541" s="476"/>
      <c r="J1541" s="476"/>
      <c r="K1541" s="477"/>
      <c r="L1541" s="250"/>
      <c r="M1541" s="149"/>
      <c r="N1541" s="149"/>
      <c r="O1541" s="149"/>
      <c r="P1541" s="149"/>
      <c r="Q1541" s="149"/>
      <c r="R1541" s="149"/>
    </row>
    <row r="1542" spans="1:18" s="166" customFormat="1" ht="20.100000000000001" customHeight="1" x14ac:dyDescent="0.25">
      <c r="A1542" s="245"/>
      <c r="B1542" s="246" t="s">
        <v>1568</v>
      </c>
      <c r="C1542" s="246"/>
      <c r="D1542" s="246"/>
      <c r="E1542" s="246"/>
      <c r="F1542" s="247"/>
      <c r="G1542" s="248"/>
      <c r="H1542" s="249"/>
      <c r="I1542" s="249"/>
      <c r="J1542" s="248"/>
      <c r="K1542" s="249">
        <v>1</v>
      </c>
      <c r="L1542" s="250"/>
      <c r="M1542" s="149"/>
    </row>
    <row r="1543" spans="1:18" s="166" customFormat="1" ht="20.100000000000001" customHeight="1" x14ac:dyDescent="0.25">
      <c r="A1543" s="245"/>
      <c r="B1543" s="246" t="s">
        <v>1568</v>
      </c>
      <c r="C1543" s="246"/>
      <c r="D1543" s="246"/>
      <c r="E1543" s="246"/>
      <c r="F1543" s="247"/>
      <c r="G1543" s="248"/>
      <c r="H1543" s="249"/>
      <c r="I1543" s="249"/>
      <c r="J1543" s="248"/>
      <c r="K1543" s="249">
        <v>1</v>
      </c>
      <c r="L1543" s="250"/>
      <c r="M1543" s="149"/>
    </row>
    <row r="1544" spans="1:18" s="166" customFormat="1" ht="20.100000000000001" customHeight="1" x14ac:dyDescent="0.25">
      <c r="A1544" s="245"/>
      <c r="B1544" s="246" t="s">
        <v>1568</v>
      </c>
      <c r="C1544" s="246"/>
      <c r="D1544" s="246"/>
      <c r="E1544" s="246"/>
      <c r="F1544" s="247"/>
      <c r="G1544" s="248"/>
      <c r="H1544" s="249"/>
      <c r="I1544" s="249"/>
      <c r="J1544" s="248"/>
      <c r="K1544" s="249">
        <v>1</v>
      </c>
      <c r="L1544" s="250"/>
      <c r="M1544" s="149"/>
    </row>
    <row r="1545" spans="1:18" s="166" customFormat="1" ht="20.100000000000001" customHeight="1" x14ac:dyDescent="0.25">
      <c r="A1545" s="245"/>
      <c r="B1545" s="246" t="s">
        <v>1568</v>
      </c>
      <c r="C1545" s="246"/>
      <c r="D1545" s="246"/>
      <c r="E1545" s="246"/>
      <c r="F1545" s="247"/>
      <c r="G1545" s="248"/>
      <c r="H1545" s="249"/>
      <c r="I1545" s="249"/>
      <c r="J1545" s="248"/>
      <c r="K1545" s="249">
        <v>1</v>
      </c>
      <c r="L1545" s="250"/>
      <c r="M1545" s="149"/>
    </row>
    <row r="1546" spans="1:18" s="166" customFormat="1" ht="20.100000000000001" customHeight="1" x14ac:dyDescent="0.25">
      <c r="A1546" s="245"/>
      <c r="B1546" s="246" t="s">
        <v>813</v>
      </c>
      <c r="C1546" s="246"/>
      <c r="D1546" s="246"/>
      <c r="E1546" s="246"/>
      <c r="F1546" s="247"/>
      <c r="G1546" s="248"/>
      <c r="H1546" s="249"/>
      <c r="I1546" s="249"/>
      <c r="J1546" s="248"/>
      <c r="K1546" s="249">
        <v>1</v>
      </c>
      <c r="L1546" s="250"/>
      <c r="M1546" s="149"/>
    </row>
    <row r="1547" spans="1:18" s="166" customFormat="1" ht="20.100000000000001" customHeight="1" x14ac:dyDescent="0.25">
      <c r="A1547" s="245"/>
      <c r="B1547" s="246" t="s">
        <v>1568</v>
      </c>
      <c r="C1547" s="246"/>
      <c r="D1547" s="246"/>
      <c r="E1547" s="246"/>
      <c r="F1547" s="247"/>
      <c r="G1547" s="248"/>
      <c r="H1547" s="249"/>
      <c r="I1547" s="249"/>
      <c r="J1547" s="248"/>
      <c r="K1547" s="249">
        <v>1</v>
      </c>
      <c r="L1547" s="250"/>
      <c r="M1547" s="149"/>
    </row>
    <row r="1548" spans="1:18" s="166" customFormat="1" ht="20.100000000000001" customHeight="1" x14ac:dyDescent="0.25">
      <c r="A1548" s="245"/>
      <c r="B1548" s="246" t="s">
        <v>1673</v>
      </c>
      <c r="C1548" s="246"/>
      <c r="D1548" s="246"/>
      <c r="E1548" s="246"/>
      <c r="F1548" s="247"/>
      <c r="G1548" s="248"/>
      <c r="H1548" s="249"/>
      <c r="I1548" s="249"/>
      <c r="J1548" s="248"/>
      <c r="K1548" s="249">
        <v>1</v>
      </c>
      <c r="L1548" s="250"/>
      <c r="M1548" s="149"/>
    </row>
    <row r="1549" spans="1:18" s="166" customFormat="1" ht="20.100000000000001" customHeight="1" x14ac:dyDescent="0.25">
      <c r="A1549" s="245"/>
      <c r="B1549" s="246" t="s">
        <v>1674</v>
      </c>
      <c r="C1549" s="246"/>
      <c r="D1549" s="246"/>
      <c r="E1549" s="246"/>
      <c r="F1549" s="247"/>
      <c r="G1549" s="248"/>
      <c r="H1549" s="249"/>
      <c r="I1549" s="249"/>
      <c r="J1549" s="248"/>
      <c r="K1549" s="249">
        <v>1</v>
      </c>
      <c r="L1549" s="250"/>
      <c r="M1549" s="149"/>
    </row>
    <row r="1550" spans="1:18" s="166" customFormat="1" ht="20.100000000000001" customHeight="1" x14ac:dyDescent="0.25">
      <c r="A1550" s="245"/>
      <c r="B1550" s="246" t="s">
        <v>1687</v>
      </c>
      <c r="C1550" s="246"/>
      <c r="D1550" s="246"/>
      <c r="E1550" s="246"/>
      <c r="F1550" s="247"/>
      <c r="G1550" s="248"/>
      <c r="H1550" s="249"/>
      <c r="I1550" s="249"/>
      <c r="J1550" s="248"/>
      <c r="K1550" s="249">
        <v>1</v>
      </c>
      <c r="L1550" s="250"/>
      <c r="M1550" s="149"/>
    </row>
    <row r="1551" spans="1:18" s="166" customFormat="1" ht="20.100000000000001" customHeight="1" x14ac:dyDescent="0.25">
      <c r="A1551" s="245"/>
      <c r="B1551" s="246" t="s">
        <v>1703</v>
      </c>
      <c r="C1551" s="246"/>
      <c r="D1551" s="246"/>
      <c r="E1551" s="246"/>
      <c r="F1551" s="247"/>
      <c r="G1551" s="248"/>
      <c r="H1551" s="249"/>
      <c r="I1551" s="249"/>
      <c r="J1551" s="248"/>
      <c r="K1551" s="249">
        <v>1</v>
      </c>
      <c r="L1551" s="250"/>
      <c r="M1551" s="149"/>
    </row>
    <row r="1552" spans="1:18" s="154" customFormat="1" ht="20.100000000000001" customHeight="1" x14ac:dyDescent="0.25">
      <c r="A1552" s="245"/>
      <c r="B1552" s="246" t="s">
        <v>1420</v>
      </c>
      <c r="C1552" s="246"/>
      <c r="D1552" s="246"/>
      <c r="E1552" s="246"/>
      <c r="F1552" s="247"/>
      <c r="G1552" s="248"/>
      <c r="I1552" s="249"/>
      <c r="J1552" s="248"/>
      <c r="K1552" s="249">
        <v>1</v>
      </c>
      <c r="L1552" s="250"/>
      <c r="M1552" s="149"/>
      <c r="N1552" s="149"/>
      <c r="O1552" s="149"/>
      <c r="P1552" s="149"/>
      <c r="Q1552" s="149"/>
      <c r="R1552" s="149"/>
    </row>
    <row r="1553" spans="1:18" s="154" customFormat="1" ht="20.100000000000001" customHeight="1" x14ac:dyDescent="0.25">
      <c r="A1553" s="245"/>
      <c r="B1553" s="246" t="s">
        <v>1569</v>
      </c>
      <c r="C1553" s="246"/>
      <c r="D1553" s="246"/>
      <c r="E1553" s="246"/>
      <c r="F1553" s="247"/>
      <c r="G1553" s="248"/>
      <c r="I1553" s="249"/>
      <c r="J1553" s="248"/>
      <c r="K1553" s="249">
        <v>1</v>
      </c>
      <c r="L1553" s="250"/>
      <c r="M1553" s="149"/>
      <c r="N1553" s="149"/>
      <c r="O1553" s="149"/>
      <c r="P1553" s="149"/>
      <c r="Q1553" s="149"/>
      <c r="R1553" s="149"/>
    </row>
    <row r="1554" spans="1:18" s="154" customFormat="1" ht="20.100000000000001" customHeight="1" x14ac:dyDescent="0.25">
      <c r="A1554" s="245"/>
      <c r="B1554" s="246" t="s">
        <v>1584</v>
      </c>
      <c r="C1554" s="246"/>
      <c r="D1554" s="246"/>
      <c r="E1554" s="246"/>
      <c r="F1554" s="247"/>
      <c r="G1554" s="248"/>
      <c r="I1554" s="249"/>
      <c r="J1554" s="248"/>
      <c r="K1554" s="249">
        <v>1</v>
      </c>
      <c r="L1554" s="250"/>
      <c r="M1554" s="149"/>
      <c r="N1554" s="149"/>
      <c r="O1554" s="149"/>
      <c r="P1554" s="149"/>
      <c r="Q1554" s="149"/>
      <c r="R1554" s="149"/>
    </row>
    <row r="1555" spans="1:18" s="154" customFormat="1" ht="20.100000000000001" customHeight="1" x14ac:dyDescent="0.25">
      <c r="A1555" s="470" t="s">
        <v>163</v>
      </c>
      <c r="B1555" s="471"/>
      <c r="C1555" s="471"/>
      <c r="D1555" s="471"/>
      <c r="E1555" s="471"/>
      <c r="F1555" s="472"/>
      <c r="G1555" s="472"/>
      <c r="H1555" s="472"/>
      <c r="I1555" s="274"/>
      <c r="J1555" s="275"/>
      <c r="K1555" s="252">
        <f>SUM(K1484:K1554)</f>
        <v>68</v>
      </c>
      <c r="L1555" s="250"/>
      <c r="M1555" s="149"/>
      <c r="N1555" s="149"/>
      <c r="O1555" s="149"/>
      <c r="P1555" s="149"/>
      <c r="Q1555" s="149"/>
      <c r="R1555" s="149"/>
    </row>
    <row r="1556" spans="1:18" s="154" customFormat="1" ht="20.100000000000001" customHeight="1" x14ac:dyDescent="0.25">
      <c r="A1556" s="177" t="s">
        <v>1704</v>
      </c>
      <c r="B1556" s="171" t="s">
        <v>1760</v>
      </c>
      <c r="C1556" s="171"/>
      <c r="D1556" s="171"/>
      <c r="E1556" s="171"/>
      <c r="F1556" s="243" t="s">
        <v>24</v>
      </c>
      <c r="G1556" s="244"/>
      <c r="H1556" s="244" t="s">
        <v>1428</v>
      </c>
      <c r="I1556" s="244" t="s">
        <v>1417</v>
      </c>
      <c r="J1556" s="244" t="s">
        <v>61</v>
      </c>
      <c r="K1556" s="244" t="s">
        <v>50</v>
      </c>
      <c r="L1556" s="250"/>
      <c r="M1556" s="149"/>
      <c r="N1556" s="149"/>
      <c r="O1556" s="149"/>
      <c r="P1556" s="149"/>
      <c r="Q1556" s="149"/>
      <c r="R1556" s="149"/>
    </row>
    <row r="1557" spans="1:18" s="154" customFormat="1" ht="20.100000000000001" customHeight="1" x14ac:dyDescent="0.25">
      <c r="A1557" s="475" t="s">
        <v>1382</v>
      </c>
      <c r="B1557" s="476"/>
      <c r="C1557" s="476"/>
      <c r="D1557" s="476"/>
      <c r="E1557" s="476"/>
      <c r="F1557" s="476"/>
      <c r="G1557" s="476"/>
      <c r="H1557" s="476"/>
      <c r="I1557" s="476"/>
      <c r="J1557" s="476"/>
      <c r="K1557" s="477"/>
      <c r="L1557" s="250"/>
      <c r="M1557" s="149"/>
      <c r="N1557" s="149"/>
      <c r="O1557" s="149"/>
      <c r="P1557" s="149"/>
      <c r="Q1557" s="149"/>
      <c r="R1557" s="149"/>
    </row>
    <row r="1558" spans="1:18" s="166" customFormat="1" ht="20.100000000000001" customHeight="1" x14ac:dyDescent="0.25">
      <c r="A1558" s="245"/>
      <c r="B1558" s="246" t="s">
        <v>1761</v>
      </c>
      <c r="C1558" s="246"/>
      <c r="D1558" s="246"/>
      <c r="E1558" s="246"/>
      <c r="F1558" s="247"/>
      <c r="G1558" s="248"/>
      <c r="H1558" s="249">
        <v>0.65</v>
      </c>
      <c r="I1558" s="249">
        <v>0.65</v>
      </c>
      <c r="J1558" s="248">
        <v>3</v>
      </c>
      <c r="K1558" s="249">
        <f>TRUNC(H1558*I1558*J1558,2)</f>
        <v>1.26</v>
      </c>
      <c r="L1558" s="250"/>
      <c r="M1558" s="149"/>
    </row>
    <row r="1559" spans="1:18" s="154" customFormat="1" ht="20.100000000000001" customHeight="1" x14ac:dyDescent="0.25">
      <c r="A1559" s="475" t="s">
        <v>1384</v>
      </c>
      <c r="B1559" s="476"/>
      <c r="C1559" s="476"/>
      <c r="D1559" s="476"/>
      <c r="E1559" s="476"/>
      <c r="F1559" s="476"/>
      <c r="G1559" s="476"/>
      <c r="H1559" s="476"/>
      <c r="I1559" s="476"/>
      <c r="J1559" s="476"/>
      <c r="K1559" s="477"/>
      <c r="L1559" s="250"/>
      <c r="M1559" s="149"/>
      <c r="N1559" s="149"/>
      <c r="O1559" s="149"/>
      <c r="P1559" s="149"/>
      <c r="Q1559" s="149"/>
      <c r="R1559" s="149"/>
    </row>
    <row r="1560" spans="1:18" s="166" customFormat="1" ht="20.100000000000001" customHeight="1" x14ac:dyDescent="0.25">
      <c r="A1560" s="245"/>
      <c r="B1560" s="246" t="s">
        <v>1761</v>
      </c>
      <c r="C1560" s="246"/>
      <c r="D1560" s="246"/>
      <c r="E1560" s="246"/>
      <c r="F1560" s="247"/>
      <c r="G1560" s="248"/>
      <c r="H1560" s="249">
        <v>0.65</v>
      </c>
      <c r="I1560" s="249">
        <v>0.65</v>
      </c>
      <c r="J1560" s="248">
        <v>3</v>
      </c>
      <c r="K1560" s="249">
        <f>TRUNC(H1560*I1560*J1560,2)</f>
        <v>1.26</v>
      </c>
      <c r="L1560" s="250"/>
      <c r="M1560" s="149"/>
    </row>
    <row r="1561" spans="1:18" s="154" customFormat="1" ht="20.100000000000001" customHeight="1" x14ac:dyDescent="0.25">
      <c r="A1561" s="475" t="s">
        <v>1409</v>
      </c>
      <c r="B1561" s="476"/>
      <c r="C1561" s="476"/>
      <c r="D1561" s="476"/>
      <c r="E1561" s="476"/>
      <c r="F1561" s="476"/>
      <c r="G1561" s="476"/>
      <c r="H1561" s="476"/>
      <c r="I1561" s="476"/>
      <c r="J1561" s="476"/>
      <c r="K1561" s="477"/>
      <c r="L1561" s="250"/>
      <c r="M1561" s="149"/>
      <c r="N1561" s="149"/>
      <c r="O1561" s="149"/>
      <c r="P1561" s="149"/>
      <c r="Q1561" s="149"/>
      <c r="R1561" s="149"/>
    </row>
    <row r="1562" spans="1:18" s="166" customFormat="1" ht="20.100000000000001" customHeight="1" x14ac:dyDescent="0.25">
      <c r="A1562" s="245"/>
      <c r="B1562" s="246" t="s">
        <v>1761</v>
      </c>
      <c r="C1562" s="246"/>
      <c r="D1562" s="246"/>
      <c r="E1562" s="246"/>
      <c r="F1562" s="247"/>
      <c r="G1562" s="248"/>
      <c r="H1562" s="249">
        <v>0.65</v>
      </c>
      <c r="I1562" s="249">
        <v>0.65</v>
      </c>
      <c r="J1562" s="248">
        <v>6</v>
      </c>
      <c r="K1562" s="249">
        <f>TRUNC(H1562*I1562*J1562,2)</f>
        <v>2.5299999999999998</v>
      </c>
      <c r="L1562" s="250"/>
      <c r="M1562" s="149"/>
    </row>
    <row r="1563" spans="1:18" s="154" customFormat="1" ht="20.100000000000001" customHeight="1" x14ac:dyDescent="0.25">
      <c r="A1563" s="475" t="s">
        <v>1411</v>
      </c>
      <c r="B1563" s="476"/>
      <c r="C1563" s="476"/>
      <c r="D1563" s="476"/>
      <c r="E1563" s="476"/>
      <c r="F1563" s="476"/>
      <c r="G1563" s="476"/>
      <c r="H1563" s="476"/>
      <c r="I1563" s="476"/>
      <c r="J1563" s="476"/>
      <c r="K1563" s="477"/>
      <c r="L1563" s="250"/>
      <c r="M1563" s="149"/>
      <c r="N1563" s="149"/>
      <c r="O1563" s="149"/>
      <c r="P1563" s="149"/>
      <c r="Q1563" s="149"/>
      <c r="R1563" s="149"/>
    </row>
    <row r="1564" spans="1:18" s="166" customFormat="1" ht="20.100000000000001" customHeight="1" x14ac:dyDescent="0.25">
      <c r="A1564" s="245"/>
      <c r="B1564" s="246" t="s">
        <v>1761</v>
      </c>
      <c r="C1564" s="246"/>
      <c r="D1564" s="246"/>
      <c r="E1564" s="246"/>
      <c r="F1564" s="247"/>
      <c r="G1564" s="248"/>
      <c r="H1564" s="249">
        <v>0.65</v>
      </c>
      <c r="I1564" s="249">
        <v>0.65</v>
      </c>
      <c r="J1564" s="248">
        <v>9</v>
      </c>
      <c r="K1564" s="249">
        <f>TRUNC(H1564*I1564*J1564,2)</f>
        <v>3.8</v>
      </c>
      <c r="L1564" s="250"/>
      <c r="M1564" s="149"/>
    </row>
    <row r="1565" spans="1:18" s="154" customFormat="1" ht="20.100000000000001" customHeight="1" x14ac:dyDescent="0.25">
      <c r="A1565" s="475" t="s">
        <v>1413</v>
      </c>
      <c r="B1565" s="476"/>
      <c r="C1565" s="476"/>
      <c r="D1565" s="476"/>
      <c r="E1565" s="476"/>
      <c r="F1565" s="476"/>
      <c r="G1565" s="476"/>
      <c r="H1565" s="476"/>
      <c r="I1565" s="476"/>
      <c r="J1565" s="476"/>
      <c r="K1565" s="477"/>
      <c r="L1565" s="250"/>
      <c r="M1565" s="149"/>
      <c r="N1565" s="149"/>
      <c r="O1565" s="149"/>
      <c r="P1565" s="149"/>
      <c r="Q1565" s="149"/>
      <c r="R1565" s="149"/>
    </row>
    <row r="1566" spans="1:18" s="166" customFormat="1" ht="20.100000000000001" customHeight="1" x14ac:dyDescent="0.25">
      <c r="A1566" s="245"/>
      <c r="B1566" s="246" t="s">
        <v>1761</v>
      </c>
      <c r="C1566" s="246"/>
      <c r="D1566" s="246"/>
      <c r="E1566" s="246"/>
      <c r="F1566" s="247"/>
      <c r="G1566" s="248"/>
      <c r="H1566" s="249">
        <v>0.65</v>
      </c>
      <c r="I1566" s="249">
        <v>0.65</v>
      </c>
      <c r="J1566" s="248">
        <v>5</v>
      </c>
      <c r="K1566" s="249">
        <f>TRUNC(H1566*I1566*J1566,2)</f>
        <v>2.11</v>
      </c>
      <c r="L1566" s="250"/>
      <c r="M1566" s="149"/>
    </row>
    <row r="1567" spans="1:18" s="154" customFormat="1" ht="20.100000000000001" customHeight="1" x14ac:dyDescent="0.25">
      <c r="A1567" s="470" t="s">
        <v>163</v>
      </c>
      <c r="B1567" s="471"/>
      <c r="C1567" s="471"/>
      <c r="D1567" s="471"/>
      <c r="E1567" s="471"/>
      <c r="F1567" s="472"/>
      <c r="G1567" s="472"/>
      <c r="H1567" s="472"/>
      <c r="I1567" s="274"/>
      <c r="J1567" s="275"/>
      <c r="K1567" s="252">
        <f>SUM(K1558:K1566)</f>
        <v>10.959999999999999</v>
      </c>
      <c r="L1567" s="250"/>
      <c r="M1567" s="149"/>
      <c r="N1567" s="149"/>
      <c r="O1567" s="149"/>
      <c r="P1567" s="149"/>
      <c r="Q1567" s="149"/>
      <c r="R1567" s="149"/>
    </row>
    <row r="1568" spans="1:18" s="154" customFormat="1" ht="20.100000000000001" customHeight="1" x14ac:dyDescent="0.25">
      <c r="A1568" s="478" t="s">
        <v>636</v>
      </c>
      <c r="B1568" s="478"/>
      <c r="C1568" s="478"/>
      <c r="D1568" s="478"/>
      <c r="E1568" s="478"/>
      <c r="F1568" s="478"/>
      <c r="G1568" s="478"/>
      <c r="H1568" s="478"/>
      <c r="I1568" s="478"/>
      <c r="J1568" s="478"/>
      <c r="K1568" s="478"/>
      <c r="L1568" s="250"/>
      <c r="M1568" s="149"/>
      <c r="N1568" s="149"/>
      <c r="O1568" s="149"/>
      <c r="P1568" s="149"/>
      <c r="Q1568" s="149"/>
      <c r="R1568" s="149"/>
    </row>
    <row r="1569" spans="1:18" s="154" customFormat="1" ht="20.100000000000001" customHeight="1" x14ac:dyDescent="0.25">
      <c r="A1569" s="177" t="s">
        <v>1704</v>
      </c>
      <c r="B1569" s="171" t="s">
        <v>1762</v>
      </c>
      <c r="C1569" s="171"/>
      <c r="D1569" s="171"/>
      <c r="E1569" s="171"/>
      <c r="F1569" s="243" t="s">
        <v>26</v>
      </c>
      <c r="G1569" s="244"/>
      <c r="H1569" s="244"/>
      <c r="I1569" s="244"/>
      <c r="J1569" s="244"/>
      <c r="K1569" s="244" t="s">
        <v>50</v>
      </c>
      <c r="L1569" s="250"/>
      <c r="M1569" s="149"/>
      <c r="N1569" s="149"/>
      <c r="O1569" s="149"/>
      <c r="P1569" s="149"/>
      <c r="Q1569" s="149"/>
      <c r="R1569" s="149"/>
    </row>
    <row r="1570" spans="1:18" s="154" customFormat="1" ht="20.100000000000001" customHeight="1" x14ac:dyDescent="0.25">
      <c r="A1570" s="475" t="s">
        <v>1384</v>
      </c>
      <c r="B1570" s="476"/>
      <c r="C1570" s="476"/>
      <c r="D1570" s="476"/>
      <c r="E1570" s="476"/>
      <c r="F1570" s="476"/>
      <c r="G1570" s="476"/>
      <c r="H1570" s="476"/>
      <c r="I1570" s="476"/>
      <c r="J1570" s="476"/>
      <c r="K1570" s="477"/>
      <c r="L1570" s="250"/>
      <c r="M1570" s="149"/>
      <c r="N1570" s="149"/>
      <c r="O1570" s="149"/>
      <c r="P1570" s="149"/>
      <c r="Q1570" s="149"/>
      <c r="R1570" s="149"/>
    </row>
    <row r="1571" spans="1:18" s="166" customFormat="1" ht="20.100000000000001" customHeight="1" x14ac:dyDescent="0.25">
      <c r="A1571" s="245"/>
      <c r="B1571" s="246" t="s">
        <v>1569</v>
      </c>
      <c r="C1571" s="246"/>
      <c r="D1571" s="246"/>
      <c r="E1571" s="246"/>
      <c r="F1571" s="247"/>
      <c r="G1571" s="248"/>
      <c r="H1571" s="249"/>
      <c r="I1571" s="249"/>
      <c r="J1571" s="248"/>
      <c r="K1571" s="249">
        <v>2</v>
      </c>
      <c r="L1571" s="250"/>
      <c r="M1571" s="149"/>
    </row>
    <row r="1572" spans="1:18" s="166" customFormat="1" ht="20.100000000000001" customHeight="1" x14ac:dyDescent="0.25">
      <c r="A1572" s="245"/>
      <c r="B1572" s="246" t="s">
        <v>1584</v>
      </c>
      <c r="C1572" s="246"/>
      <c r="D1572" s="246"/>
      <c r="E1572" s="246"/>
      <c r="F1572" s="247"/>
      <c r="G1572" s="248"/>
      <c r="H1572" s="249"/>
      <c r="I1572" s="249"/>
      <c r="J1572" s="248"/>
      <c r="K1572" s="249">
        <v>2</v>
      </c>
      <c r="L1572" s="250"/>
      <c r="M1572" s="149"/>
    </row>
    <row r="1573" spans="1:18" s="154" customFormat="1" ht="20.100000000000001" customHeight="1" x14ac:dyDescent="0.25">
      <c r="A1573" s="475" t="s">
        <v>1409</v>
      </c>
      <c r="B1573" s="476"/>
      <c r="C1573" s="476"/>
      <c r="D1573" s="476"/>
      <c r="E1573" s="476"/>
      <c r="F1573" s="476"/>
      <c r="G1573" s="476"/>
      <c r="H1573" s="476"/>
      <c r="I1573" s="476"/>
      <c r="J1573" s="476"/>
      <c r="K1573" s="477"/>
      <c r="L1573" s="250"/>
      <c r="M1573" s="149"/>
      <c r="N1573" s="149"/>
      <c r="O1573" s="149"/>
      <c r="P1573" s="149"/>
      <c r="Q1573" s="149"/>
      <c r="R1573" s="149"/>
    </row>
    <row r="1574" spans="1:18" s="166" customFormat="1" ht="20.100000000000001" customHeight="1" x14ac:dyDescent="0.25">
      <c r="A1574" s="245"/>
      <c r="B1574" s="246" t="s">
        <v>1569</v>
      </c>
      <c r="C1574" s="246"/>
      <c r="D1574" s="246"/>
      <c r="E1574" s="246"/>
      <c r="F1574" s="247"/>
      <c r="G1574" s="248"/>
      <c r="H1574" s="249"/>
      <c r="I1574" s="249"/>
      <c r="J1574" s="248"/>
      <c r="K1574" s="249">
        <v>2</v>
      </c>
      <c r="L1574" s="250"/>
      <c r="M1574" s="149"/>
    </row>
    <row r="1575" spans="1:18" s="166" customFormat="1" ht="20.100000000000001" customHeight="1" x14ac:dyDescent="0.25">
      <c r="A1575" s="245"/>
      <c r="B1575" s="246" t="s">
        <v>1570</v>
      </c>
      <c r="C1575" s="246"/>
      <c r="D1575" s="246"/>
      <c r="E1575" s="246"/>
      <c r="F1575" s="247"/>
      <c r="G1575" s="248"/>
      <c r="H1575" s="249"/>
      <c r="I1575" s="249"/>
      <c r="J1575" s="248"/>
      <c r="K1575" s="249">
        <v>2</v>
      </c>
      <c r="L1575" s="250"/>
      <c r="M1575" s="149"/>
    </row>
    <row r="1576" spans="1:18" s="154" customFormat="1" ht="20.100000000000001" customHeight="1" x14ac:dyDescent="0.25">
      <c r="A1576" s="475" t="s">
        <v>1411</v>
      </c>
      <c r="B1576" s="476"/>
      <c r="C1576" s="476"/>
      <c r="D1576" s="476"/>
      <c r="E1576" s="476"/>
      <c r="F1576" s="476"/>
      <c r="G1576" s="476"/>
      <c r="H1576" s="476"/>
      <c r="I1576" s="476"/>
      <c r="J1576" s="476"/>
      <c r="K1576" s="477"/>
      <c r="L1576" s="250"/>
      <c r="M1576" s="149"/>
      <c r="N1576" s="149"/>
      <c r="O1576" s="149"/>
      <c r="P1576" s="149"/>
      <c r="Q1576" s="149"/>
      <c r="R1576" s="149"/>
    </row>
    <row r="1577" spans="1:18" s="166" customFormat="1" ht="20.100000000000001" customHeight="1" x14ac:dyDescent="0.25">
      <c r="A1577" s="245"/>
      <c r="B1577" s="246" t="s">
        <v>1569</v>
      </c>
      <c r="C1577" s="246"/>
      <c r="D1577" s="246"/>
      <c r="E1577" s="246"/>
      <c r="F1577" s="247"/>
      <c r="G1577" s="248"/>
      <c r="H1577" s="249"/>
      <c r="I1577" s="249"/>
      <c r="J1577" s="248"/>
      <c r="K1577" s="249">
        <v>2</v>
      </c>
      <c r="L1577" s="250"/>
      <c r="M1577" s="149"/>
    </row>
    <row r="1578" spans="1:18" s="166" customFormat="1" ht="20.100000000000001" customHeight="1" x14ac:dyDescent="0.25">
      <c r="A1578" s="245"/>
      <c r="B1578" s="246" t="s">
        <v>1570</v>
      </c>
      <c r="C1578" s="246"/>
      <c r="D1578" s="246"/>
      <c r="E1578" s="246"/>
      <c r="F1578" s="247"/>
      <c r="G1578" s="248"/>
      <c r="H1578" s="249"/>
      <c r="I1578" s="249"/>
      <c r="J1578" s="248"/>
      <c r="K1578" s="249">
        <v>2</v>
      </c>
      <c r="L1578" s="250"/>
      <c r="M1578" s="149"/>
    </row>
    <row r="1579" spans="1:18" s="154" customFormat="1" ht="20.100000000000001" customHeight="1" x14ac:dyDescent="0.25">
      <c r="A1579" s="475" t="s">
        <v>1413</v>
      </c>
      <c r="B1579" s="476"/>
      <c r="C1579" s="476"/>
      <c r="D1579" s="476"/>
      <c r="E1579" s="476"/>
      <c r="F1579" s="476"/>
      <c r="G1579" s="476"/>
      <c r="H1579" s="476"/>
      <c r="I1579" s="476"/>
      <c r="J1579" s="476"/>
      <c r="K1579" s="477"/>
      <c r="L1579" s="250"/>
      <c r="M1579" s="149"/>
      <c r="N1579" s="149"/>
      <c r="O1579" s="149"/>
      <c r="P1579" s="149"/>
      <c r="Q1579" s="149"/>
      <c r="R1579" s="149"/>
    </row>
    <row r="1580" spans="1:18" s="166" customFormat="1" ht="20.100000000000001" customHeight="1" x14ac:dyDescent="0.25">
      <c r="A1580" s="245"/>
      <c r="B1580" s="246" t="s">
        <v>1569</v>
      </c>
      <c r="C1580" s="246"/>
      <c r="D1580" s="246"/>
      <c r="E1580" s="246"/>
      <c r="F1580" s="247"/>
      <c r="G1580" s="248"/>
      <c r="H1580" s="249"/>
      <c r="I1580" s="249"/>
      <c r="J1580" s="248"/>
      <c r="K1580" s="249">
        <v>2</v>
      </c>
      <c r="L1580" s="250"/>
      <c r="M1580" s="149"/>
    </row>
    <row r="1581" spans="1:18" s="166" customFormat="1" ht="20.100000000000001" customHeight="1" x14ac:dyDescent="0.25">
      <c r="A1581" s="245"/>
      <c r="B1581" s="246" t="s">
        <v>1570</v>
      </c>
      <c r="C1581" s="246"/>
      <c r="D1581" s="246"/>
      <c r="E1581" s="246"/>
      <c r="F1581" s="247"/>
      <c r="G1581" s="248"/>
      <c r="H1581" s="249"/>
      <c r="I1581" s="249"/>
      <c r="J1581" s="248"/>
      <c r="K1581" s="249">
        <v>2</v>
      </c>
      <c r="L1581" s="250"/>
      <c r="M1581" s="149"/>
    </row>
    <row r="1582" spans="1:18" s="154" customFormat="1" ht="20.100000000000001" customHeight="1" x14ac:dyDescent="0.25">
      <c r="A1582" s="470" t="s">
        <v>163</v>
      </c>
      <c r="B1582" s="471"/>
      <c r="C1582" s="471"/>
      <c r="D1582" s="471"/>
      <c r="E1582" s="471"/>
      <c r="F1582" s="472"/>
      <c r="G1582" s="472"/>
      <c r="H1582" s="472"/>
      <c r="I1582" s="274"/>
      <c r="J1582" s="275"/>
      <c r="K1582" s="252">
        <f>SUM(K1571:K1581)</f>
        <v>16</v>
      </c>
      <c r="L1582" s="250"/>
      <c r="M1582" s="149"/>
      <c r="N1582" s="149"/>
      <c r="O1582" s="149"/>
      <c r="P1582" s="149"/>
      <c r="Q1582" s="149"/>
      <c r="R1582" s="149"/>
    </row>
    <row r="1583" spans="1:18" s="154" customFormat="1" ht="20.100000000000001" customHeight="1" x14ac:dyDescent="0.25">
      <c r="A1583" s="177" t="s">
        <v>1704</v>
      </c>
      <c r="B1583" s="171" t="s">
        <v>1763</v>
      </c>
      <c r="C1583" s="171"/>
      <c r="D1583" s="171"/>
      <c r="E1583" s="171"/>
      <c r="F1583" s="243" t="s">
        <v>26</v>
      </c>
      <c r="G1583" s="244"/>
      <c r="H1583" s="244"/>
      <c r="I1583" s="244"/>
      <c r="J1583" s="244"/>
      <c r="K1583" s="244" t="s">
        <v>50</v>
      </c>
      <c r="L1583" s="250"/>
      <c r="M1583" s="149"/>
      <c r="N1583" s="149"/>
      <c r="O1583" s="149"/>
      <c r="P1583" s="149"/>
      <c r="Q1583" s="149"/>
      <c r="R1583" s="149"/>
    </row>
    <row r="1584" spans="1:18" s="154" customFormat="1" ht="20.100000000000001" customHeight="1" x14ac:dyDescent="0.25">
      <c r="A1584" s="475" t="s">
        <v>1384</v>
      </c>
      <c r="B1584" s="476"/>
      <c r="C1584" s="476"/>
      <c r="D1584" s="476"/>
      <c r="E1584" s="476"/>
      <c r="F1584" s="476"/>
      <c r="G1584" s="476"/>
      <c r="H1584" s="476"/>
      <c r="I1584" s="476"/>
      <c r="J1584" s="476"/>
      <c r="K1584" s="477"/>
      <c r="L1584" s="250"/>
      <c r="M1584" s="149"/>
      <c r="N1584" s="149"/>
      <c r="O1584" s="149"/>
      <c r="P1584" s="149"/>
      <c r="Q1584" s="149"/>
      <c r="R1584" s="149"/>
    </row>
    <row r="1585" spans="1:18" s="166" customFormat="1" ht="20.100000000000001" customHeight="1" x14ac:dyDescent="0.25">
      <c r="A1585" s="245"/>
      <c r="B1585" s="246" t="s">
        <v>1569</v>
      </c>
      <c r="C1585" s="246"/>
      <c r="D1585" s="246"/>
      <c r="E1585" s="246"/>
      <c r="F1585" s="247"/>
      <c r="G1585" s="248"/>
      <c r="H1585" s="249"/>
      <c r="I1585" s="249"/>
      <c r="J1585" s="248"/>
      <c r="K1585" s="249">
        <v>2</v>
      </c>
      <c r="L1585" s="250"/>
      <c r="M1585" s="149"/>
    </row>
    <row r="1586" spans="1:18" s="166" customFormat="1" ht="20.100000000000001" customHeight="1" x14ac:dyDescent="0.25">
      <c r="A1586" s="245"/>
      <c r="B1586" s="246" t="s">
        <v>1584</v>
      </c>
      <c r="C1586" s="246"/>
      <c r="D1586" s="246"/>
      <c r="E1586" s="246"/>
      <c r="F1586" s="247"/>
      <c r="G1586" s="248"/>
      <c r="H1586" s="249"/>
      <c r="I1586" s="249"/>
      <c r="J1586" s="248"/>
      <c r="K1586" s="249">
        <v>2</v>
      </c>
      <c r="L1586" s="250"/>
      <c r="M1586" s="149"/>
    </row>
    <row r="1587" spans="1:18" s="154" customFormat="1" ht="20.100000000000001" customHeight="1" x14ac:dyDescent="0.25">
      <c r="A1587" s="475" t="s">
        <v>1409</v>
      </c>
      <c r="B1587" s="476"/>
      <c r="C1587" s="476"/>
      <c r="D1587" s="476"/>
      <c r="E1587" s="476"/>
      <c r="F1587" s="476"/>
      <c r="G1587" s="476"/>
      <c r="H1587" s="476"/>
      <c r="I1587" s="476"/>
      <c r="J1587" s="476"/>
      <c r="K1587" s="477"/>
      <c r="L1587" s="250"/>
      <c r="M1587" s="149"/>
      <c r="N1587" s="149"/>
      <c r="O1587" s="149"/>
      <c r="P1587" s="149"/>
      <c r="Q1587" s="149"/>
      <c r="R1587" s="149"/>
    </row>
    <row r="1588" spans="1:18" s="166" customFormat="1" ht="20.100000000000001" customHeight="1" x14ac:dyDescent="0.25">
      <c r="A1588" s="245"/>
      <c r="B1588" s="246" t="s">
        <v>1569</v>
      </c>
      <c r="C1588" s="246"/>
      <c r="D1588" s="246"/>
      <c r="E1588" s="246"/>
      <c r="F1588" s="247"/>
      <c r="G1588" s="248"/>
      <c r="H1588" s="249"/>
      <c r="I1588" s="249"/>
      <c r="J1588" s="248"/>
      <c r="K1588" s="249">
        <v>2</v>
      </c>
      <c r="L1588" s="250"/>
      <c r="M1588" s="149"/>
    </row>
    <row r="1589" spans="1:18" s="166" customFormat="1" ht="20.100000000000001" customHeight="1" x14ac:dyDescent="0.25">
      <c r="A1589" s="245"/>
      <c r="B1589" s="246" t="s">
        <v>1570</v>
      </c>
      <c r="C1589" s="246"/>
      <c r="D1589" s="246"/>
      <c r="E1589" s="246"/>
      <c r="F1589" s="247"/>
      <c r="G1589" s="248"/>
      <c r="H1589" s="249"/>
      <c r="I1589" s="249"/>
      <c r="J1589" s="248"/>
      <c r="K1589" s="249">
        <v>2</v>
      </c>
      <c r="L1589" s="250"/>
      <c r="M1589" s="149"/>
    </row>
    <row r="1590" spans="1:18" s="154" customFormat="1" ht="20.100000000000001" customHeight="1" x14ac:dyDescent="0.25">
      <c r="A1590" s="475" t="s">
        <v>1411</v>
      </c>
      <c r="B1590" s="476"/>
      <c r="C1590" s="476"/>
      <c r="D1590" s="476"/>
      <c r="E1590" s="476"/>
      <c r="F1590" s="476"/>
      <c r="G1590" s="476"/>
      <c r="H1590" s="476"/>
      <c r="I1590" s="476"/>
      <c r="J1590" s="476"/>
      <c r="K1590" s="477"/>
      <c r="L1590" s="250"/>
      <c r="M1590" s="149"/>
      <c r="N1590" s="149"/>
      <c r="O1590" s="149"/>
      <c r="P1590" s="149"/>
      <c r="Q1590" s="149"/>
      <c r="R1590" s="149"/>
    </row>
    <row r="1591" spans="1:18" s="154" customFormat="1" ht="20.100000000000001" customHeight="1" x14ac:dyDescent="0.25">
      <c r="A1591" s="475" t="s">
        <v>1413</v>
      </c>
      <c r="B1591" s="476"/>
      <c r="C1591" s="476"/>
      <c r="D1591" s="476"/>
      <c r="E1591" s="476"/>
      <c r="F1591" s="476"/>
      <c r="G1591" s="476"/>
      <c r="H1591" s="476"/>
      <c r="I1591" s="476"/>
      <c r="J1591" s="476"/>
      <c r="K1591" s="477"/>
      <c r="L1591" s="250"/>
      <c r="M1591" s="149"/>
      <c r="N1591" s="149"/>
      <c r="O1591" s="149"/>
      <c r="P1591" s="149"/>
      <c r="Q1591" s="149"/>
      <c r="R1591" s="149"/>
    </row>
    <row r="1592" spans="1:18" s="166" customFormat="1" ht="20.100000000000001" customHeight="1" x14ac:dyDescent="0.25">
      <c r="A1592" s="245"/>
      <c r="B1592" s="246" t="s">
        <v>1569</v>
      </c>
      <c r="C1592" s="246"/>
      <c r="D1592" s="246"/>
      <c r="E1592" s="246"/>
      <c r="F1592" s="247"/>
      <c r="G1592" s="248"/>
      <c r="H1592" s="249"/>
      <c r="I1592" s="249"/>
      <c r="J1592" s="248"/>
      <c r="K1592" s="249">
        <v>2</v>
      </c>
      <c r="L1592" s="250"/>
      <c r="M1592" s="149"/>
    </row>
    <row r="1593" spans="1:18" s="166" customFormat="1" ht="20.100000000000001" customHeight="1" x14ac:dyDescent="0.25">
      <c r="A1593" s="245"/>
      <c r="B1593" s="246" t="s">
        <v>1570</v>
      </c>
      <c r="C1593" s="246"/>
      <c r="D1593" s="246"/>
      <c r="E1593" s="246"/>
      <c r="F1593" s="247"/>
      <c r="G1593" s="248"/>
      <c r="H1593" s="249"/>
      <c r="I1593" s="249"/>
      <c r="J1593" s="248"/>
      <c r="K1593" s="249">
        <v>2</v>
      </c>
      <c r="L1593" s="250"/>
      <c r="M1593" s="149"/>
    </row>
    <row r="1594" spans="1:18" s="154" customFormat="1" ht="20.100000000000001" customHeight="1" x14ac:dyDescent="0.25">
      <c r="A1594" s="470" t="s">
        <v>163</v>
      </c>
      <c r="B1594" s="471"/>
      <c r="C1594" s="471"/>
      <c r="D1594" s="471"/>
      <c r="E1594" s="471"/>
      <c r="F1594" s="472"/>
      <c r="G1594" s="472"/>
      <c r="H1594" s="472"/>
      <c r="I1594" s="274"/>
      <c r="J1594" s="275"/>
      <c r="K1594" s="252">
        <f>SUM(K1585:K1586)</f>
        <v>4</v>
      </c>
      <c r="L1594" s="250"/>
      <c r="M1594" s="149"/>
      <c r="N1594" s="149"/>
      <c r="O1594" s="149"/>
      <c r="P1594" s="149"/>
      <c r="Q1594" s="149"/>
      <c r="R1594" s="149"/>
    </row>
    <row r="1595" spans="1:18" s="154" customFormat="1" ht="20.100000000000001" customHeight="1" x14ac:dyDescent="0.25">
      <c r="A1595" s="177" t="s">
        <v>1709</v>
      </c>
      <c r="B1595" s="171" t="s">
        <v>1764</v>
      </c>
      <c r="C1595" s="171"/>
      <c r="D1595" s="171"/>
      <c r="E1595" s="171"/>
      <c r="F1595" s="243" t="s">
        <v>168</v>
      </c>
      <c r="G1595" s="244"/>
      <c r="H1595" s="244"/>
      <c r="I1595" s="244" t="s">
        <v>724</v>
      </c>
      <c r="J1595" s="244"/>
      <c r="K1595" s="244" t="s">
        <v>50</v>
      </c>
      <c r="L1595" s="250"/>
      <c r="M1595" s="149"/>
      <c r="N1595" s="149"/>
      <c r="O1595" s="149"/>
      <c r="P1595" s="149"/>
      <c r="Q1595" s="149"/>
      <c r="R1595" s="149"/>
    </row>
    <row r="1596" spans="1:18" s="154" customFormat="1" ht="20.100000000000001" customHeight="1" x14ac:dyDescent="0.25">
      <c r="A1596" s="475" t="s">
        <v>1384</v>
      </c>
      <c r="B1596" s="476"/>
      <c r="C1596" s="476"/>
      <c r="D1596" s="476"/>
      <c r="E1596" s="476"/>
      <c r="F1596" s="476"/>
      <c r="G1596" s="476"/>
      <c r="H1596" s="476"/>
      <c r="I1596" s="476"/>
      <c r="J1596" s="476"/>
      <c r="K1596" s="477"/>
      <c r="L1596" s="250"/>
      <c r="M1596" s="149"/>
      <c r="N1596" s="149"/>
      <c r="O1596" s="149"/>
      <c r="P1596" s="149"/>
      <c r="Q1596" s="149"/>
      <c r="R1596" s="149"/>
    </row>
    <row r="1597" spans="1:18" s="149" customFormat="1" ht="20.100000000000001" customHeight="1" x14ac:dyDescent="0.25">
      <c r="A1597" s="245"/>
      <c r="B1597" s="246" t="s">
        <v>1602</v>
      </c>
      <c r="C1597" s="246"/>
      <c r="D1597" s="246"/>
      <c r="E1597" s="246"/>
      <c r="F1597" s="247"/>
      <c r="G1597" s="248"/>
      <c r="H1597" s="249"/>
      <c r="I1597" s="249"/>
      <c r="J1597" s="248"/>
      <c r="K1597" s="249">
        <v>1</v>
      </c>
      <c r="L1597" s="250"/>
    </row>
    <row r="1598" spans="1:18" s="149" customFormat="1" ht="20.100000000000001" customHeight="1" x14ac:dyDescent="0.25">
      <c r="A1598" s="245"/>
      <c r="B1598" s="246" t="s">
        <v>810</v>
      </c>
      <c r="C1598" s="246"/>
      <c r="D1598" s="246"/>
      <c r="E1598" s="246"/>
      <c r="F1598" s="247"/>
      <c r="G1598" s="248"/>
      <c r="H1598" s="249"/>
      <c r="I1598" s="249"/>
      <c r="J1598" s="248"/>
      <c r="K1598" s="249">
        <v>1</v>
      </c>
      <c r="L1598" s="250"/>
    </row>
    <row r="1599" spans="1:18" s="149" customFormat="1" ht="20.100000000000001" customHeight="1" x14ac:dyDescent="0.25">
      <c r="A1599" s="245"/>
      <c r="B1599" s="246" t="s">
        <v>1759</v>
      </c>
      <c r="C1599" s="246"/>
      <c r="D1599" s="246"/>
      <c r="E1599" s="246"/>
      <c r="F1599" s="247"/>
      <c r="G1599" s="248"/>
      <c r="H1599" s="249"/>
      <c r="I1599" s="249"/>
      <c r="J1599" s="248"/>
      <c r="K1599" s="249">
        <v>1</v>
      </c>
      <c r="L1599" s="250"/>
    </row>
    <row r="1600" spans="1:18" s="149" customFormat="1" ht="20.100000000000001" customHeight="1" x14ac:dyDescent="0.25">
      <c r="A1600" s="245"/>
      <c r="B1600" s="246" t="s">
        <v>811</v>
      </c>
      <c r="C1600" s="246"/>
      <c r="D1600" s="246"/>
      <c r="E1600" s="246"/>
      <c r="F1600" s="247"/>
      <c r="G1600" s="248"/>
      <c r="H1600" s="249"/>
      <c r="I1600" s="249"/>
      <c r="J1600" s="248"/>
      <c r="K1600" s="249">
        <v>1</v>
      </c>
      <c r="L1600" s="250"/>
    </row>
    <row r="1601" spans="1:18" s="166" customFormat="1" ht="20.100000000000001" customHeight="1" x14ac:dyDescent="0.25">
      <c r="A1601" s="245"/>
      <c r="B1601" s="246" t="s">
        <v>1552</v>
      </c>
      <c r="C1601" s="246"/>
      <c r="D1601" s="246"/>
      <c r="E1601" s="246"/>
      <c r="F1601" s="247"/>
      <c r="G1601" s="248"/>
      <c r="H1601" s="249"/>
      <c r="I1601" s="249"/>
      <c r="J1601" s="248"/>
      <c r="K1601" s="249">
        <v>1</v>
      </c>
      <c r="L1601" s="250"/>
    </row>
    <row r="1602" spans="1:18" s="166" customFormat="1" ht="20.100000000000001" customHeight="1" x14ac:dyDescent="0.25">
      <c r="A1602" s="245"/>
      <c r="B1602" s="246" t="s">
        <v>1553</v>
      </c>
      <c r="C1602" s="246"/>
      <c r="D1602" s="246"/>
      <c r="E1602" s="246"/>
      <c r="F1602" s="247"/>
      <c r="G1602" s="248"/>
      <c r="H1602" s="249"/>
      <c r="I1602" s="249"/>
      <c r="J1602" s="248"/>
      <c r="K1602" s="249">
        <v>1</v>
      </c>
      <c r="L1602" s="250"/>
    </row>
    <row r="1603" spans="1:18" s="149" customFormat="1" ht="20.100000000000001" customHeight="1" x14ac:dyDescent="0.25">
      <c r="A1603" s="245"/>
      <c r="B1603" s="246" t="s">
        <v>1603</v>
      </c>
      <c r="C1603" s="246"/>
      <c r="D1603" s="246"/>
      <c r="E1603" s="246"/>
      <c r="F1603" s="247"/>
      <c r="G1603" s="248"/>
      <c r="H1603" s="249"/>
      <c r="I1603" s="249"/>
      <c r="J1603" s="248"/>
      <c r="K1603" s="249">
        <v>1</v>
      </c>
      <c r="L1603" s="250"/>
    </row>
    <row r="1604" spans="1:18" s="149" customFormat="1" ht="20.100000000000001" customHeight="1" x14ac:dyDescent="0.25">
      <c r="A1604" s="245"/>
      <c r="B1604" s="246" t="s">
        <v>1604</v>
      </c>
      <c r="C1604" s="246"/>
      <c r="D1604" s="246"/>
      <c r="E1604" s="246"/>
      <c r="F1604" s="247"/>
      <c r="G1604" s="248"/>
      <c r="H1604" s="249"/>
      <c r="I1604" s="249"/>
      <c r="J1604" s="248"/>
      <c r="K1604" s="249">
        <v>1</v>
      </c>
      <c r="L1604" s="250"/>
    </row>
    <row r="1605" spans="1:18" s="166" customFormat="1" ht="20.100000000000001" customHeight="1" x14ac:dyDescent="0.25">
      <c r="A1605" s="245"/>
      <c r="B1605" s="246" t="s">
        <v>1605</v>
      </c>
      <c r="C1605" s="246"/>
      <c r="D1605" s="246"/>
      <c r="E1605" s="246"/>
      <c r="F1605" s="247"/>
      <c r="G1605" s="248"/>
      <c r="H1605" s="249"/>
      <c r="I1605" s="249"/>
      <c r="J1605" s="248"/>
      <c r="K1605" s="249">
        <v>1</v>
      </c>
      <c r="L1605" s="250"/>
    </row>
    <row r="1606" spans="1:18" s="166" customFormat="1" ht="20.100000000000001" customHeight="1" x14ac:dyDescent="0.25">
      <c r="A1606" s="245"/>
      <c r="B1606" s="246" t="s">
        <v>1606</v>
      </c>
      <c r="C1606" s="246"/>
      <c r="D1606" s="246"/>
      <c r="E1606" s="246"/>
      <c r="F1606" s="247"/>
      <c r="G1606" s="248"/>
      <c r="H1606" s="249"/>
      <c r="I1606" s="249"/>
      <c r="J1606" s="248"/>
      <c r="K1606" s="249">
        <v>1</v>
      </c>
      <c r="L1606" s="250"/>
    </row>
    <row r="1607" spans="1:18" s="149" customFormat="1" ht="20.100000000000001" customHeight="1" x14ac:dyDescent="0.25">
      <c r="A1607" s="245"/>
      <c r="B1607" s="246" t="s">
        <v>1607</v>
      </c>
      <c r="C1607" s="246"/>
      <c r="D1607" s="246"/>
      <c r="E1607" s="246"/>
      <c r="F1607" s="247"/>
      <c r="G1607" s="248"/>
      <c r="H1607" s="249"/>
      <c r="I1607" s="249"/>
      <c r="J1607" s="248"/>
      <c r="K1607" s="249">
        <v>1</v>
      </c>
      <c r="L1607" s="250"/>
    </row>
    <row r="1608" spans="1:18" s="149" customFormat="1" ht="20.100000000000001" customHeight="1" x14ac:dyDescent="0.25">
      <c r="A1608" s="245"/>
      <c r="B1608" s="246" t="s">
        <v>1608</v>
      </c>
      <c r="C1608" s="246"/>
      <c r="D1608" s="246"/>
      <c r="E1608" s="246"/>
      <c r="F1608" s="247"/>
      <c r="G1608" s="248"/>
      <c r="H1608" s="249"/>
      <c r="I1608" s="249"/>
      <c r="J1608" s="248"/>
      <c r="K1608" s="249">
        <v>1</v>
      </c>
      <c r="L1608" s="250"/>
    </row>
    <row r="1609" spans="1:18" s="166" customFormat="1" ht="20.100000000000001" customHeight="1" x14ac:dyDescent="0.25">
      <c r="A1609" s="245"/>
      <c r="B1609" s="246" t="s">
        <v>1609</v>
      </c>
      <c r="C1609" s="246"/>
      <c r="D1609" s="246"/>
      <c r="E1609" s="246"/>
      <c r="F1609" s="247"/>
      <c r="G1609" s="248"/>
      <c r="H1609" s="249"/>
      <c r="I1609" s="249"/>
      <c r="J1609" s="248"/>
      <c r="K1609" s="249">
        <v>1</v>
      </c>
      <c r="L1609" s="250"/>
    </row>
    <row r="1610" spans="1:18" s="166" customFormat="1" ht="20.100000000000001" customHeight="1" x14ac:dyDescent="0.25">
      <c r="A1610" s="245"/>
      <c r="B1610" s="246" t="s">
        <v>1580</v>
      </c>
      <c r="C1610" s="246"/>
      <c r="D1610" s="246"/>
      <c r="E1610" s="246"/>
      <c r="F1610" s="247"/>
      <c r="G1610" s="248"/>
      <c r="H1610" s="249"/>
      <c r="I1610" s="249"/>
      <c r="J1610" s="248"/>
      <c r="K1610" s="249">
        <v>1</v>
      </c>
      <c r="L1610" s="250"/>
    </row>
    <row r="1611" spans="1:18" s="149" customFormat="1" ht="20.100000000000001" customHeight="1" x14ac:dyDescent="0.25">
      <c r="A1611" s="245"/>
      <c r="B1611" s="246" t="s">
        <v>1610</v>
      </c>
      <c r="C1611" s="246"/>
      <c r="D1611" s="246"/>
      <c r="E1611" s="246"/>
      <c r="F1611" s="247"/>
      <c r="G1611" s="248"/>
      <c r="H1611" s="249"/>
      <c r="I1611" s="249"/>
      <c r="J1611" s="248"/>
      <c r="K1611" s="249">
        <v>1</v>
      </c>
      <c r="L1611" s="250"/>
    </row>
    <row r="1612" spans="1:18" s="149" customFormat="1" ht="20.100000000000001" customHeight="1" x14ac:dyDescent="0.25">
      <c r="A1612" s="245"/>
      <c r="B1612" s="246" t="s">
        <v>1453</v>
      </c>
      <c r="C1612" s="246"/>
      <c r="D1612" s="246"/>
      <c r="E1612" s="246"/>
      <c r="F1612" s="247"/>
      <c r="G1612" s="248"/>
      <c r="H1612" s="249"/>
      <c r="I1612" s="249"/>
      <c r="J1612" s="248"/>
      <c r="K1612" s="249">
        <v>1</v>
      </c>
      <c r="L1612" s="250"/>
    </row>
    <row r="1613" spans="1:18" s="166" customFormat="1" ht="20.100000000000001" customHeight="1" x14ac:dyDescent="0.25">
      <c r="A1613" s="245"/>
      <c r="B1613" s="246" t="s">
        <v>1611</v>
      </c>
      <c r="C1613" s="246"/>
      <c r="D1613" s="246"/>
      <c r="E1613" s="246"/>
      <c r="F1613" s="247"/>
      <c r="G1613" s="248"/>
      <c r="H1613" s="249"/>
      <c r="I1613" s="249"/>
      <c r="J1613" s="248"/>
      <c r="K1613" s="249">
        <v>1</v>
      </c>
      <c r="L1613" s="250"/>
    </row>
    <row r="1614" spans="1:18" s="154" customFormat="1" ht="20.100000000000001" customHeight="1" x14ac:dyDescent="0.25">
      <c r="A1614" s="245"/>
      <c r="B1614" s="246" t="s">
        <v>1455</v>
      </c>
      <c r="C1614" s="246"/>
      <c r="D1614" s="246"/>
      <c r="E1614" s="246"/>
      <c r="F1614" s="247"/>
      <c r="G1614" s="248"/>
      <c r="H1614" s="249"/>
      <c r="I1614" s="249"/>
      <c r="J1614" s="248"/>
      <c r="K1614" s="249">
        <v>1</v>
      </c>
      <c r="L1614" s="250"/>
      <c r="M1614" s="149"/>
      <c r="N1614" s="149"/>
      <c r="O1614" s="149"/>
      <c r="P1614" s="149"/>
      <c r="Q1614" s="149"/>
      <c r="R1614" s="149"/>
    </row>
    <row r="1615" spans="1:18" s="170" customFormat="1" ht="20.100000000000001" customHeight="1" x14ac:dyDescent="0.25">
      <c r="A1615" s="245"/>
      <c r="B1615" s="246" t="s">
        <v>1612</v>
      </c>
      <c r="C1615" s="246"/>
      <c r="D1615" s="246"/>
      <c r="E1615" s="246"/>
      <c r="F1615" s="247"/>
      <c r="G1615" s="248"/>
      <c r="H1615" s="249"/>
      <c r="I1615" s="249"/>
      <c r="J1615" s="248"/>
      <c r="K1615" s="249">
        <v>1</v>
      </c>
      <c r="L1615" s="250"/>
      <c r="M1615" s="149"/>
      <c r="N1615" s="131"/>
      <c r="O1615" s="131"/>
      <c r="P1615" s="131"/>
      <c r="Q1615" s="131"/>
      <c r="R1615" s="131"/>
    </row>
    <row r="1616" spans="1:18" s="170" customFormat="1" ht="20.100000000000001" customHeight="1" x14ac:dyDescent="0.25">
      <c r="A1616" s="245"/>
      <c r="B1616" s="246" t="s">
        <v>1613</v>
      </c>
      <c r="C1616" s="246"/>
      <c r="D1616" s="246"/>
      <c r="E1616" s="246"/>
      <c r="F1616" s="247"/>
      <c r="G1616" s="248"/>
      <c r="H1616" s="249"/>
      <c r="I1616" s="249"/>
      <c r="J1616" s="248"/>
      <c r="K1616" s="249">
        <v>1</v>
      </c>
      <c r="L1616" s="250"/>
      <c r="M1616" s="149"/>
      <c r="N1616" s="131"/>
      <c r="O1616" s="131"/>
      <c r="P1616" s="131"/>
      <c r="Q1616" s="131"/>
      <c r="R1616" s="131"/>
    </row>
    <row r="1617" spans="1:18" s="170" customFormat="1" ht="20.100000000000001" customHeight="1" x14ac:dyDescent="0.25">
      <c r="A1617" s="245"/>
      <c r="B1617" s="246" t="s">
        <v>1614</v>
      </c>
      <c r="C1617" s="246"/>
      <c r="D1617" s="246"/>
      <c r="E1617" s="246"/>
      <c r="F1617" s="247"/>
      <c r="G1617" s="248"/>
      <c r="H1617" s="249"/>
      <c r="I1617" s="249"/>
      <c r="J1617" s="248"/>
      <c r="K1617" s="249">
        <v>1</v>
      </c>
      <c r="L1617" s="250"/>
      <c r="M1617" s="149"/>
      <c r="N1617" s="131"/>
      <c r="O1617" s="131"/>
      <c r="P1617" s="131"/>
      <c r="Q1617" s="131"/>
      <c r="R1617" s="131"/>
    </row>
    <row r="1618" spans="1:18" s="170" customFormat="1" ht="20.100000000000001" customHeight="1" x14ac:dyDescent="0.25">
      <c r="A1618" s="245"/>
      <c r="B1618" s="246" t="s">
        <v>1615</v>
      </c>
      <c r="C1618" s="246"/>
      <c r="D1618" s="246"/>
      <c r="E1618" s="246"/>
      <c r="F1618" s="247"/>
      <c r="G1618" s="248"/>
      <c r="H1618" s="249"/>
      <c r="I1618" s="249"/>
      <c r="J1618" s="248"/>
      <c r="K1618" s="249">
        <v>1</v>
      </c>
      <c r="L1618" s="250"/>
      <c r="M1618" s="149"/>
      <c r="N1618" s="131"/>
      <c r="O1618" s="131"/>
      <c r="P1618" s="131"/>
      <c r="Q1618" s="131"/>
      <c r="R1618" s="131"/>
    </row>
    <row r="1619" spans="1:18" s="154" customFormat="1" ht="20.100000000000001" customHeight="1" x14ac:dyDescent="0.25">
      <c r="A1619" s="475" t="s">
        <v>1409</v>
      </c>
      <c r="B1619" s="476"/>
      <c r="C1619" s="476"/>
      <c r="D1619" s="476"/>
      <c r="E1619" s="476"/>
      <c r="F1619" s="476"/>
      <c r="G1619" s="476"/>
      <c r="H1619" s="476"/>
      <c r="I1619" s="476"/>
      <c r="J1619" s="476"/>
      <c r="K1619" s="477"/>
      <c r="L1619" s="250"/>
      <c r="M1619" s="149"/>
      <c r="N1619" s="149"/>
      <c r="O1619" s="149"/>
      <c r="P1619" s="149"/>
      <c r="Q1619" s="149"/>
      <c r="R1619" s="149"/>
    </row>
    <row r="1620" spans="1:18" s="149" customFormat="1" x14ac:dyDescent="0.25">
      <c r="A1620" s="245"/>
      <c r="B1620" s="246" t="s">
        <v>1556</v>
      </c>
      <c r="C1620" s="246"/>
      <c r="D1620" s="246"/>
      <c r="E1620" s="246"/>
      <c r="F1620" s="247"/>
      <c r="G1620" s="248"/>
      <c r="H1620" s="249"/>
      <c r="I1620" s="249"/>
      <c r="J1620" s="248"/>
      <c r="K1620" s="249">
        <v>1</v>
      </c>
      <c r="L1620" s="250"/>
    </row>
    <row r="1621" spans="1:18" s="149" customFormat="1" x14ac:dyDescent="0.25">
      <c r="A1621" s="245"/>
      <c r="B1621" s="246" t="s">
        <v>811</v>
      </c>
      <c r="C1621" s="246"/>
      <c r="D1621" s="246"/>
      <c r="E1621" s="246"/>
      <c r="F1621" s="247"/>
      <c r="G1621" s="248"/>
      <c r="H1621" s="249"/>
      <c r="I1621" s="249"/>
      <c r="J1621" s="248"/>
      <c r="K1621" s="249">
        <v>1</v>
      </c>
      <c r="L1621" s="250"/>
    </row>
    <row r="1622" spans="1:18" s="149" customFormat="1" x14ac:dyDescent="0.25">
      <c r="A1622" s="245"/>
      <c r="B1622" s="246" t="s">
        <v>1673</v>
      </c>
      <c r="C1622" s="246"/>
      <c r="D1622" s="246"/>
      <c r="E1622" s="246"/>
      <c r="F1622" s="247"/>
      <c r="G1622" s="248"/>
      <c r="H1622" s="249"/>
      <c r="I1622" s="249"/>
      <c r="J1622" s="248"/>
      <c r="K1622" s="249">
        <v>1</v>
      </c>
      <c r="L1622" s="250"/>
    </row>
    <row r="1623" spans="1:18" s="149" customFormat="1" x14ac:dyDescent="0.25">
      <c r="A1623" s="245"/>
      <c r="B1623" s="246" t="s">
        <v>1674</v>
      </c>
      <c r="C1623" s="246"/>
      <c r="D1623" s="246"/>
      <c r="E1623" s="246"/>
      <c r="F1623" s="247"/>
      <c r="G1623" s="248"/>
      <c r="H1623" s="249"/>
      <c r="I1623" s="249"/>
      <c r="J1623" s="248"/>
      <c r="K1623" s="249">
        <v>1</v>
      </c>
      <c r="L1623" s="250"/>
    </row>
    <row r="1624" spans="1:18" s="166" customFormat="1" x14ac:dyDescent="0.25">
      <c r="A1624" s="245"/>
      <c r="B1624" s="246" t="s">
        <v>813</v>
      </c>
      <c r="C1624" s="246"/>
      <c r="D1624" s="246"/>
      <c r="E1624" s="246"/>
      <c r="F1624" s="247"/>
      <c r="G1624" s="248"/>
      <c r="H1624" s="249"/>
      <c r="I1624" s="249"/>
      <c r="J1624" s="248"/>
      <c r="K1624" s="249">
        <v>1</v>
      </c>
      <c r="L1624" s="250"/>
    </row>
    <row r="1625" spans="1:18" s="166" customFormat="1" x14ac:dyDescent="0.25">
      <c r="A1625" s="245"/>
      <c r="B1625" s="246" t="s">
        <v>1675</v>
      </c>
      <c r="C1625" s="246"/>
      <c r="D1625" s="246"/>
      <c r="E1625" s="246"/>
      <c r="F1625" s="247"/>
      <c r="G1625" s="248"/>
      <c r="H1625" s="249"/>
      <c r="I1625" s="249"/>
      <c r="J1625" s="248"/>
      <c r="K1625" s="249">
        <v>1</v>
      </c>
      <c r="L1625" s="250"/>
    </row>
    <row r="1626" spans="1:18" s="149" customFormat="1" x14ac:dyDescent="0.25">
      <c r="A1626" s="245"/>
      <c r="B1626" s="246" t="s">
        <v>1558</v>
      </c>
      <c r="C1626" s="246"/>
      <c r="D1626" s="246"/>
      <c r="E1626" s="246"/>
      <c r="F1626" s="247"/>
      <c r="G1626" s="248"/>
      <c r="H1626" s="249"/>
      <c r="I1626" s="249"/>
      <c r="J1626" s="248"/>
      <c r="K1626" s="249">
        <v>1</v>
      </c>
      <c r="L1626" s="250"/>
    </row>
    <row r="1627" spans="1:18" s="149" customFormat="1" x14ac:dyDescent="0.25">
      <c r="A1627" s="245"/>
      <c r="B1627" s="246" t="s">
        <v>1558</v>
      </c>
      <c r="C1627" s="246"/>
      <c r="D1627" s="246"/>
      <c r="E1627" s="246"/>
      <c r="F1627" s="247"/>
      <c r="G1627" s="248"/>
      <c r="H1627" s="249"/>
      <c r="I1627" s="249"/>
      <c r="J1627" s="248"/>
      <c r="K1627" s="249">
        <v>1</v>
      </c>
      <c r="L1627" s="250"/>
    </row>
    <row r="1628" spans="1:18" s="166" customFormat="1" x14ac:dyDescent="0.25">
      <c r="A1628" s="245"/>
      <c r="B1628" s="246" t="s">
        <v>1676</v>
      </c>
      <c r="C1628" s="246"/>
      <c r="D1628" s="246"/>
      <c r="E1628" s="246"/>
      <c r="F1628" s="247"/>
      <c r="G1628" s="248"/>
      <c r="H1628" s="249"/>
      <c r="I1628" s="249"/>
      <c r="J1628" s="248"/>
      <c r="K1628" s="249">
        <v>1</v>
      </c>
      <c r="L1628" s="250"/>
    </row>
    <row r="1629" spans="1:18" s="166" customFormat="1" x14ac:dyDescent="0.25">
      <c r="A1629" s="245"/>
      <c r="B1629" s="246" t="s">
        <v>1558</v>
      </c>
      <c r="C1629" s="246"/>
      <c r="D1629" s="246"/>
      <c r="E1629" s="246"/>
      <c r="F1629" s="247"/>
      <c r="G1629" s="248"/>
      <c r="H1629" s="249"/>
      <c r="I1629" s="249"/>
      <c r="J1629" s="248"/>
      <c r="K1629" s="249">
        <v>1</v>
      </c>
      <c r="L1629" s="250"/>
    </row>
    <row r="1630" spans="1:18" s="149" customFormat="1" x14ac:dyDescent="0.25">
      <c r="A1630" s="245"/>
      <c r="B1630" s="246" t="s">
        <v>1558</v>
      </c>
      <c r="C1630" s="246"/>
      <c r="D1630" s="246"/>
      <c r="E1630" s="246"/>
      <c r="F1630" s="247"/>
      <c r="G1630" s="248"/>
      <c r="H1630" s="249"/>
      <c r="I1630" s="249"/>
      <c r="J1630" s="248"/>
      <c r="K1630" s="249">
        <v>1</v>
      </c>
      <c r="L1630" s="250"/>
    </row>
    <row r="1631" spans="1:18" s="149" customFormat="1" x14ac:dyDescent="0.25">
      <c r="A1631" s="245"/>
      <c r="B1631" s="246" t="s">
        <v>1677</v>
      </c>
      <c r="C1631" s="246"/>
      <c r="D1631" s="246"/>
      <c r="E1631" s="246"/>
      <c r="F1631" s="247"/>
      <c r="G1631" s="248"/>
      <c r="H1631" s="249"/>
      <c r="I1631" s="249"/>
      <c r="J1631" s="248"/>
      <c r="K1631" s="249">
        <v>1</v>
      </c>
      <c r="L1631" s="250"/>
    </row>
    <row r="1632" spans="1:18" s="166" customFormat="1" x14ac:dyDescent="0.25">
      <c r="A1632" s="245"/>
      <c r="B1632" s="246" t="s">
        <v>1702</v>
      </c>
      <c r="C1632" s="246"/>
      <c r="D1632" s="246"/>
      <c r="E1632" s="246"/>
      <c r="F1632" s="247"/>
      <c r="G1632" s="248"/>
      <c r="H1632" s="249"/>
      <c r="I1632" s="249"/>
      <c r="J1632" s="248"/>
      <c r="K1632" s="249">
        <v>1</v>
      </c>
      <c r="L1632" s="250"/>
    </row>
    <row r="1633" spans="1:18" s="166" customFormat="1" x14ac:dyDescent="0.25">
      <c r="A1633" s="245"/>
      <c r="B1633" s="246" t="s">
        <v>1678</v>
      </c>
      <c r="C1633" s="246"/>
      <c r="D1633" s="246"/>
      <c r="E1633" s="246"/>
      <c r="F1633" s="247"/>
      <c r="G1633" s="248"/>
      <c r="H1633" s="249"/>
      <c r="I1633" s="249"/>
      <c r="J1633" s="248"/>
      <c r="K1633" s="249">
        <v>1</v>
      </c>
      <c r="L1633" s="250"/>
    </row>
    <row r="1634" spans="1:18" s="149" customFormat="1" x14ac:dyDescent="0.25">
      <c r="A1634" s="245"/>
      <c r="B1634" s="246" t="s">
        <v>1679</v>
      </c>
      <c r="C1634" s="246"/>
      <c r="D1634" s="246"/>
      <c r="E1634" s="246"/>
      <c r="F1634" s="247"/>
      <c r="G1634" s="248"/>
      <c r="H1634" s="249"/>
      <c r="I1634" s="249"/>
      <c r="J1634" s="248"/>
      <c r="K1634" s="249">
        <v>1</v>
      </c>
      <c r="L1634" s="250"/>
    </row>
    <row r="1635" spans="1:18" s="149" customFormat="1" x14ac:dyDescent="0.25">
      <c r="A1635" s="245"/>
      <c r="B1635" s="246" t="s">
        <v>1680</v>
      </c>
      <c r="C1635" s="246"/>
      <c r="D1635" s="246"/>
      <c r="E1635" s="246"/>
      <c r="F1635" s="247"/>
      <c r="G1635" s="248"/>
      <c r="H1635" s="249"/>
      <c r="I1635" s="249"/>
      <c r="J1635" s="248"/>
      <c r="K1635" s="249">
        <v>1</v>
      </c>
      <c r="L1635" s="250"/>
    </row>
    <row r="1636" spans="1:18" s="154" customFormat="1" ht="20.100000000000001" customHeight="1" x14ac:dyDescent="0.25">
      <c r="A1636" s="475" t="s">
        <v>1411</v>
      </c>
      <c r="B1636" s="476"/>
      <c r="C1636" s="476"/>
      <c r="D1636" s="476"/>
      <c r="E1636" s="476"/>
      <c r="F1636" s="476"/>
      <c r="G1636" s="476"/>
      <c r="H1636" s="476"/>
      <c r="I1636" s="476"/>
      <c r="J1636" s="476"/>
      <c r="K1636" s="477"/>
      <c r="L1636" s="250"/>
      <c r="M1636" s="149"/>
      <c r="N1636" s="149"/>
      <c r="O1636" s="149"/>
      <c r="P1636" s="149"/>
      <c r="Q1636" s="149"/>
      <c r="R1636" s="149"/>
    </row>
    <row r="1637" spans="1:18" s="154" customFormat="1" ht="20.100000000000001" customHeight="1" x14ac:dyDescent="0.25">
      <c r="A1637" s="267"/>
      <c r="B1637" s="246" t="s">
        <v>1466</v>
      </c>
      <c r="C1637" s="271"/>
      <c r="D1637" s="271"/>
      <c r="E1637" s="271"/>
      <c r="F1637" s="271"/>
      <c r="G1637" s="271"/>
      <c r="H1637" s="271"/>
      <c r="I1637" s="136"/>
      <c r="J1637" s="271"/>
      <c r="K1637" s="249">
        <v>1</v>
      </c>
      <c r="L1637" s="250"/>
      <c r="M1637" s="149"/>
      <c r="N1637" s="149"/>
      <c r="O1637" s="149"/>
      <c r="P1637" s="149"/>
      <c r="Q1637" s="149"/>
      <c r="R1637" s="149"/>
    </row>
    <row r="1638" spans="1:18" s="154" customFormat="1" ht="20.100000000000001" customHeight="1" x14ac:dyDescent="0.25">
      <c r="A1638" s="267"/>
      <c r="B1638" s="246" t="s">
        <v>1467</v>
      </c>
      <c r="C1638" s="271"/>
      <c r="D1638" s="271"/>
      <c r="E1638" s="271"/>
      <c r="F1638" s="271"/>
      <c r="G1638" s="271"/>
      <c r="H1638" s="271"/>
      <c r="I1638" s="136"/>
      <c r="J1638" s="271"/>
      <c r="K1638" s="249">
        <v>1</v>
      </c>
      <c r="L1638" s="250"/>
      <c r="M1638" s="149"/>
      <c r="N1638" s="149"/>
      <c r="O1638" s="149"/>
      <c r="P1638" s="149"/>
      <c r="Q1638" s="149"/>
      <c r="R1638" s="149"/>
    </row>
    <row r="1639" spans="1:18" s="154" customFormat="1" ht="20.100000000000001" customHeight="1" x14ac:dyDescent="0.25">
      <c r="A1639" s="267"/>
      <c r="B1639" s="246" t="s">
        <v>1681</v>
      </c>
      <c r="C1639" s="271"/>
      <c r="D1639" s="271"/>
      <c r="E1639" s="271"/>
      <c r="F1639" s="271"/>
      <c r="G1639" s="271"/>
      <c r="H1639" s="271"/>
      <c r="I1639" s="136"/>
      <c r="J1639" s="271"/>
      <c r="K1639" s="249">
        <v>1</v>
      </c>
      <c r="L1639" s="250"/>
      <c r="M1639" s="149"/>
      <c r="N1639" s="149"/>
      <c r="O1639" s="149"/>
      <c r="P1639" s="149"/>
      <c r="Q1639" s="149"/>
      <c r="R1639" s="149"/>
    </row>
    <row r="1640" spans="1:18" s="154" customFormat="1" ht="20.100000000000001" customHeight="1" x14ac:dyDescent="0.25">
      <c r="A1640" s="267"/>
      <c r="B1640" s="246" t="s">
        <v>813</v>
      </c>
      <c r="C1640" s="271"/>
      <c r="D1640" s="271"/>
      <c r="E1640" s="271"/>
      <c r="F1640" s="271"/>
      <c r="G1640" s="271"/>
      <c r="H1640" s="271"/>
      <c r="I1640" s="136"/>
      <c r="J1640" s="271"/>
      <c r="K1640" s="249">
        <v>1</v>
      </c>
      <c r="L1640" s="250"/>
      <c r="M1640" s="149"/>
      <c r="N1640" s="149"/>
      <c r="O1640" s="149"/>
      <c r="P1640" s="149"/>
      <c r="Q1640" s="149"/>
      <c r="R1640" s="149"/>
    </row>
    <row r="1641" spans="1:18" s="154" customFormat="1" ht="20.100000000000001" customHeight="1" x14ac:dyDescent="0.25">
      <c r="A1641" s="267"/>
      <c r="B1641" s="246" t="s">
        <v>1682</v>
      </c>
      <c r="C1641" s="271"/>
      <c r="D1641" s="271"/>
      <c r="E1641" s="271"/>
      <c r="F1641" s="271"/>
      <c r="G1641" s="271"/>
      <c r="H1641" s="271"/>
      <c r="I1641" s="249"/>
      <c r="J1641" s="271"/>
      <c r="K1641" s="249">
        <v>1</v>
      </c>
      <c r="L1641" s="250"/>
      <c r="M1641" s="149"/>
      <c r="N1641" s="149"/>
      <c r="O1641" s="149"/>
      <c r="P1641" s="149"/>
      <c r="Q1641" s="149"/>
      <c r="R1641" s="149"/>
    </row>
    <row r="1642" spans="1:18" s="154" customFormat="1" ht="20.100000000000001" customHeight="1" x14ac:dyDescent="0.25">
      <c r="A1642" s="267"/>
      <c r="B1642" s="246" t="s">
        <v>1665</v>
      </c>
      <c r="C1642" s="271"/>
      <c r="D1642" s="271"/>
      <c r="E1642" s="271"/>
      <c r="F1642" s="271"/>
      <c r="G1642" s="271"/>
      <c r="H1642" s="271"/>
      <c r="I1642" s="249"/>
      <c r="J1642" s="271"/>
      <c r="K1642" s="249">
        <v>1</v>
      </c>
      <c r="L1642" s="250"/>
      <c r="M1642" s="149"/>
      <c r="N1642" s="149"/>
      <c r="O1642" s="149"/>
      <c r="P1642" s="149"/>
      <c r="Q1642" s="149"/>
      <c r="R1642" s="149"/>
    </row>
    <row r="1643" spans="1:18" s="154" customFormat="1" ht="20.100000000000001" customHeight="1" x14ac:dyDescent="0.25">
      <c r="A1643" s="267"/>
      <c r="B1643" s="246" t="s">
        <v>1469</v>
      </c>
      <c r="C1643" s="271"/>
      <c r="D1643" s="271"/>
      <c r="E1643" s="271"/>
      <c r="F1643" s="271"/>
      <c r="G1643" s="271"/>
      <c r="H1643" s="271"/>
      <c r="I1643" s="249"/>
      <c r="J1643" s="271"/>
      <c r="K1643" s="249">
        <v>1</v>
      </c>
      <c r="L1643" s="250"/>
      <c r="M1643" s="149"/>
      <c r="N1643" s="149"/>
      <c r="O1643" s="149"/>
      <c r="P1643" s="149"/>
      <c r="Q1643" s="149"/>
      <c r="R1643" s="149"/>
    </row>
    <row r="1644" spans="1:18" s="154" customFormat="1" ht="20.100000000000001" customHeight="1" x14ac:dyDescent="0.25">
      <c r="A1644" s="267"/>
      <c r="B1644" s="246" t="s">
        <v>1664</v>
      </c>
      <c r="C1644" s="271"/>
      <c r="D1644" s="271"/>
      <c r="E1644" s="271"/>
      <c r="F1644" s="271"/>
      <c r="G1644" s="271"/>
      <c r="H1644" s="271"/>
      <c r="I1644" s="249"/>
      <c r="J1644" s="271"/>
      <c r="K1644" s="249">
        <v>1</v>
      </c>
      <c r="L1644" s="250"/>
      <c r="M1644" s="149"/>
      <c r="N1644" s="149"/>
      <c r="O1644" s="149"/>
      <c r="P1644" s="149"/>
      <c r="Q1644" s="149"/>
      <c r="R1644" s="149"/>
    </row>
    <row r="1645" spans="1:18" s="154" customFormat="1" ht="20.100000000000001" customHeight="1" x14ac:dyDescent="0.25">
      <c r="A1645" s="267"/>
      <c r="B1645" s="246" t="s">
        <v>1683</v>
      </c>
      <c r="C1645" s="271"/>
      <c r="D1645" s="271"/>
      <c r="E1645" s="271"/>
      <c r="F1645" s="271"/>
      <c r="G1645" s="271"/>
      <c r="H1645" s="271"/>
      <c r="I1645" s="249"/>
      <c r="J1645" s="271"/>
      <c r="K1645" s="249">
        <v>1</v>
      </c>
      <c r="L1645" s="250"/>
      <c r="M1645" s="149"/>
      <c r="N1645" s="149"/>
      <c r="O1645" s="149"/>
      <c r="P1645" s="149"/>
      <c r="Q1645" s="149"/>
      <c r="R1645" s="149"/>
    </row>
    <row r="1646" spans="1:18" s="154" customFormat="1" ht="20.100000000000001" customHeight="1" x14ac:dyDescent="0.25">
      <c r="A1646" s="267"/>
      <c r="B1646" s="246" t="s">
        <v>1684</v>
      </c>
      <c r="C1646" s="271"/>
      <c r="D1646" s="271"/>
      <c r="E1646" s="271"/>
      <c r="F1646" s="271"/>
      <c r="G1646" s="271"/>
      <c r="H1646" s="271"/>
      <c r="I1646" s="249"/>
      <c r="J1646" s="271"/>
      <c r="K1646" s="249">
        <v>1</v>
      </c>
      <c r="L1646" s="250"/>
      <c r="M1646" s="149"/>
      <c r="N1646" s="149"/>
      <c r="O1646" s="149"/>
      <c r="P1646" s="149"/>
      <c r="Q1646" s="149"/>
      <c r="R1646" s="149"/>
    </row>
    <row r="1647" spans="1:18" s="154" customFormat="1" ht="20.100000000000001" customHeight="1" x14ac:dyDescent="0.25">
      <c r="A1647" s="267"/>
      <c r="B1647" s="246" t="s">
        <v>1685</v>
      </c>
      <c r="C1647" s="271"/>
      <c r="D1647" s="271"/>
      <c r="E1647" s="271"/>
      <c r="F1647" s="271"/>
      <c r="G1647" s="271"/>
      <c r="H1647" s="271"/>
      <c r="I1647" s="249"/>
      <c r="J1647" s="271"/>
      <c r="K1647" s="249">
        <v>1</v>
      </c>
      <c r="L1647" s="250"/>
      <c r="M1647" s="149"/>
      <c r="N1647" s="149"/>
      <c r="O1647" s="149"/>
      <c r="P1647" s="149"/>
      <c r="Q1647" s="149"/>
      <c r="R1647" s="149"/>
    </row>
    <row r="1648" spans="1:18" s="154" customFormat="1" ht="20.100000000000001" customHeight="1" x14ac:dyDescent="0.25">
      <c r="A1648" s="267"/>
      <c r="B1648" s="246" t="s">
        <v>1686</v>
      </c>
      <c r="C1648" s="271"/>
      <c r="D1648" s="271"/>
      <c r="E1648" s="271"/>
      <c r="F1648" s="271"/>
      <c r="G1648" s="271"/>
      <c r="H1648" s="271"/>
      <c r="I1648" s="249"/>
      <c r="J1648" s="271"/>
      <c r="K1648" s="249">
        <v>1</v>
      </c>
      <c r="L1648" s="250"/>
      <c r="M1648" s="149"/>
      <c r="N1648" s="149"/>
      <c r="O1648" s="149"/>
      <c r="P1648" s="149"/>
      <c r="Q1648" s="149"/>
      <c r="R1648" s="149"/>
    </row>
    <row r="1649" spans="1:18" s="154" customFormat="1" ht="20.100000000000001" customHeight="1" x14ac:dyDescent="0.25">
      <c r="A1649" s="267"/>
      <c r="B1649" s="246" t="s">
        <v>813</v>
      </c>
      <c r="C1649" s="271"/>
      <c r="D1649" s="271"/>
      <c r="E1649" s="271"/>
      <c r="F1649" s="271"/>
      <c r="G1649" s="271"/>
      <c r="H1649" s="271"/>
      <c r="I1649" s="249"/>
      <c r="J1649" s="271"/>
      <c r="K1649" s="249">
        <v>1</v>
      </c>
      <c r="L1649" s="250"/>
      <c r="M1649" s="149"/>
      <c r="N1649" s="149"/>
      <c r="O1649" s="149"/>
      <c r="P1649" s="149"/>
      <c r="Q1649" s="149"/>
      <c r="R1649" s="149"/>
    </row>
    <row r="1650" spans="1:18" s="154" customFormat="1" ht="20.100000000000001" customHeight="1" x14ac:dyDescent="0.25">
      <c r="A1650" s="267"/>
      <c r="B1650" s="246" t="s">
        <v>1584</v>
      </c>
      <c r="C1650" s="271"/>
      <c r="D1650" s="271"/>
      <c r="E1650" s="271"/>
      <c r="F1650" s="271"/>
      <c r="G1650" s="271"/>
      <c r="H1650" s="271"/>
      <c r="I1650" s="249"/>
      <c r="J1650" s="271"/>
      <c r="K1650" s="249">
        <v>1</v>
      </c>
      <c r="L1650" s="250"/>
      <c r="M1650" s="149"/>
      <c r="N1650" s="149"/>
      <c r="O1650" s="149"/>
      <c r="P1650" s="149"/>
      <c r="Q1650" s="149"/>
      <c r="R1650" s="149"/>
    </row>
    <row r="1651" spans="1:18" s="154" customFormat="1" ht="20.100000000000001" customHeight="1" x14ac:dyDescent="0.25">
      <c r="A1651" s="267"/>
      <c r="B1651" s="246" t="s">
        <v>1620</v>
      </c>
      <c r="C1651" s="271"/>
      <c r="D1651" s="271"/>
      <c r="E1651" s="271"/>
      <c r="F1651" s="271"/>
      <c r="G1651" s="271"/>
      <c r="H1651" s="271"/>
      <c r="I1651" s="249"/>
      <c r="J1651" s="271"/>
      <c r="K1651" s="249">
        <v>1</v>
      </c>
      <c r="L1651" s="250"/>
      <c r="M1651" s="149"/>
      <c r="N1651" s="149"/>
      <c r="O1651" s="149"/>
      <c r="P1651" s="149"/>
      <c r="Q1651" s="149"/>
      <c r="R1651" s="149"/>
    </row>
    <row r="1652" spans="1:18" s="154" customFormat="1" ht="20.100000000000001" customHeight="1" x14ac:dyDescent="0.25">
      <c r="A1652" s="267"/>
      <c r="B1652" s="246" t="s">
        <v>1660</v>
      </c>
      <c r="C1652" s="271"/>
      <c r="D1652" s="271"/>
      <c r="E1652" s="271"/>
      <c r="F1652" s="271"/>
      <c r="G1652" s="271"/>
      <c r="H1652" s="271"/>
      <c r="I1652" s="249"/>
      <c r="J1652" s="271"/>
      <c r="K1652" s="249">
        <v>1</v>
      </c>
      <c r="L1652" s="250"/>
      <c r="M1652" s="149"/>
      <c r="N1652" s="149"/>
      <c r="O1652" s="149"/>
      <c r="P1652" s="149"/>
      <c r="Q1652" s="149"/>
      <c r="R1652" s="149"/>
    </row>
    <row r="1653" spans="1:18" s="154" customFormat="1" ht="20.100000000000001" customHeight="1" x14ac:dyDescent="0.25">
      <c r="A1653" s="267"/>
      <c r="B1653" s="246" t="s">
        <v>1658</v>
      </c>
      <c r="C1653" s="271"/>
      <c r="D1653" s="271"/>
      <c r="E1653" s="271"/>
      <c r="F1653" s="271"/>
      <c r="G1653" s="271"/>
      <c r="H1653" s="271"/>
      <c r="I1653" s="249"/>
      <c r="J1653" s="271"/>
      <c r="K1653" s="249">
        <v>1</v>
      </c>
      <c r="L1653" s="250"/>
      <c r="M1653" s="149"/>
      <c r="N1653" s="149"/>
      <c r="O1653" s="149"/>
      <c r="P1653" s="149"/>
      <c r="Q1653" s="149"/>
      <c r="R1653" s="149"/>
    </row>
    <row r="1654" spans="1:18" s="154" customFormat="1" ht="20.100000000000001" customHeight="1" x14ac:dyDescent="0.25">
      <c r="A1654" s="475" t="s">
        <v>1413</v>
      </c>
      <c r="B1654" s="476"/>
      <c r="C1654" s="476"/>
      <c r="D1654" s="476"/>
      <c r="E1654" s="476"/>
      <c r="F1654" s="476"/>
      <c r="G1654" s="476"/>
      <c r="H1654" s="476"/>
      <c r="I1654" s="476"/>
      <c r="J1654" s="476"/>
      <c r="K1654" s="477"/>
      <c r="L1654" s="250"/>
      <c r="M1654" s="149"/>
      <c r="N1654" s="149"/>
      <c r="O1654" s="149"/>
      <c r="P1654" s="149"/>
      <c r="Q1654" s="149"/>
      <c r="R1654" s="149"/>
    </row>
    <row r="1655" spans="1:18" s="166" customFormat="1" ht="20.100000000000001" customHeight="1" x14ac:dyDescent="0.25">
      <c r="A1655" s="245"/>
      <c r="B1655" s="246" t="s">
        <v>1568</v>
      </c>
      <c r="C1655" s="246"/>
      <c r="D1655" s="246"/>
      <c r="E1655" s="246"/>
      <c r="F1655" s="247"/>
      <c r="G1655" s="248"/>
      <c r="H1655" s="249"/>
      <c r="I1655" s="249"/>
      <c r="J1655" s="248"/>
      <c r="K1655" s="249">
        <v>1</v>
      </c>
      <c r="L1655" s="250"/>
      <c r="M1655" s="149"/>
    </row>
    <row r="1656" spans="1:18" s="166" customFormat="1" ht="20.100000000000001" customHeight="1" x14ac:dyDescent="0.25">
      <c r="A1656" s="245"/>
      <c r="B1656" s="246" t="s">
        <v>1568</v>
      </c>
      <c r="C1656" s="246"/>
      <c r="D1656" s="246"/>
      <c r="E1656" s="246"/>
      <c r="F1656" s="247"/>
      <c r="G1656" s="248"/>
      <c r="H1656" s="249"/>
      <c r="I1656" s="249"/>
      <c r="J1656" s="248"/>
      <c r="K1656" s="249">
        <v>1</v>
      </c>
      <c r="L1656" s="250"/>
      <c r="M1656" s="149"/>
    </row>
    <row r="1657" spans="1:18" s="166" customFormat="1" ht="20.100000000000001" customHeight="1" x14ac:dyDescent="0.25">
      <c r="A1657" s="245"/>
      <c r="B1657" s="246" t="s">
        <v>1568</v>
      </c>
      <c r="C1657" s="246"/>
      <c r="D1657" s="246"/>
      <c r="E1657" s="246"/>
      <c r="F1657" s="247"/>
      <c r="G1657" s="248"/>
      <c r="H1657" s="249"/>
      <c r="I1657" s="249"/>
      <c r="J1657" s="248"/>
      <c r="K1657" s="249">
        <v>1</v>
      </c>
      <c r="L1657" s="250"/>
      <c r="M1657" s="149"/>
    </row>
    <row r="1658" spans="1:18" s="166" customFormat="1" ht="20.100000000000001" customHeight="1" x14ac:dyDescent="0.25">
      <c r="A1658" s="245"/>
      <c r="B1658" s="246" t="s">
        <v>1568</v>
      </c>
      <c r="C1658" s="246"/>
      <c r="D1658" s="246"/>
      <c r="E1658" s="246"/>
      <c r="F1658" s="247"/>
      <c r="G1658" s="248"/>
      <c r="H1658" s="249"/>
      <c r="I1658" s="249"/>
      <c r="J1658" s="248"/>
      <c r="K1658" s="249">
        <v>1</v>
      </c>
      <c r="L1658" s="250"/>
      <c r="M1658" s="149"/>
    </row>
    <row r="1659" spans="1:18" s="166" customFormat="1" ht="20.100000000000001" customHeight="1" x14ac:dyDescent="0.25">
      <c r="A1659" s="245"/>
      <c r="B1659" s="246" t="s">
        <v>813</v>
      </c>
      <c r="C1659" s="246"/>
      <c r="D1659" s="246"/>
      <c r="E1659" s="246"/>
      <c r="F1659" s="247"/>
      <c r="G1659" s="248"/>
      <c r="H1659" s="249"/>
      <c r="I1659" s="249"/>
      <c r="J1659" s="248"/>
      <c r="K1659" s="249">
        <v>1</v>
      </c>
      <c r="L1659" s="250"/>
      <c r="M1659" s="149"/>
    </row>
    <row r="1660" spans="1:18" s="166" customFormat="1" ht="20.100000000000001" customHeight="1" x14ac:dyDescent="0.25">
      <c r="A1660" s="245"/>
      <c r="B1660" s="246" t="s">
        <v>1568</v>
      </c>
      <c r="C1660" s="246"/>
      <c r="D1660" s="246"/>
      <c r="E1660" s="246"/>
      <c r="F1660" s="247"/>
      <c r="G1660" s="248"/>
      <c r="H1660" s="249"/>
      <c r="I1660" s="249"/>
      <c r="J1660" s="248"/>
      <c r="K1660" s="249">
        <v>1</v>
      </c>
      <c r="L1660" s="250"/>
      <c r="M1660" s="149"/>
    </row>
    <row r="1661" spans="1:18" s="166" customFormat="1" ht="20.100000000000001" customHeight="1" x14ac:dyDescent="0.25">
      <c r="A1661" s="245"/>
      <c r="B1661" s="246" t="s">
        <v>1673</v>
      </c>
      <c r="C1661" s="246"/>
      <c r="D1661" s="246"/>
      <c r="E1661" s="246"/>
      <c r="F1661" s="247"/>
      <c r="G1661" s="248"/>
      <c r="H1661" s="249"/>
      <c r="I1661" s="249"/>
      <c r="J1661" s="248"/>
      <c r="K1661" s="249">
        <v>1</v>
      </c>
      <c r="L1661" s="250"/>
      <c r="M1661" s="149"/>
    </row>
    <row r="1662" spans="1:18" s="166" customFormat="1" ht="20.100000000000001" customHeight="1" x14ac:dyDescent="0.25">
      <c r="A1662" s="245"/>
      <c r="B1662" s="246" t="s">
        <v>1674</v>
      </c>
      <c r="C1662" s="246"/>
      <c r="D1662" s="246"/>
      <c r="E1662" s="246"/>
      <c r="F1662" s="247"/>
      <c r="G1662" s="248"/>
      <c r="H1662" s="249"/>
      <c r="I1662" s="249"/>
      <c r="J1662" s="248"/>
      <c r="K1662" s="249">
        <v>1</v>
      </c>
      <c r="L1662" s="250"/>
      <c r="M1662" s="149"/>
    </row>
    <row r="1663" spans="1:18" s="166" customFormat="1" ht="20.100000000000001" customHeight="1" x14ac:dyDescent="0.25">
      <c r="A1663" s="245"/>
      <c r="B1663" s="246" t="s">
        <v>1687</v>
      </c>
      <c r="C1663" s="246"/>
      <c r="D1663" s="246"/>
      <c r="E1663" s="246"/>
      <c r="F1663" s="247"/>
      <c r="G1663" s="248"/>
      <c r="H1663" s="249"/>
      <c r="I1663" s="249"/>
      <c r="J1663" s="248"/>
      <c r="K1663" s="249">
        <v>1</v>
      </c>
      <c r="L1663" s="250"/>
      <c r="M1663" s="149"/>
    </row>
    <row r="1664" spans="1:18" s="166" customFormat="1" ht="20.100000000000001" customHeight="1" x14ac:dyDescent="0.25">
      <c r="A1664" s="245"/>
      <c r="B1664" s="246" t="s">
        <v>1703</v>
      </c>
      <c r="C1664" s="246"/>
      <c r="D1664" s="246"/>
      <c r="E1664" s="246"/>
      <c r="F1664" s="247"/>
      <c r="G1664" s="248"/>
      <c r="H1664" s="249"/>
      <c r="I1664" s="249"/>
      <c r="J1664" s="248"/>
      <c r="K1664" s="249">
        <v>1</v>
      </c>
      <c r="L1664" s="250"/>
      <c r="M1664" s="149"/>
    </row>
    <row r="1665" spans="1:34" s="154" customFormat="1" ht="20.100000000000001" customHeight="1" x14ac:dyDescent="0.25">
      <c r="A1665" s="245"/>
      <c r="B1665" s="246" t="s">
        <v>1420</v>
      </c>
      <c r="C1665" s="246"/>
      <c r="D1665" s="246"/>
      <c r="E1665" s="246"/>
      <c r="F1665" s="247"/>
      <c r="G1665" s="248"/>
      <c r="I1665" s="249"/>
      <c r="J1665" s="248"/>
      <c r="K1665" s="249">
        <v>1</v>
      </c>
      <c r="L1665" s="250"/>
      <c r="M1665" s="149"/>
      <c r="N1665" s="149"/>
      <c r="O1665" s="149"/>
      <c r="P1665" s="149"/>
      <c r="Q1665" s="149"/>
      <c r="R1665" s="149"/>
    </row>
    <row r="1666" spans="1:34" s="154" customFormat="1" ht="20.100000000000001" customHeight="1" x14ac:dyDescent="0.25">
      <c r="A1666" s="245"/>
      <c r="B1666" s="246" t="s">
        <v>1569</v>
      </c>
      <c r="C1666" s="246"/>
      <c r="D1666" s="246"/>
      <c r="E1666" s="246"/>
      <c r="F1666" s="247"/>
      <c r="G1666" s="248"/>
      <c r="I1666" s="249"/>
      <c r="J1666" s="248"/>
      <c r="K1666" s="249">
        <v>1</v>
      </c>
      <c r="L1666" s="250"/>
      <c r="M1666" s="149"/>
      <c r="N1666" s="149"/>
      <c r="O1666" s="149"/>
      <c r="P1666" s="149"/>
      <c r="Q1666" s="149"/>
      <c r="R1666" s="149"/>
    </row>
    <row r="1667" spans="1:34" s="154" customFormat="1" ht="20.100000000000001" customHeight="1" x14ac:dyDescent="0.25">
      <c r="A1667" s="245"/>
      <c r="B1667" s="246" t="s">
        <v>1584</v>
      </c>
      <c r="C1667" s="246"/>
      <c r="D1667" s="246"/>
      <c r="E1667" s="246"/>
      <c r="F1667" s="247"/>
      <c r="G1667" s="248"/>
      <c r="I1667" s="249"/>
      <c r="J1667" s="248"/>
      <c r="K1667" s="249">
        <v>1</v>
      </c>
      <c r="L1667" s="250"/>
      <c r="M1667" s="149"/>
      <c r="N1667" s="149"/>
      <c r="O1667" s="149"/>
      <c r="P1667" s="149"/>
      <c r="Q1667" s="149"/>
      <c r="R1667" s="149"/>
    </row>
    <row r="1668" spans="1:34" s="154" customFormat="1" ht="20.100000000000001" customHeight="1" x14ac:dyDescent="0.25">
      <c r="A1668" s="470" t="s">
        <v>163</v>
      </c>
      <c r="B1668" s="471"/>
      <c r="C1668" s="471"/>
      <c r="D1668" s="471"/>
      <c r="E1668" s="471"/>
      <c r="F1668" s="472"/>
      <c r="G1668" s="472"/>
      <c r="H1668" s="472"/>
      <c r="I1668" s="274"/>
      <c r="J1668" s="275"/>
      <c r="K1668" s="252">
        <f>SUM(K1597:K1667)</f>
        <v>68</v>
      </c>
      <c r="L1668" s="250"/>
      <c r="M1668" s="149"/>
      <c r="N1668" s="149"/>
      <c r="O1668" s="149"/>
      <c r="P1668" s="149"/>
      <c r="Q1668" s="149"/>
      <c r="R1668" s="149"/>
    </row>
    <row r="1669" spans="1:34" s="154" customFormat="1" ht="20.100000000000001" customHeight="1" x14ac:dyDescent="0.25">
      <c r="A1669" s="177" t="s">
        <v>1709</v>
      </c>
      <c r="B1669" s="171" t="s">
        <v>1765</v>
      </c>
      <c r="C1669" s="171"/>
      <c r="D1669" s="171"/>
      <c r="E1669" s="171"/>
      <c r="F1669" s="243" t="s">
        <v>24</v>
      </c>
      <c r="G1669" s="244"/>
      <c r="H1669" s="244"/>
      <c r="I1669" s="244"/>
      <c r="J1669" s="244"/>
      <c r="K1669" s="244" t="s">
        <v>50</v>
      </c>
      <c r="L1669" s="250"/>
      <c r="M1669" s="149"/>
      <c r="N1669" s="149"/>
      <c r="O1669" s="149"/>
      <c r="P1669" s="149"/>
      <c r="Q1669" s="149"/>
      <c r="R1669" s="149"/>
    </row>
    <row r="1670" spans="1:34" s="149" customFormat="1" ht="20.100000000000001" customHeight="1" x14ac:dyDescent="0.25">
      <c r="A1670" s="245"/>
      <c r="B1670" s="246" t="s">
        <v>1766</v>
      </c>
      <c r="C1670" s="246"/>
      <c r="D1670" s="246"/>
      <c r="E1670" s="246"/>
      <c r="F1670" s="247"/>
      <c r="G1670" s="248"/>
      <c r="H1670" s="249"/>
      <c r="I1670" s="249"/>
      <c r="J1670" s="248"/>
      <c r="K1670" s="249">
        <f>0.1+9.9+0.05+1.83+3.71+0.82+0.42+3.7+0.71+5.39+0.77+1.09+0.15</f>
        <v>28.64</v>
      </c>
      <c r="L1670" s="250"/>
    </row>
    <row r="1671" spans="1:34" s="149" customFormat="1" ht="20.100000000000001" customHeight="1" x14ac:dyDescent="0.25">
      <c r="A1671" s="248"/>
      <c r="B1671" s="246" t="s">
        <v>1767</v>
      </c>
      <c r="C1671" s="246"/>
      <c r="D1671" s="246"/>
      <c r="E1671" s="246"/>
      <c r="F1671" s="247"/>
      <c r="G1671" s="248"/>
      <c r="H1671" s="249"/>
      <c r="I1671" s="249"/>
      <c r="J1671" s="248"/>
      <c r="K1671" s="249">
        <f>0.3*8+0.37*13</f>
        <v>7.2099999999999991</v>
      </c>
      <c r="L1671" s="250"/>
    </row>
    <row r="1672" spans="1:34" s="154" customFormat="1" ht="20.100000000000001" customHeight="1" x14ac:dyDescent="0.25">
      <c r="A1672" s="470" t="s">
        <v>163</v>
      </c>
      <c r="B1672" s="471"/>
      <c r="C1672" s="471"/>
      <c r="D1672" s="471"/>
      <c r="E1672" s="471"/>
      <c r="F1672" s="472"/>
      <c r="G1672" s="472"/>
      <c r="H1672" s="472"/>
      <c r="I1672" s="274"/>
      <c r="J1672" s="275"/>
      <c r="K1672" s="252">
        <f>SUM(K1670:K1671)</f>
        <v>35.85</v>
      </c>
      <c r="L1672" s="250"/>
      <c r="M1672" s="149"/>
      <c r="N1672" s="149"/>
      <c r="O1672" s="149"/>
      <c r="P1672" s="149"/>
      <c r="Q1672" s="149"/>
      <c r="R1672" s="149"/>
    </row>
    <row r="1673" spans="1:34" x14ac:dyDescent="0.25">
      <c r="A1673" s="135" t="s">
        <v>1768</v>
      </c>
      <c r="B1673" s="473" t="s">
        <v>1769</v>
      </c>
      <c r="C1673" s="473"/>
      <c r="D1673" s="473"/>
      <c r="E1673" s="473"/>
      <c r="F1673" s="135" t="s">
        <v>747</v>
      </c>
      <c r="G1673" s="152"/>
      <c r="H1673" s="152"/>
      <c r="I1673" s="152"/>
      <c r="J1673" s="152"/>
      <c r="K1673" s="153" t="s">
        <v>50</v>
      </c>
      <c r="L1673" s="250"/>
      <c r="M1673" s="131"/>
      <c r="N1673" s="131"/>
      <c r="O1673" s="131"/>
      <c r="P1673" s="131"/>
      <c r="Q1673" s="131"/>
      <c r="R1673" s="131"/>
      <c r="S1673" s="132"/>
      <c r="T1673" s="132"/>
      <c r="U1673" s="132"/>
      <c r="V1673" s="131"/>
      <c r="W1673" s="131"/>
      <c r="X1673" s="131"/>
      <c r="Y1673" s="280"/>
      <c r="Z1673" s="280"/>
      <c r="AA1673" s="280"/>
      <c r="AB1673" s="280"/>
      <c r="AC1673" s="280"/>
      <c r="AD1673" s="280"/>
      <c r="AE1673" s="280"/>
      <c r="AF1673" s="280"/>
      <c r="AG1673" s="280"/>
      <c r="AH1673" s="280"/>
    </row>
    <row r="1674" spans="1:34" x14ac:dyDescent="0.25">
      <c r="A1674" s="267"/>
      <c r="B1674" s="246"/>
      <c r="C1674" s="246"/>
      <c r="D1674" s="246"/>
      <c r="E1674" s="246"/>
      <c r="F1674" s="248">
        <v>8</v>
      </c>
      <c r="G1674" s="281"/>
      <c r="H1674" s="281"/>
      <c r="I1674" s="282"/>
      <c r="J1674" s="282"/>
      <c r="K1674" s="283">
        <f>SUM(F1674:J1674)</f>
        <v>8</v>
      </c>
      <c r="L1674" s="250"/>
      <c r="M1674" s="284"/>
      <c r="N1674" s="284"/>
      <c r="O1674" s="284"/>
      <c r="P1674" s="284"/>
      <c r="Q1674" s="284"/>
      <c r="R1674" s="284"/>
      <c r="S1674" s="284"/>
      <c r="T1674" s="284"/>
      <c r="U1674" s="284"/>
      <c r="V1674" s="284"/>
      <c r="W1674" s="284"/>
      <c r="X1674" s="284"/>
      <c r="Y1674" s="285"/>
      <c r="Z1674" s="285"/>
      <c r="AA1674" s="285"/>
      <c r="AB1674" s="285"/>
      <c r="AC1674" s="285"/>
      <c r="AD1674" s="285"/>
      <c r="AE1674" s="285"/>
      <c r="AF1674" s="285"/>
      <c r="AG1674" s="285"/>
      <c r="AH1674" s="285"/>
    </row>
    <row r="1675" spans="1:34" x14ac:dyDescent="0.25">
      <c r="A1675" s="470" t="s">
        <v>163</v>
      </c>
      <c r="B1675" s="471"/>
      <c r="C1675" s="471"/>
      <c r="D1675" s="471"/>
      <c r="E1675" s="471"/>
      <c r="F1675" s="474"/>
      <c r="G1675" s="474"/>
      <c r="H1675" s="474"/>
      <c r="I1675" s="474"/>
      <c r="J1675" s="474"/>
      <c r="K1675" s="288">
        <f>SUM(K1674)</f>
        <v>8</v>
      </c>
      <c r="L1675" s="250"/>
      <c r="M1675" s="284"/>
      <c r="N1675" s="284"/>
      <c r="O1675" s="284"/>
      <c r="P1675" s="284"/>
      <c r="Q1675" s="284"/>
      <c r="R1675" s="284"/>
      <c r="S1675" s="284"/>
      <c r="T1675" s="284"/>
      <c r="U1675" s="284"/>
      <c r="V1675" s="284"/>
      <c r="W1675" s="284"/>
      <c r="X1675" s="284"/>
      <c r="Y1675" s="285"/>
      <c r="Z1675" s="285"/>
      <c r="AA1675" s="285"/>
      <c r="AB1675" s="285"/>
      <c r="AC1675" s="285"/>
      <c r="AD1675" s="285"/>
      <c r="AE1675" s="285"/>
      <c r="AF1675" s="285"/>
      <c r="AG1675" s="285"/>
      <c r="AH1675" s="285"/>
    </row>
    <row r="1676" spans="1:34" x14ac:dyDescent="0.25">
      <c r="A1676" s="245"/>
      <c r="B1676" s="246"/>
      <c r="C1676" s="246"/>
      <c r="D1676" s="246"/>
      <c r="E1676" s="246"/>
      <c r="F1676" s="247"/>
      <c r="G1676" s="248"/>
      <c r="H1676" s="249"/>
      <c r="I1676" s="249"/>
      <c r="J1676" s="248"/>
      <c r="K1676" s="249"/>
      <c r="L1676" s="250"/>
    </row>
    <row r="1677" spans="1:34" x14ac:dyDescent="0.25">
      <c r="A1677" s="245"/>
      <c r="B1677" s="246"/>
      <c r="C1677" s="246"/>
      <c r="D1677" s="246"/>
      <c r="E1677" s="246"/>
      <c r="F1677" s="247"/>
      <c r="G1677" s="248"/>
      <c r="H1677" s="249"/>
      <c r="I1677" s="249"/>
      <c r="J1677" s="248"/>
      <c r="K1677" s="249"/>
      <c r="U1677" s="286"/>
      <c r="V1677" s="287"/>
    </row>
    <row r="1678" spans="1:34" x14ac:dyDescent="0.25">
      <c r="A1678" s="245"/>
      <c r="B1678" s="246"/>
      <c r="C1678" s="246"/>
      <c r="D1678" s="246"/>
      <c r="E1678" s="246"/>
      <c r="F1678" s="247"/>
      <c r="G1678" s="248"/>
      <c r="H1678" s="249"/>
      <c r="I1678" s="249"/>
      <c r="J1678" s="248"/>
      <c r="K1678" s="249"/>
    </row>
    <row r="1679" spans="1:34" x14ac:dyDescent="0.25">
      <c r="A1679" s="245"/>
      <c r="B1679" s="246"/>
      <c r="C1679" s="246"/>
      <c r="D1679" s="246"/>
      <c r="E1679" s="246"/>
      <c r="F1679" s="247"/>
      <c r="G1679" s="248"/>
      <c r="H1679" s="249"/>
      <c r="I1679" s="249"/>
      <c r="J1679" s="248"/>
      <c r="K1679" s="249"/>
    </row>
    <row r="1680" spans="1:34" x14ac:dyDescent="0.25">
      <c r="A1680" s="245"/>
      <c r="B1680" s="246"/>
      <c r="C1680" s="246"/>
      <c r="D1680" s="246"/>
      <c r="E1680" s="246"/>
      <c r="F1680" s="247"/>
      <c r="G1680" s="248"/>
      <c r="H1680" s="249"/>
      <c r="I1680" s="249"/>
      <c r="J1680" s="248"/>
      <c r="K1680" s="249"/>
    </row>
  </sheetData>
  <mergeCells count="410">
    <mergeCell ref="A9:K9"/>
    <mergeCell ref="A13:K13"/>
    <mergeCell ref="A28:K28"/>
    <mergeCell ref="A30:E30"/>
    <mergeCell ref="F30:J30"/>
    <mergeCell ref="A32:K32"/>
    <mergeCell ref="A1:K1"/>
    <mergeCell ref="A2:D2"/>
    <mergeCell ref="E2:K2"/>
    <mergeCell ref="A3:D3"/>
    <mergeCell ref="A4:K4"/>
    <mergeCell ref="A6:K6"/>
    <mergeCell ref="A46:K46"/>
    <mergeCell ref="A50:K50"/>
    <mergeCell ref="A56:K56"/>
    <mergeCell ref="A61:K61"/>
    <mergeCell ref="A65:K65"/>
    <mergeCell ref="A67:E67"/>
    <mergeCell ref="F67:J67"/>
    <mergeCell ref="A36:K36"/>
    <mergeCell ref="A38:K38"/>
    <mergeCell ref="A40:K40"/>
    <mergeCell ref="A42:K42"/>
    <mergeCell ref="A44:E44"/>
    <mergeCell ref="F44:J44"/>
    <mergeCell ref="A150:K150"/>
    <mergeCell ref="A152:E152"/>
    <mergeCell ref="F152:J152"/>
    <mergeCell ref="A154:K154"/>
    <mergeCell ref="A157:K157"/>
    <mergeCell ref="A159:K159"/>
    <mergeCell ref="A69:K69"/>
    <mergeCell ref="A87:K87"/>
    <mergeCell ref="A106:K106"/>
    <mergeCell ref="A117:K117"/>
    <mergeCell ref="A125:K125"/>
    <mergeCell ref="A135:K135"/>
    <mergeCell ref="A185:K185"/>
    <mergeCell ref="A187:K187"/>
    <mergeCell ref="A189:K189"/>
    <mergeCell ref="A191:E191"/>
    <mergeCell ref="F191:J191"/>
    <mergeCell ref="A193:K193"/>
    <mergeCell ref="A168:K168"/>
    <mergeCell ref="A170:E170"/>
    <mergeCell ref="F170:J170"/>
    <mergeCell ref="A172:K172"/>
    <mergeCell ref="A176:K176"/>
    <mergeCell ref="A182:K182"/>
    <mergeCell ref="A214:K214"/>
    <mergeCell ref="A216:K216"/>
    <mergeCell ref="A219:K219"/>
    <mergeCell ref="A221:K221"/>
    <mergeCell ref="A242:E242"/>
    <mergeCell ref="F242:J242"/>
    <mergeCell ref="A197:K197"/>
    <mergeCell ref="A203:K203"/>
    <mergeCell ref="A206:K206"/>
    <mergeCell ref="A208:K208"/>
    <mergeCell ref="A210:K210"/>
    <mergeCell ref="A212:E212"/>
    <mergeCell ref="F212:J212"/>
    <mergeCell ref="A223:K223"/>
    <mergeCell ref="A226:K226"/>
    <mergeCell ref="A229:K229"/>
    <mergeCell ref="A332:E332"/>
    <mergeCell ref="F332:J332"/>
    <mergeCell ref="A334:K334"/>
    <mergeCell ref="A337:K337"/>
    <mergeCell ref="A340:K340"/>
    <mergeCell ref="A232:K232"/>
    <mergeCell ref="A235:K235"/>
    <mergeCell ref="A322:K322"/>
    <mergeCell ref="A326:K326"/>
    <mergeCell ref="A318:K318"/>
    <mergeCell ref="A320:E320"/>
    <mergeCell ref="F320:J320"/>
    <mergeCell ref="A244:K244"/>
    <mergeCell ref="A255:K255"/>
    <mergeCell ref="A272:K272"/>
    <mergeCell ref="A287:K287"/>
    <mergeCell ref="A293:K293"/>
    <mergeCell ref="A302:K302"/>
    <mergeCell ref="A238:K238"/>
    <mergeCell ref="A240:K240"/>
    <mergeCell ref="A329:K329"/>
    <mergeCell ref="B350:E350"/>
    <mergeCell ref="A351:K351"/>
    <mergeCell ref="A353:K353"/>
    <mergeCell ref="A355:E355"/>
    <mergeCell ref="F355:J355"/>
    <mergeCell ref="A343:K343"/>
    <mergeCell ref="A346:K346"/>
    <mergeCell ref="A349:E349"/>
    <mergeCell ref="F349:J349"/>
    <mergeCell ref="A364:D364"/>
    <mergeCell ref="A365:D365"/>
    <mergeCell ref="A366:D366"/>
    <mergeCell ref="A367:D367"/>
    <mergeCell ref="A368:D368"/>
    <mergeCell ref="A369:D369"/>
    <mergeCell ref="A357:K357"/>
    <mergeCell ref="A361:E361"/>
    <mergeCell ref="F361:J361"/>
    <mergeCell ref="A362:D362"/>
    <mergeCell ref="E362:K362"/>
    <mergeCell ref="A363:D363"/>
    <mergeCell ref="A376:D376"/>
    <mergeCell ref="A377:D377"/>
    <mergeCell ref="A378:D378"/>
    <mergeCell ref="A379:D379"/>
    <mergeCell ref="A380:D380"/>
    <mergeCell ref="A381:D381"/>
    <mergeCell ref="A370:D370"/>
    <mergeCell ref="A371:D371"/>
    <mergeCell ref="A372:D372"/>
    <mergeCell ref="A373:D373"/>
    <mergeCell ref="A374:D374"/>
    <mergeCell ref="A375:D375"/>
    <mergeCell ref="A387:K387"/>
    <mergeCell ref="B399:E399"/>
    <mergeCell ref="A400:E400"/>
    <mergeCell ref="F400:J400"/>
    <mergeCell ref="A403:E403"/>
    <mergeCell ref="F403:J403"/>
    <mergeCell ref="A382:D382"/>
    <mergeCell ref="A383:D383"/>
    <mergeCell ref="E383:K383"/>
    <mergeCell ref="A384:D384"/>
    <mergeCell ref="A385:D385"/>
    <mergeCell ref="A386:D386"/>
    <mergeCell ref="A455:K455"/>
    <mergeCell ref="A459:K459"/>
    <mergeCell ref="A461:E461"/>
    <mergeCell ref="F461:J461"/>
    <mergeCell ref="A463:K463"/>
    <mergeCell ref="A471:K471"/>
    <mergeCell ref="A404:K404"/>
    <mergeCell ref="A406:K406"/>
    <mergeCell ref="A412:K412"/>
    <mergeCell ref="A422:K422"/>
    <mergeCell ref="A437:K437"/>
    <mergeCell ref="A443:K443"/>
    <mergeCell ref="A484:E484"/>
    <mergeCell ref="F484:J484"/>
    <mergeCell ref="A488:E488"/>
    <mergeCell ref="F488:J488"/>
    <mergeCell ref="A491:E491"/>
    <mergeCell ref="F491:J491"/>
    <mergeCell ref="A473:E473"/>
    <mergeCell ref="F473:J473"/>
    <mergeCell ref="A475:K475"/>
    <mergeCell ref="A478:E478"/>
    <mergeCell ref="F478:J478"/>
    <mergeCell ref="A481:E481"/>
    <mergeCell ref="F481:J481"/>
    <mergeCell ref="A529:E529"/>
    <mergeCell ref="F529:J529"/>
    <mergeCell ref="A531:K531"/>
    <mergeCell ref="A534:K534"/>
    <mergeCell ref="A537:K537"/>
    <mergeCell ref="A540:K540"/>
    <mergeCell ref="A492:K492"/>
    <mergeCell ref="A494:K494"/>
    <mergeCell ref="A503:K503"/>
    <mergeCell ref="A523:K523"/>
    <mergeCell ref="A525:K525"/>
    <mergeCell ref="A527:K527"/>
    <mergeCell ref="A552:K552"/>
    <mergeCell ref="A554:E554"/>
    <mergeCell ref="F554:J554"/>
    <mergeCell ref="A556:K556"/>
    <mergeCell ref="A558:K558"/>
    <mergeCell ref="A560:K560"/>
    <mergeCell ref="A543:K543"/>
    <mergeCell ref="A545:E545"/>
    <mergeCell ref="F545:J545"/>
    <mergeCell ref="A547:K547"/>
    <mergeCell ref="A550:E550"/>
    <mergeCell ref="F550:J550"/>
    <mergeCell ref="A572:K572"/>
    <mergeCell ref="A574:E574"/>
    <mergeCell ref="F574:J574"/>
    <mergeCell ref="A577:E577"/>
    <mergeCell ref="F577:J577"/>
    <mergeCell ref="A578:K578"/>
    <mergeCell ref="A562:K562"/>
    <mergeCell ref="A564:E564"/>
    <mergeCell ref="F564:J564"/>
    <mergeCell ref="A567:E567"/>
    <mergeCell ref="F567:J567"/>
    <mergeCell ref="A569:K569"/>
    <mergeCell ref="A590:E590"/>
    <mergeCell ref="F590:J590"/>
    <mergeCell ref="A591:K591"/>
    <mergeCell ref="A593:K593"/>
    <mergeCell ref="A595:K595"/>
    <mergeCell ref="A597:K597"/>
    <mergeCell ref="A581:E581"/>
    <mergeCell ref="F581:J581"/>
    <mergeCell ref="A584:E584"/>
    <mergeCell ref="F584:J584"/>
    <mergeCell ref="A587:E587"/>
    <mergeCell ref="F587:J587"/>
    <mergeCell ref="A609:K609"/>
    <mergeCell ref="A618:K618"/>
    <mergeCell ref="A631:K631"/>
    <mergeCell ref="A647:K647"/>
    <mergeCell ref="A654:K654"/>
    <mergeCell ref="A668:K668"/>
    <mergeCell ref="A599:K599"/>
    <mergeCell ref="A601:K601"/>
    <mergeCell ref="A603:K603"/>
    <mergeCell ref="A606:E606"/>
    <mergeCell ref="F606:J606"/>
    <mergeCell ref="A607:K607"/>
    <mergeCell ref="A714:K714"/>
    <mergeCell ref="A721:K721"/>
    <mergeCell ref="A735:K735"/>
    <mergeCell ref="A739:K739"/>
    <mergeCell ref="A741:K741"/>
    <mergeCell ref="A742:K742"/>
    <mergeCell ref="A672:K672"/>
    <mergeCell ref="A674:E674"/>
    <mergeCell ref="F674:J674"/>
    <mergeCell ref="A676:K676"/>
    <mergeCell ref="A685:K685"/>
    <mergeCell ref="A698:K698"/>
    <mergeCell ref="A772:K772"/>
    <mergeCell ref="A777:K777"/>
    <mergeCell ref="A780:K780"/>
    <mergeCell ref="A785:K785"/>
    <mergeCell ref="A788:E788"/>
    <mergeCell ref="F788:J788"/>
    <mergeCell ref="A746:K746"/>
    <mergeCell ref="A752:K752"/>
    <mergeCell ref="A757:E757"/>
    <mergeCell ref="F757:J757"/>
    <mergeCell ref="A759:K759"/>
    <mergeCell ref="A763:K763"/>
    <mergeCell ref="A805:E805"/>
    <mergeCell ref="F805:J805"/>
    <mergeCell ref="A806:K806"/>
    <mergeCell ref="A808:K808"/>
    <mergeCell ref="A827:K827"/>
    <mergeCell ref="A852:K852"/>
    <mergeCell ref="A790:K790"/>
    <mergeCell ref="A792:E792"/>
    <mergeCell ref="F792:J792"/>
    <mergeCell ref="A793:K793"/>
    <mergeCell ref="A795:K795"/>
    <mergeCell ref="A801:K801"/>
    <mergeCell ref="A952:K952"/>
    <mergeCell ref="A969:K969"/>
    <mergeCell ref="A987:K987"/>
    <mergeCell ref="A1005:E1005"/>
    <mergeCell ref="F1005:J1005"/>
    <mergeCell ref="A1007:K1007"/>
    <mergeCell ref="A869:K869"/>
    <mergeCell ref="A887:K887"/>
    <mergeCell ref="A905:E905"/>
    <mergeCell ref="F905:J905"/>
    <mergeCell ref="A908:K908"/>
    <mergeCell ref="A927:K927"/>
    <mergeCell ref="A1066:K1066"/>
    <mergeCell ref="A1083:K1083"/>
    <mergeCell ref="A1101:K1101"/>
    <mergeCell ref="A1115:K1115"/>
    <mergeCell ref="A1117:E1117"/>
    <mergeCell ref="F1117:J1117"/>
    <mergeCell ref="A1013:K1013"/>
    <mergeCell ref="A1017:K1017"/>
    <mergeCell ref="A1019:E1019"/>
    <mergeCell ref="F1019:J1019"/>
    <mergeCell ref="A1021:K1021"/>
    <mergeCell ref="A1040:K1040"/>
    <mergeCell ref="A1134:E1134"/>
    <mergeCell ref="F1134:H1134"/>
    <mergeCell ref="A1136:K1136"/>
    <mergeCell ref="A1141:K1141"/>
    <mergeCell ref="A1143:K1143"/>
    <mergeCell ref="A1145:K1145"/>
    <mergeCell ref="A1119:K1119"/>
    <mergeCell ref="A1124:K1124"/>
    <mergeCell ref="A1126:K1126"/>
    <mergeCell ref="A1128:K1128"/>
    <mergeCell ref="A1130:K1130"/>
    <mergeCell ref="A1132:K1132"/>
    <mergeCell ref="A1178:K1178"/>
    <mergeCell ref="A1180:K1180"/>
    <mergeCell ref="A1182:K1182"/>
    <mergeCell ref="A1184:E1184"/>
    <mergeCell ref="F1184:H1184"/>
    <mergeCell ref="A1187:K1187"/>
    <mergeCell ref="A1147:K1147"/>
    <mergeCell ref="A1149:K1149"/>
    <mergeCell ref="A1151:E1151"/>
    <mergeCell ref="F1151:H1151"/>
    <mergeCell ref="A1153:K1153"/>
    <mergeCell ref="A1156:K1156"/>
    <mergeCell ref="A1223:E1223"/>
    <mergeCell ref="F1223:H1223"/>
    <mergeCell ref="A1226:E1226"/>
    <mergeCell ref="F1226:H1226"/>
    <mergeCell ref="A1227:K1227"/>
    <mergeCell ref="A1230:E1230"/>
    <mergeCell ref="F1230:H1230"/>
    <mergeCell ref="A1193:K1193"/>
    <mergeCell ref="A1201:K1201"/>
    <mergeCell ref="A1206:K1206"/>
    <mergeCell ref="A1211:K1211"/>
    <mergeCell ref="A1220:E1220"/>
    <mergeCell ref="F1220:H1220"/>
    <mergeCell ref="A1295:K1295"/>
    <mergeCell ref="A1302:E1302"/>
    <mergeCell ref="F1302:J1302"/>
    <mergeCell ref="A1304:K1304"/>
    <mergeCell ref="A1322:K1322"/>
    <mergeCell ref="A1339:K1339"/>
    <mergeCell ref="A1232:K1232"/>
    <mergeCell ref="A1236:E1236"/>
    <mergeCell ref="F1236:J1236"/>
    <mergeCell ref="A1238:K1238"/>
    <mergeCell ref="A1264:K1264"/>
    <mergeCell ref="A1281:K1281"/>
    <mergeCell ref="A1376:E1376"/>
    <mergeCell ref="F1376:J1376"/>
    <mergeCell ref="A1378:K1378"/>
    <mergeCell ref="A1380:K1380"/>
    <mergeCell ref="A1382:E1382"/>
    <mergeCell ref="F1382:J1382"/>
    <mergeCell ref="A1353:K1353"/>
    <mergeCell ref="A1360:E1360"/>
    <mergeCell ref="F1360:J1360"/>
    <mergeCell ref="A1361:K1361"/>
    <mergeCell ref="A1363:K1363"/>
    <mergeCell ref="A1374:K1374"/>
    <mergeCell ref="A1398:K1398"/>
    <mergeCell ref="A1400:K1400"/>
    <mergeCell ref="A1402:K1402"/>
    <mergeCell ref="A1404:E1404"/>
    <mergeCell ref="F1404:J1404"/>
    <mergeCell ref="A1406:K1406"/>
    <mergeCell ref="A1384:K1384"/>
    <mergeCell ref="A1386:K1386"/>
    <mergeCell ref="A1388:K1388"/>
    <mergeCell ref="A1390:E1390"/>
    <mergeCell ref="F1390:J1390"/>
    <mergeCell ref="A1392:K1392"/>
    <mergeCell ref="A1420:K1420"/>
    <mergeCell ref="A1424:K1424"/>
    <mergeCell ref="A1429:K1429"/>
    <mergeCell ref="A1434:K1434"/>
    <mergeCell ref="A1437:K1437"/>
    <mergeCell ref="A1442:E1442"/>
    <mergeCell ref="F1442:H1442"/>
    <mergeCell ref="A1411:K1411"/>
    <mergeCell ref="A1413:K1413"/>
    <mergeCell ref="A1415:K1415"/>
    <mergeCell ref="A1417:E1417"/>
    <mergeCell ref="F1417:J1417"/>
    <mergeCell ref="A1418:K1418"/>
    <mergeCell ref="A1468:K1468"/>
    <mergeCell ref="A1477:K1477"/>
    <mergeCell ref="A1481:E1481"/>
    <mergeCell ref="F1481:H1481"/>
    <mergeCell ref="A1483:K1483"/>
    <mergeCell ref="A1506:K1506"/>
    <mergeCell ref="A1444:K1444"/>
    <mergeCell ref="A1448:K1448"/>
    <mergeCell ref="A1453:K1453"/>
    <mergeCell ref="A1458:K1458"/>
    <mergeCell ref="A1461:K1461"/>
    <mergeCell ref="A1466:E1466"/>
    <mergeCell ref="F1466:H1466"/>
    <mergeCell ref="A1561:K1561"/>
    <mergeCell ref="A1563:K1563"/>
    <mergeCell ref="A1565:K1565"/>
    <mergeCell ref="A1567:E1567"/>
    <mergeCell ref="F1567:H1567"/>
    <mergeCell ref="A1568:K1568"/>
    <mergeCell ref="A1523:K1523"/>
    <mergeCell ref="A1541:K1541"/>
    <mergeCell ref="A1555:E1555"/>
    <mergeCell ref="F1555:H1555"/>
    <mergeCell ref="A1557:K1557"/>
    <mergeCell ref="A1559:K1559"/>
    <mergeCell ref="A1584:K1584"/>
    <mergeCell ref="A1587:K1587"/>
    <mergeCell ref="A1590:K1590"/>
    <mergeCell ref="A1591:K1591"/>
    <mergeCell ref="A1594:E1594"/>
    <mergeCell ref="F1594:H1594"/>
    <mergeCell ref="A1570:K1570"/>
    <mergeCell ref="A1573:K1573"/>
    <mergeCell ref="A1576:K1576"/>
    <mergeCell ref="A1579:K1579"/>
    <mergeCell ref="A1582:E1582"/>
    <mergeCell ref="F1582:H1582"/>
    <mergeCell ref="A1672:E1672"/>
    <mergeCell ref="F1672:H1672"/>
    <mergeCell ref="B1673:E1673"/>
    <mergeCell ref="A1675:E1675"/>
    <mergeCell ref="F1675:J1675"/>
    <mergeCell ref="A1596:K1596"/>
    <mergeCell ref="A1619:K1619"/>
    <mergeCell ref="A1636:K1636"/>
    <mergeCell ref="A1654:K1654"/>
    <mergeCell ref="A1668:E1668"/>
    <mergeCell ref="F1668:H1668"/>
  </mergeCells>
  <pageMargins left="0.511811024" right="0.511811024" top="0.78740157499999996" bottom="0.78740157499999996" header="0.31496062000000002" footer="0.31496062000000002"/>
  <pageSetup paperSize="9" scale="69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view="pageBreakPreview" zoomScale="60" zoomScaleNormal="100" workbookViewId="0">
      <selection activeCell="F5" sqref="F5"/>
    </sheetView>
  </sheetViews>
  <sheetFormatPr defaultColWidth="9.125" defaultRowHeight="35.450000000000003" customHeight="1" x14ac:dyDescent="0.25"/>
  <cols>
    <col min="1" max="1" width="86.75" style="173" bestFit="1" customWidth="1"/>
    <col min="2" max="2" width="13.125" style="174" bestFit="1" customWidth="1"/>
    <col min="3" max="3" width="9.5" style="173" bestFit="1" customWidth="1"/>
    <col min="4" max="4" width="9.125" style="176"/>
    <col min="5" max="16384" width="9.125" style="173"/>
  </cols>
  <sheetData>
    <row r="1" spans="1:5" ht="36" customHeight="1" thickBot="1" x14ac:dyDescent="0.3">
      <c r="A1" s="499" t="s">
        <v>1800</v>
      </c>
      <c r="B1" s="500"/>
      <c r="C1" s="501"/>
    </row>
    <row r="2" spans="1:5" ht="36" customHeight="1" thickBot="1" x14ac:dyDescent="0.3">
      <c r="A2" s="502" t="s">
        <v>54</v>
      </c>
      <c r="B2" s="503"/>
      <c r="C2" s="504"/>
    </row>
    <row r="3" spans="1:5" ht="36" customHeight="1" x14ac:dyDescent="0.25">
      <c r="A3" s="329" t="s">
        <v>749</v>
      </c>
      <c r="B3" s="330" t="s">
        <v>702</v>
      </c>
      <c r="C3" s="331" t="s">
        <v>828</v>
      </c>
    </row>
    <row r="4" spans="1:5" ht="15" x14ac:dyDescent="0.25">
      <c r="A4" s="220" t="s">
        <v>750</v>
      </c>
      <c r="B4" s="332">
        <f>TRUNC((12*(0.2+0.9+0.2)*(0.2+0.9+0.2)*0.45+8*(0.2+1.5+0.2)*(0.2+1.2+0.2)*0.45),2)</f>
        <v>20.07</v>
      </c>
      <c r="C4" s="333" t="s">
        <v>751</v>
      </c>
    </row>
    <row r="5" spans="1:5" ht="15" x14ac:dyDescent="0.25">
      <c r="A5" s="220" t="s">
        <v>1801</v>
      </c>
      <c r="B5" s="332">
        <f>TRUNC((4*4.4*(0.2+0.2+0.2)*0.55)+8*1.65*(0.2+0.2+0.2)*0.55+9*4.6*(0.2+0.2+0.2)*0.55+(4*2.55*(0.2+0.2+0.2)*0.45)+6.325*(0.2+0.2+0.2)*0.45+1.85*(0.2+0.2+0.2)*0.45+2*1.64*(0.2+0.2+0.2)*0.45+2*2.71*(0.2+0.2+0.2)*0.45+4.15*(0.2+0.2+0.2)*0.45,2)</f>
        <v>32.25</v>
      </c>
      <c r="C5" s="333" t="s">
        <v>751</v>
      </c>
    </row>
    <row r="6" spans="1:5" ht="30" x14ac:dyDescent="0.25">
      <c r="A6" s="220" t="s">
        <v>1802</v>
      </c>
      <c r="B6" s="332">
        <f>TRUNC((12*(0.2+0.9+0.2)*(0.2+0.9+0.2)+8*(0.2+1.5+0.2)*(0.2+1.2+0.2)),2)+TRUNC((4*4.4*(0.2+0.2+0.2))+8*1.65*(0.2+0.2+0.2)+9*4.6*(0.2+0.2+0.2)+(4*2.55*(0.2+0.2+0.2))+6.325*(0.2+0.2+0.2)+1.85*(0.2+0.2+0.2)+2*1.64*(0.2+0.2+0.2)+2*2.71*(0.2+0.2+0.2)+4.15*(0.2+0.2+0.2),2)</f>
        <v>106.65</v>
      </c>
      <c r="C6" s="333" t="s">
        <v>752</v>
      </c>
      <c r="D6" s="337"/>
    </row>
    <row r="7" spans="1:5" ht="30" x14ac:dyDescent="0.25">
      <c r="A7" s="220" t="s">
        <v>1803</v>
      </c>
      <c r="B7" s="332">
        <f>B6</f>
        <v>106.65</v>
      </c>
      <c r="C7" s="333" t="s">
        <v>752</v>
      </c>
    </row>
    <row r="8" spans="1:5" ht="30" x14ac:dyDescent="0.25">
      <c r="A8" s="220" t="s">
        <v>753</v>
      </c>
      <c r="B8" s="332">
        <f>TRUNC((B4+B5)-(B15),2)</f>
        <v>28.52</v>
      </c>
      <c r="C8" s="333" t="s">
        <v>751</v>
      </c>
    </row>
    <row r="9" spans="1:5" ht="30" x14ac:dyDescent="0.25">
      <c r="A9" s="220" t="s">
        <v>1804</v>
      </c>
      <c r="B9" s="332">
        <f>TRUNC(B15*1.3,2)</f>
        <v>30.94</v>
      </c>
      <c r="C9" s="333" t="s">
        <v>751</v>
      </c>
    </row>
    <row r="10" spans="1:5" ht="15" x14ac:dyDescent="0.25">
      <c r="A10" s="220" t="s">
        <v>754</v>
      </c>
      <c r="B10" s="332">
        <f>B14</f>
        <v>179</v>
      </c>
      <c r="C10" s="333" t="s">
        <v>752</v>
      </c>
    </row>
    <row r="11" spans="1:5" ht="15.75" thickBot="1" x14ac:dyDescent="0.3">
      <c r="A11" s="223" t="s">
        <v>755</v>
      </c>
      <c r="B11" s="334">
        <v>3</v>
      </c>
      <c r="C11" s="335" t="s">
        <v>1805</v>
      </c>
      <c r="E11" s="175"/>
    </row>
    <row r="12" spans="1:5" ht="36" customHeight="1" x14ac:dyDescent="0.25">
      <c r="A12" s="329" t="s">
        <v>756</v>
      </c>
      <c r="B12" s="330" t="s">
        <v>702</v>
      </c>
      <c r="C12" s="331" t="s">
        <v>828</v>
      </c>
    </row>
    <row r="13" spans="1:5" ht="15" x14ac:dyDescent="0.25">
      <c r="A13" s="220" t="s">
        <v>757</v>
      </c>
      <c r="B13" s="332">
        <v>30.2</v>
      </c>
      <c r="C13" s="333" t="s">
        <v>752</v>
      </c>
      <c r="E13" s="175"/>
    </row>
    <row r="14" spans="1:5" ht="15" x14ac:dyDescent="0.25">
      <c r="A14" s="220" t="s">
        <v>758</v>
      </c>
      <c r="B14" s="332">
        <v>179</v>
      </c>
      <c r="C14" s="333" t="s">
        <v>752</v>
      </c>
      <c r="E14" s="175"/>
    </row>
    <row r="15" spans="1:5" ht="15" x14ac:dyDescent="0.25">
      <c r="A15" s="220" t="s">
        <v>759</v>
      </c>
      <c r="B15" s="332">
        <f>9+14.8</f>
        <v>23.8</v>
      </c>
      <c r="C15" s="333" t="s">
        <v>751</v>
      </c>
      <c r="E15" s="175"/>
    </row>
    <row r="16" spans="1:5" ht="15" x14ac:dyDescent="0.25">
      <c r="A16" s="220" t="s">
        <v>760</v>
      </c>
      <c r="B16" s="336">
        <f>156</f>
        <v>156</v>
      </c>
      <c r="C16" s="333" t="s">
        <v>761</v>
      </c>
      <c r="E16" s="175"/>
    </row>
    <row r="17" spans="1:5" ht="15" x14ac:dyDescent="0.25">
      <c r="A17" s="220" t="s">
        <v>762</v>
      </c>
      <c r="B17" s="336">
        <f>4</f>
        <v>4</v>
      </c>
      <c r="C17" s="333" t="s">
        <v>761</v>
      </c>
      <c r="E17" s="175"/>
    </row>
    <row r="18" spans="1:5" ht="15" x14ac:dyDescent="0.25">
      <c r="A18" s="220" t="s">
        <v>763</v>
      </c>
      <c r="B18" s="336">
        <f>193+336</f>
        <v>529</v>
      </c>
      <c r="C18" s="333" t="s">
        <v>761</v>
      </c>
      <c r="E18" s="175"/>
    </row>
    <row r="19" spans="1:5" ht="15" x14ac:dyDescent="0.25">
      <c r="A19" s="220" t="s">
        <v>764</v>
      </c>
      <c r="B19" s="336">
        <f>133</f>
        <v>133</v>
      </c>
      <c r="C19" s="333" t="s">
        <v>761</v>
      </c>
      <c r="E19" s="175"/>
    </row>
    <row r="20" spans="1:5" ht="15.75" thickBot="1" x14ac:dyDescent="0.3">
      <c r="A20" s="220" t="s">
        <v>765</v>
      </c>
      <c r="B20" s="336">
        <f>71</f>
        <v>71</v>
      </c>
      <c r="C20" s="333" t="s">
        <v>761</v>
      </c>
      <c r="E20" s="175"/>
    </row>
    <row r="21" spans="1:5" ht="36" customHeight="1" thickBot="1" x14ac:dyDescent="0.3">
      <c r="A21" s="502" t="s">
        <v>406</v>
      </c>
      <c r="B21" s="503"/>
      <c r="C21" s="504"/>
    </row>
    <row r="22" spans="1:5" ht="36" customHeight="1" x14ac:dyDescent="0.25">
      <c r="A22" s="329" t="s">
        <v>766</v>
      </c>
      <c r="B22" s="330" t="s">
        <v>702</v>
      </c>
      <c r="C22" s="331" t="s">
        <v>828</v>
      </c>
    </row>
    <row r="23" spans="1:5" ht="15" x14ac:dyDescent="0.25">
      <c r="A23" s="220" t="s">
        <v>767</v>
      </c>
      <c r="B23" s="332">
        <v>101.8</v>
      </c>
      <c r="C23" s="333" t="s">
        <v>752</v>
      </c>
      <c r="E23" s="175"/>
    </row>
    <row r="24" spans="1:5" ht="15" x14ac:dyDescent="0.25">
      <c r="A24" s="220" t="s">
        <v>768</v>
      </c>
      <c r="B24" s="332">
        <v>194.4</v>
      </c>
      <c r="C24" s="333" t="s">
        <v>752</v>
      </c>
      <c r="E24" s="175"/>
    </row>
    <row r="25" spans="1:5" ht="15" x14ac:dyDescent="0.25">
      <c r="A25" s="220" t="s">
        <v>759</v>
      </c>
      <c r="B25" s="332">
        <f>17.9+5.9</f>
        <v>23.799999999999997</v>
      </c>
      <c r="C25" s="333" t="s">
        <v>751</v>
      </c>
      <c r="D25" s="338"/>
      <c r="E25" s="175"/>
    </row>
    <row r="26" spans="1:5" ht="15" x14ac:dyDescent="0.25">
      <c r="A26" s="220" t="s">
        <v>760</v>
      </c>
      <c r="B26" s="336">
        <f>215+44</f>
        <v>259</v>
      </c>
      <c r="C26" s="333" t="s">
        <v>761</v>
      </c>
      <c r="D26" s="338"/>
      <c r="E26" s="175"/>
    </row>
    <row r="27" spans="1:5" ht="15" x14ac:dyDescent="0.25">
      <c r="A27" s="220" t="s">
        <v>762</v>
      </c>
      <c r="B27" s="336">
        <f>82</f>
        <v>82</v>
      </c>
      <c r="C27" s="333" t="s">
        <v>761</v>
      </c>
      <c r="D27" s="338"/>
      <c r="E27" s="175"/>
    </row>
    <row r="28" spans="1:5" ht="15" x14ac:dyDescent="0.25">
      <c r="A28" s="220" t="s">
        <v>769</v>
      </c>
      <c r="B28" s="336">
        <f>136+0</f>
        <v>136</v>
      </c>
      <c r="C28" s="333" t="s">
        <v>761</v>
      </c>
      <c r="D28" s="338"/>
      <c r="E28" s="175"/>
    </row>
    <row r="29" spans="1:5" ht="15" x14ac:dyDescent="0.25">
      <c r="A29" s="220" t="s">
        <v>763</v>
      </c>
      <c r="B29" s="336">
        <f>314+70</f>
        <v>384</v>
      </c>
      <c r="C29" s="333" t="s">
        <v>761</v>
      </c>
      <c r="D29" s="338"/>
      <c r="E29" s="175"/>
    </row>
    <row r="30" spans="1:5" ht="15" x14ac:dyDescent="0.25">
      <c r="A30" s="220" t="s">
        <v>764</v>
      </c>
      <c r="B30" s="336">
        <f>149</f>
        <v>149</v>
      </c>
      <c r="C30" s="333" t="s">
        <v>761</v>
      </c>
      <c r="D30" s="338"/>
      <c r="E30" s="175"/>
    </row>
    <row r="31" spans="1:5" ht="15.75" thickBot="1" x14ac:dyDescent="0.3">
      <c r="A31" s="220" t="s">
        <v>765</v>
      </c>
      <c r="B31" s="336">
        <f>759+347</f>
        <v>1106</v>
      </c>
      <c r="C31" s="333" t="s">
        <v>761</v>
      </c>
      <c r="E31" s="175"/>
    </row>
    <row r="32" spans="1:5" ht="36" customHeight="1" x14ac:dyDescent="0.25">
      <c r="A32" s="329" t="s">
        <v>770</v>
      </c>
      <c r="B32" s="330" t="s">
        <v>702</v>
      </c>
      <c r="C32" s="331" t="s">
        <v>828</v>
      </c>
    </row>
    <row r="33" spans="1:5" ht="30" x14ac:dyDescent="0.25">
      <c r="A33" s="220" t="s">
        <v>1806</v>
      </c>
      <c r="B33" s="332">
        <f>4*4.8*1.85+5.2*4.8+5.2*2.3+5.25*2.3+5.2+2.3+2.95*7.125+1.99*4.75+2.91*1.92</f>
        <v>128.07345000000001</v>
      </c>
      <c r="C33" s="333" t="s">
        <v>752</v>
      </c>
      <c r="E33" s="175"/>
    </row>
    <row r="34" spans="1:5" ht="15" x14ac:dyDescent="0.25">
      <c r="A34" s="220" t="s">
        <v>771</v>
      </c>
      <c r="B34" s="332">
        <f>TRUNC((B33)*1.2,2)</f>
        <v>153.68</v>
      </c>
      <c r="C34" s="333" t="s">
        <v>752</v>
      </c>
      <c r="D34" s="338"/>
      <c r="E34" s="175"/>
    </row>
    <row r="35" spans="1:5" ht="15.75" thickBot="1" x14ac:dyDescent="0.3">
      <c r="A35" s="220" t="s">
        <v>772</v>
      </c>
      <c r="B35" s="332">
        <f>6.9</f>
        <v>6.9</v>
      </c>
      <c r="C35" s="333" t="s">
        <v>751</v>
      </c>
      <c r="D35" s="338"/>
      <c r="E35" s="175"/>
    </row>
    <row r="36" spans="1:5" ht="35.450000000000003" customHeight="1" x14ac:dyDescent="0.25">
      <c r="A36" s="329" t="s">
        <v>1807</v>
      </c>
      <c r="B36" s="330" t="s">
        <v>702</v>
      </c>
      <c r="C36" s="331" t="s">
        <v>828</v>
      </c>
    </row>
    <row r="37" spans="1:5" ht="15" x14ac:dyDescent="0.25">
      <c r="A37" s="220" t="s">
        <v>1808</v>
      </c>
      <c r="B37" s="332">
        <f>5.2*4.8+5.2*2.3+5.25*2.3+5.2+2.3+2.95*7.125+1.99*4.75+2.91*1.92</f>
        <v>92.553449999999998</v>
      </c>
      <c r="C37" s="229" t="s">
        <v>752</v>
      </c>
    </row>
    <row r="38" spans="1:5" ht="15" x14ac:dyDescent="0.25">
      <c r="A38" s="220" t="s">
        <v>1809</v>
      </c>
      <c r="B38" s="332">
        <f>B37</f>
        <v>92.553449999999998</v>
      </c>
      <c r="C38" s="229" t="s">
        <v>752</v>
      </c>
    </row>
    <row r="39" spans="1:5" ht="15" x14ac:dyDescent="0.25">
      <c r="A39" s="220"/>
      <c r="B39" s="332"/>
      <c r="C39" s="229"/>
    </row>
    <row r="40" spans="1:5" ht="15.75" thickBot="1" x14ac:dyDescent="0.3">
      <c r="A40" s="223"/>
      <c r="B40" s="334"/>
      <c r="C40" s="230"/>
    </row>
    <row r="48" spans="1:5" ht="35.450000000000003" customHeight="1" x14ac:dyDescent="0.25">
      <c r="B48" s="173"/>
    </row>
    <row r="49" spans="2:2" ht="35.450000000000003" customHeight="1" x14ac:dyDescent="0.25">
      <c r="B49" s="173"/>
    </row>
    <row r="50" spans="2:2" ht="35.450000000000003" customHeight="1" x14ac:dyDescent="0.25">
      <c r="B50" s="173"/>
    </row>
    <row r="51" spans="2:2" ht="35.450000000000003" customHeight="1" x14ac:dyDescent="0.25">
      <c r="B51" s="173"/>
    </row>
    <row r="52" spans="2:2" ht="35.450000000000003" customHeight="1" x14ac:dyDescent="0.25">
      <c r="B52" s="173"/>
    </row>
    <row r="53" spans="2:2" ht="35.450000000000003" customHeight="1" x14ac:dyDescent="0.25">
      <c r="B53" s="173"/>
    </row>
    <row r="54" spans="2:2" ht="35.450000000000003" customHeight="1" x14ac:dyDescent="0.25">
      <c r="B54" s="173"/>
    </row>
    <row r="55" spans="2:2" ht="35.450000000000003" customHeight="1" x14ac:dyDescent="0.25">
      <c r="B55" s="173"/>
    </row>
    <row r="56" spans="2:2" ht="35.450000000000003" customHeight="1" x14ac:dyDescent="0.25">
      <c r="B56" s="173"/>
    </row>
    <row r="57" spans="2:2" ht="35.450000000000003" customHeight="1" x14ac:dyDescent="0.25">
      <c r="B57" s="173"/>
    </row>
    <row r="58" spans="2:2" ht="35.450000000000003" customHeight="1" x14ac:dyDescent="0.25">
      <c r="B58" s="173"/>
    </row>
    <row r="59" spans="2:2" ht="35.450000000000003" customHeight="1" x14ac:dyDescent="0.25">
      <c r="B59" s="173"/>
    </row>
    <row r="60" spans="2:2" ht="35.450000000000003" customHeight="1" x14ac:dyDescent="0.25">
      <c r="B60" s="173"/>
    </row>
    <row r="61" spans="2:2" ht="35.450000000000003" customHeight="1" x14ac:dyDescent="0.25">
      <c r="B61" s="173"/>
    </row>
    <row r="62" spans="2:2" ht="35.450000000000003" customHeight="1" x14ac:dyDescent="0.25">
      <c r="B62" s="173"/>
    </row>
    <row r="63" spans="2:2" ht="35.450000000000003" customHeight="1" x14ac:dyDescent="0.25">
      <c r="B63" s="173"/>
    </row>
    <row r="64" spans="2:2" ht="35.450000000000003" customHeight="1" x14ac:dyDescent="0.25">
      <c r="B64" s="173"/>
    </row>
    <row r="65" spans="2:2" ht="35.450000000000003" customHeight="1" x14ac:dyDescent="0.25">
      <c r="B65" s="173"/>
    </row>
    <row r="66" spans="2:2" ht="35.450000000000003" customHeight="1" x14ac:dyDescent="0.25">
      <c r="B66" s="173"/>
    </row>
    <row r="67" spans="2:2" ht="35.450000000000003" customHeight="1" x14ac:dyDescent="0.25">
      <c r="B67" s="173"/>
    </row>
    <row r="68" spans="2:2" ht="35.450000000000003" customHeight="1" x14ac:dyDescent="0.25">
      <c r="B68" s="173"/>
    </row>
    <row r="69" spans="2:2" ht="35.450000000000003" customHeight="1" x14ac:dyDescent="0.25">
      <c r="B69" s="173"/>
    </row>
    <row r="72" spans="2:2" ht="35.450000000000003" customHeight="1" x14ac:dyDescent="0.25">
      <c r="B72" s="173"/>
    </row>
    <row r="73" spans="2:2" ht="35.450000000000003" customHeight="1" x14ac:dyDescent="0.25">
      <c r="B73" s="173"/>
    </row>
    <row r="74" spans="2:2" ht="35.450000000000003" customHeight="1" x14ac:dyDescent="0.25">
      <c r="B74" s="173"/>
    </row>
    <row r="75" spans="2:2" ht="35.450000000000003" customHeight="1" x14ac:dyDescent="0.25">
      <c r="B75" s="173"/>
    </row>
    <row r="76" spans="2:2" ht="35.450000000000003" customHeight="1" x14ac:dyDescent="0.25">
      <c r="B76" s="173"/>
    </row>
    <row r="77" spans="2:2" ht="35.450000000000003" customHeight="1" x14ac:dyDescent="0.25">
      <c r="B77" s="173"/>
    </row>
    <row r="78" spans="2:2" ht="35.450000000000003" customHeight="1" x14ac:dyDescent="0.25">
      <c r="B78" s="173"/>
    </row>
  </sheetData>
  <mergeCells count="3">
    <mergeCell ref="A1:C1"/>
    <mergeCell ref="A2:C2"/>
    <mergeCell ref="A21:C21"/>
  </mergeCells>
  <pageMargins left="0.511811024" right="0.511811024" top="0.78740157499999996" bottom="0.78740157499999996" header="0.31496062000000002" footer="0.31496062000000002"/>
  <pageSetup paperSize="9" scale="84" orientation="portrait" r:id="rId1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"/>
  <sheetViews>
    <sheetView view="pageBreakPreview" zoomScale="60" zoomScaleNormal="100" workbookViewId="0">
      <selection activeCell="D43" sqref="D43"/>
    </sheetView>
  </sheetViews>
  <sheetFormatPr defaultRowHeight="15" x14ac:dyDescent="0.25"/>
  <cols>
    <col min="1" max="1" width="3.125" customWidth="1"/>
    <col min="2" max="2" width="16.375" bestFit="1" customWidth="1"/>
    <col min="3" max="3" width="21.375" bestFit="1" customWidth="1"/>
    <col min="4" max="4" width="30.625" customWidth="1"/>
    <col min="5" max="5" width="14.125" bestFit="1" customWidth="1"/>
    <col min="6" max="6" width="11.375" customWidth="1"/>
    <col min="7" max="7" width="18.125" bestFit="1" customWidth="1"/>
    <col min="8" max="8" width="10.875" bestFit="1" customWidth="1"/>
    <col min="9" max="9" width="8.625" bestFit="1" customWidth="1"/>
  </cols>
  <sheetData>
    <row r="1" spans="1:9" ht="15.75" thickBot="1" x14ac:dyDescent="0.3"/>
    <row r="2" spans="1:9" ht="16.5" thickBot="1" x14ac:dyDescent="0.3">
      <c r="A2" s="193"/>
      <c r="B2" s="511" t="s">
        <v>1770</v>
      </c>
      <c r="C2" s="512"/>
      <c r="D2" s="512"/>
      <c r="E2" s="512"/>
      <c r="F2" s="513"/>
    </row>
    <row r="3" spans="1:9" ht="15.75" thickBot="1" x14ac:dyDescent="0.3">
      <c r="B3" s="289" t="s">
        <v>1771</v>
      </c>
      <c r="C3" s="290" t="s">
        <v>1772</v>
      </c>
      <c r="D3" s="290" t="s">
        <v>1773</v>
      </c>
      <c r="E3" s="290" t="s">
        <v>702</v>
      </c>
      <c r="F3" s="291" t="s">
        <v>1774</v>
      </c>
    </row>
    <row r="4" spans="1:9" x14ac:dyDescent="0.25">
      <c r="B4" s="514" t="s">
        <v>1775</v>
      </c>
      <c r="C4" s="224" t="s">
        <v>1776</v>
      </c>
      <c r="D4" s="224" t="s">
        <v>1777</v>
      </c>
      <c r="E4" s="292">
        <v>4</v>
      </c>
      <c r="F4" s="293">
        <f>7850*E4*0.15*0.26*0.0127</f>
        <v>15.552420000000001</v>
      </c>
    </row>
    <row r="5" spans="1:9" ht="15" customHeight="1" x14ac:dyDescent="0.25">
      <c r="B5" s="515"/>
      <c r="C5" s="222" t="s">
        <v>1778</v>
      </c>
      <c r="D5" s="222" t="s">
        <v>1777</v>
      </c>
      <c r="E5" s="294">
        <f>E4</f>
        <v>4</v>
      </c>
      <c r="F5" s="295">
        <f>7850*E5*0.15*0.26*0.0127</f>
        <v>15.552420000000001</v>
      </c>
    </row>
    <row r="6" spans="1:9" x14ac:dyDescent="0.25">
      <c r="B6" s="515"/>
      <c r="C6" s="222" t="s">
        <v>1779</v>
      </c>
      <c r="D6" s="222" t="s">
        <v>1780</v>
      </c>
      <c r="E6" s="294">
        <f>E4*2</f>
        <v>8</v>
      </c>
      <c r="F6" s="295">
        <f>7850*E6*0.24*0.25/2*0.01</f>
        <v>18.84</v>
      </c>
    </row>
    <row r="7" spans="1:9" x14ac:dyDescent="0.25">
      <c r="B7" s="515"/>
      <c r="C7" s="222" t="s">
        <v>1781</v>
      </c>
      <c r="D7" s="222" t="s">
        <v>1782</v>
      </c>
      <c r="E7" s="294">
        <f>E4</f>
        <v>4</v>
      </c>
      <c r="F7" s="295">
        <f>7850*E7*0.15*0.24*0.01</f>
        <v>11.303999999999998</v>
      </c>
    </row>
    <row r="8" spans="1:9" ht="15.75" thickBot="1" x14ac:dyDescent="0.3">
      <c r="B8" s="516"/>
      <c r="C8" s="532" t="s">
        <v>50</v>
      </c>
      <c r="D8" s="532"/>
      <c r="E8" s="532"/>
      <c r="F8" s="296">
        <f>F4</f>
        <v>15.552420000000001</v>
      </c>
    </row>
    <row r="9" spans="1:9" x14ac:dyDescent="0.25">
      <c r="B9" s="528" t="s">
        <v>1783</v>
      </c>
      <c r="C9" s="221" t="s">
        <v>1784</v>
      </c>
      <c r="D9" s="297" t="s">
        <v>1785</v>
      </c>
      <c r="E9" s="298">
        <f>4*E4</f>
        <v>16</v>
      </c>
      <c r="F9" s="299">
        <f>7850*E9*3.1416*0.016^2/4*0.3</f>
        <v>7.5760312319999992</v>
      </c>
    </row>
    <row r="10" spans="1:9" ht="15.75" thickBot="1" x14ac:dyDescent="0.3">
      <c r="B10" s="516"/>
      <c r="C10" s="529" t="s">
        <v>50</v>
      </c>
      <c r="D10" s="530"/>
      <c r="E10" s="531"/>
      <c r="F10" s="296">
        <f>F9</f>
        <v>7.5760312319999992</v>
      </c>
    </row>
    <row r="11" spans="1:9" ht="15.75" thickBot="1" x14ac:dyDescent="0.3">
      <c r="B11" s="300"/>
      <c r="C11" s="301"/>
      <c r="D11" s="301"/>
      <c r="E11" s="301"/>
      <c r="F11" s="302"/>
      <c r="G11" s="301"/>
      <c r="H11" s="301"/>
      <c r="I11" s="302"/>
    </row>
    <row r="12" spans="1:9" ht="15.75" thickBot="1" x14ac:dyDescent="0.3">
      <c r="B12" s="533" t="s">
        <v>1786</v>
      </c>
      <c r="C12" s="534"/>
      <c r="D12" s="534"/>
      <c r="E12" s="534"/>
      <c r="F12" s="535"/>
      <c r="G12" s="301"/>
      <c r="H12" s="301"/>
      <c r="I12" s="302"/>
    </row>
    <row r="13" spans="1:9" ht="15.75" thickBot="1" x14ac:dyDescent="0.3">
      <c r="B13" s="289" t="s">
        <v>1771</v>
      </c>
      <c r="C13" s="290" t="s">
        <v>1772</v>
      </c>
      <c r="D13" s="290" t="s">
        <v>1773</v>
      </c>
      <c r="E13" s="290" t="s">
        <v>702</v>
      </c>
      <c r="F13" s="291" t="s">
        <v>1774</v>
      </c>
      <c r="G13" s="301"/>
      <c r="H13" s="301"/>
      <c r="I13" s="302"/>
    </row>
    <row r="14" spans="1:9" x14ac:dyDescent="0.25">
      <c r="B14" s="303" t="s">
        <v>1775</v>
      </c>
      <c r="C14" s="224" t="s">
        <v>1776</v>
      </c>
      <c r="D14" s="224" t="s">
        <v>1787</v>
      </c>
      <c r="E14" s="292">
        <v>4</v>
      </c>
      <c r="F14" s="293">
        <f>7850*E14*0.15*0.15*0.01</f>
        <v>7.0650000000000004</v>
      </c>
      <c r="G14" s="301"/>
      <c r="H14" s="301"/>
      <c r="I14" s="302"/>
    </row>
    <row r="15" spans="1:9" ht="15.75" thickBot="1" x14ac:dyDescent="0.3">
      <c r="B15" s="304"/>
      <c r="C15" s="532" t="s">
        <v>50</v>
      </c>
      <c r="D15" s="532"/>
      <c r="E15" s="532"/>
      <c r="F15" s="296">
        <f>F14</f>
        <v>7.0650000000000004</v>
      </c>
      <c r="G15" s="301"/>
      <c r="H15" s="301"/>
      <c r="I15" s="302"/>
    </row>
    <row r="16" spans="1:9" x14ac:dyDescent="0.25">
      <c r="B16" s="528" t="s">
        <v>1783</v>
      </c>
      <c r="C16" s="221" t="s">
        <v>1784</v>
      </c>
      <c r="D16" s="297" t="s">
        <v>1788</v>
      </c>
      <c r="E16" s="298">
        <f>4*E14</f>
        <v>16</v>
      </c>
      <c r="F16" s="299">
        <f>7850*E16*3.1416*0.0125^2/4*0.3</f>
        <v>4.6240425000000007</v>
      </c>
      <c r="G16" s="301"/>
      <c r="H16" s="301"/>
      <c r="I16" s="302"/>
    </row>
    <row r="17" spans="1:9" ht="15.75" thickBot="1" x14ac:dyDescent="0.3">
      <c r="B17" s="516"/>
      <c r="C17" s="529" t="s">
        <v>50</v>
      </c>
      <c r="D17" s="530"/>
      <c r="E17" s="531"/>
      <c r="F17" s="296">
        <f>F16</f>
        <v>4.6240425000000007</v>
      </c>
      <c r="G17" s="301"/>
      <c r="H17" s="301"/>
      <c r="I17" s="302"/>
    </row>
    <row r="18" spans="1:9" ht="15.75" thickBot="1" x14ac:dyDescent="0.3">
      <c r="B18" s="300"/>
      <c r="C18" s="301"/>
      <c r="D18" s="301"/>
      <c r="E18" s="301"/>
      <c r="F18" s="302"/>
      <c r="G18" s="301"/>
      <c r="H18" s="301"/>
      <c r="I18" s="302"/>
    </row>
    <row r="19" spans="1:9" ht="15.75" thickBot="1" x14ac:dyDescent="0.3">
      <c r="B19" s="533" t="s">
        <v>1789</v>
      </c>
      <c r="C19" s="534"/>
      <c r="D19" s="534"/>
      <c r="E19" s="534"/>
      <c r="F19" s="535"/>
      <c r="G19" s="301"/>
      <c r="H19" s="301"/>
      <c r="I19" s="302"/>
    </row>
    <row r="20" spans="1:9" ht="15.75" thickBot="1" x14ac:dyDescent="0.3">
      <c r="B20" s="289" t="s">
        <v>1771</v>
      </c>
      <c r="C20" s="290" t="s">
        <v>1772</v>
      </c>
      <c r="D20" s="290" t="s">
        <v>1773</v>
      </c>
      <c r="E20" s="290" t="s">
        <v>702</v>
      </c>
      <c r="F20" s="291" t="s">
        <v>1774</v>
      </c>
      <c r="G20" s="301"/>
      <c r="H20" s="301"/>
      <c r="I20" s="302"/>
    </row>
    <row r="21" spans="1:9" x14ac:dyDescent="0.25">
      <c r="B21" s="303" t="s">
        <v>1775</v>
      </c>
      <c r="C21" s="224" t="s">
        <v>1776</v>
      </c>
      <c r="D21" s="224" t="s">
        <v>1790</v>
      </c>
      <c r="E21" s="292">
        <v>3</v>
      </c>
      <c r="F21" s="293">
        <f>7850*E21*0.15*0.85*0.0127</f>
        <v>38.133337499999996</v>
      </c>
      <c r="G21" s="301"/>
      <c r="H21" s="301"/>
      <c r="I21" s="302"/>
    </row>
    <row r="22" spans="1:9" ht="15.75" thickBot="1" x14ac:dyDescent="0.3">
      <c r="B22" s="304"/>
      <c r="C22" s="532" t="s">
        <v>50</v>
      </c>
      <c r="D22" s="532"/>
      <c r="E22" s="532"/>
      <c r="F22" s="296">
        <f>F21</f>
        <v>38.133337499999996</v>
      </c>
      <c r="G22" s="301"/>
      <c r="H22" s="301"/>
      <c r="I22" s="302"/>
    </row>
    <row r="23" spans="1:9" x14ac:dyDescent="0.25">
      <c r="B23" s="528" t="s">
        <v>1783</v>
      </c>
      <c r="C23" s="221" t="s">
        <v>1784</v>
      </c>
      <c r="D23" s="297" t="s">
        <v>1791</v>
      </c>
      <c r="E23" s="298">
        <f>10*E21</f>
        <v>30</v>
      </c>
      <c r="F23" s="299">
        <f>7850*E23*3.1416*0.016^2/4*0.15</f>
        <v>7.1025292799999988</v>
      </c>
      <c r="G23" s="301"/>
      <c r="H23" s="301"/>
      <c r="I23" s="302"/>
    </row>
    <row r="24" spans="1:9" ht="15.75" thickBot="1" x14ac:dyDescent="0.3">
      <c r="B24" s="516"/>
      <c r="C24" s="529" t="s">
        <v>50</v>
      </c>
      <c r="D24" s="530"/>
      <c r="E24" s="531"/>
      <c r="F24" s="296">
        <f>F23</f>
        <v>7.1025292799999988</v>
      </c>
      <c r="G24" s="301"/>
      <c r="H24" s="301"/>
      <c r="I24" s="302"/>
    </row>
    <row r="25" spans="1:9" ht="15.75" thickBot="1" x14ac:dyDescent="0.3">
      <c r="B25" s="300"/>
      <c r="C25" s="301"/>
      <c r="D25" s="301"/>
      <c r="E25" s="301"/>
      <c r="F25" s="302"/>
      <c r="G25" s="301"/>
      <c r="H25" s="301"/>
      <c r="I25" s="302"/>
    </row>
    <row r="26" spans="1:9" ht="15.75" thickBot="1" x14ac:dyDescent="0.3">
      <c r="B26" s="511" t="s">
        <v>1792</v>
      </c>
      <c r="C26" s="512"/>
      <c r="D26" s="512"/>
      <c r="E26" s="512"/>
      <c r="F26" s="513"/>
    </row>
    <row r="27" spans="1:9" ht="30.75" thickBot="1" x14ac:dyDescent="0.3">
      <c r="A27" s="305"/>
      <c r="B27" s="306" t="s">
        <v>1771</v>
      </c>
      <c r="C27" s="290" t="s">
        <v>1772</v>
      </c>
      <c r="D27" s="290" t="s">
        <v>1773</v>
      </c>
      <c r="E27" s="290" t="s">
        <v>1793</v>
      </c>
      <c r="F27" s="291" t="s">
        <v>1774</v>
      </c>
    </row>
    <row r="28" spans="1:9" x14ac:dyDescent="0.25">
      <c r="A28" s="307"/>
      <c r="B28" s="514" t="s">
        <v>1775</v>
      </c>
      <c r="C28" s="308" t="s">
        <v>1794</v>
      </c>
      <c r="D28" s="308" t="s">
        <v>1795</v>
      </c>
      <c r="E28" s="309">
        <v>21.18</v>
      </c>
      <c r="F28" s="310">
        <v>248.8</v>
      </c>
    </row>
    <row r="29" spans="1:9" x14ac:dyDescent="0.25">
      <c r="A29" s="311"/>
      <c r="B29" s="515"/>
      <c r="C29" s="312" t="s">
        <v>1794</v>
      </c>
      <c r="D29" s="312" t="s">
        <v>1796</v>
      </c>
      <c r="E29" s="313">
        <v>16.37</v>
      </c>
      <c r="F29" s="314">
        <v>191.3</v>
      </c>
    </row>
    <row r="30" spans="1:9" ht="15.75" thickBot="1" x14ac:dyDescent="0.3">
      <c r="B30" s="516"/>
      <c r="C30" s="315" t="s">
        <v>1797</v>
      </c>
      <c r="D30" s="315" t="s">
        <v>1798</v>
      </c>
      <c r="E30" s="316">
        <v>59.26</v>
      </c>
      <c r="F30" s="317">
        <v>518.6</v>
      </c>
    </row>
    <row r="31" spans="1:9" ht="15.75" thickBot="1" x14ac:dyDescent="0.3">
      <c r="B31" s="318"/>
      <c r="C31" s="517" t="s">
        <v>50</v>
      </c>
      <c r="D31" s="518"/>
      <c r="E31" s="319">
        <f>SUM(E28:E30)</f>
        <v>96.81</v>
      </c>
      <c r="F31" s="319">
        <f>SUM(F28:F30)</f>
        <v>958.7</v>
      </c>
    </row>
    <row r="33" spans="2:6" ht="15.75" thickBot="1" x14ac:dyDescent="0.3"/>
    <row r="34" spans="2:6" ht="18" thickBot="1" x14ac:dyDescent="0.3">
      <c r="B34" s="519" t="s">
        <v>1799</v>
      </c>
      <c r="C34" s="520"/>
      <c r="D34" s="520"/>
      <c r="E34" s="520"/>
      <c r="F34" s="521"/>
    </row>
    <row r="35" spans="2:6" ht="18" thickBot="1" x14ac:dyDescent="0.3">
      <c r="B35" s="522" t="s">
        <v>219</v>
      </c>
      <c r="C35" s="523"/>
      <c r="D35" s="523"/>
      <c r="E35" s="524"/>
      <c r="F35" s="320" t="s">
        <v>168</v>
      </c>
    </row>
    <row r="36" spans="2:6" x14ac:dyDescent="0.25">
      <c r="B36" s="525" t="s">
        <v>773</v>
      </c>
      <c r="C36" s="526"/>
      <c r="D36" s="527"/>
      <c r="E36" s="321">
        <f>F8+F15+F31+F22</f>
        <v>1019.4507575000001</v>
      </c>
      <c r="F36" s="322" t="s">
        <v>22</v>
      </c>
    </row>
    <row r="37" spans="2:6" x14ac:dyDescent="0.25">
      <c r="B37" s="505" t="s">
        <v>774</v>
      </c>
      <c r="C37" s="506"/>
      <c r="D37" s="507"/>
      <c r="E37" s="323">
        <f>E31</f>
        <v>96.81</v>
      </c>
      <c r="F37" s="324" t="s">
        <v>775</v>
      </c>
    </row>
    <row r="38" spans="2:6" x14ac:dyDescent="0.25">
      <c r="B38" s="505" t="s">
        <v>776</v>
      </c>
      <c r="C38" s="506"/>
      <c r="D38" s="507"/>
      <c r="E38" s="325">
        <f>F9+F23</f>
        <v>14.678560511999997</v>
      </c>
      <c r="F38" s="326" t="s">
        <v>22</v>
      </c>
    </row>
    <row r="39" spans="2:6" ht="15.75" thickBot="1" x14ac:dyDescent="0.3">
      <c r="B39" s="508" t="s">
        <v>777</v>
      </c>
      <c r="C39" s="509"/>
      <c r="D39" s="510"/>
      <c r="E39" s="327">
        <f>F16</f>
        <v>4.6240425000000007</v>
      </c>
      <c r="F39" s="328" t="s">
        <v>22</v>
      </c>
    </row>
  </sheetData>
  <mergeCells count="22">
    <mergeCell ref="B23:B24"/>
    <mergeCell ref="C24:E24"/>
    <mergeCell ref="B2:F2"/>
    <mergeCell ref="B4:B8"/>
    <mergeCell ref="C8:E8"/>
    <mergeCell ref="B9:B10"/>
    <mergeCell ref="C10:E10"/>
    <mergeCell ref="B12:F12"/>
    <mergeCell ref="C15:E15"/>
    <mergeCell ref="B16:B17"/>
    <mergeCell ref="C17:E17"/>
    <mergeCell ref="B19:F19"/>
    <mergeCell ref="C22:E22"/>
    <mergeCell ref="B37:D37"/>
    <mergeCell ref="B38:D38"/>
    <mergeCell ref="B39:D39"/>
    <mergeCell ref="B26:F26"/>
    <mergeCell ref="B28:B30"/>
    <mergeCell ref="C31:D31"/>
    <mergeCell ref="B34:F34"/>
    <mergeCell ref="B35:E35"/>
    <mergeCell ref="B36:D36"/>
  </mergeCells>
  <pageMargins left="0.511811024" right="0.511811024" top="0.78740157499999996" bottom="0.78740157499999996" header="0.31496062000000002" footer="0.31496062000000002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V40"/>
  <sheetViews>
    <sheetView showGridLines="0" view="pageBreakPreview" zoomScale="60" zoomScaleNormal="70" zoomScalePageLayoutView="70" workbookViewId="0">
      <selection activeCell="A20" sqref="A20"/>
    </sheetView>
  </sheetViews>
  <sheetFormatPr defaultColWidth="1.125" defaultRowHeight="15" x14ac:dyDescent="0.25"/>
  <cols>
    <col min="1" max="1" width="101.875" style="132" customWidth="1"/>
    <col min="2" max="2" width="15.125" style="132" bestFit="1" customWidth="1"/>
    <col min="3" max="3" width="9.75" style="132" bestFit="1" customWidth="1"/>
    <col min="4" max="16375" width="0" style="132" hidden="1" customWidth="1"/>
    <col min="16376" max="16376" width="0.75" style="132" hidden="1" customWidth="1"/>
    <col min="16377" max="16377" width="1.125" style="132" customWidth="1"/>
    <col min="16378" max="16384" width="1.125" style="132"/>
  </cols>
  <sheetData>
    <row r="1" spans="1:16376" s="133" customFormat="1" x14ac:dyDescent="0.25">
      <c r="A1" s="347" t="s">
        <v>1829</v>
      </c>
      <c r="B1" s="348"/>
      <c r="C1" s="348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536"/>
      <c r="BZ1" s="536"/>
      <c r="CA1" s="536"/>
      <c r="CB1" s="536"/>
      <c r="CC1" s="536"/>
      <c r="CD1" s="536"/>
      <c r="CE1" s="536"/>
      <c r="CF1" s="536"/>
      <c r="CG1" s="536"/>
      <c r="CH1" s="536"/>
      <c r="CI1" s="536"/>
      <c r="CJ1" s="536"/>
      <c r="CK1" s="536"/>
      <c r="CL1" s="536"/>
      <c r="CM1" s="536"/>
      <c r="CN1" s="536"/>
      <c r="CO1" s="536"/>
      <c r="CP1" s="536"/>
      <c r="CQ1" s="536"/>
      <c r="CR1" s="536"/>
      <c r="CS1" s="536"/>
      <c r="CT1" s="536"/>
      <c r="CU1" s="536"/>
      <c r="CV1" s="536"/>
      <c r="CW1" s="536"/>
      <c r="CX1" s="536"/>
      <c r="CY1" s="536"/>
      <c r="CZ1" s="536"/>
      <c r="DA1" s="536"/>
      <c r="DB1" s="536"/>
      <c r="DC1" s="536"/>
      <c r="DD1" s="536"/>
      <c r="DE1" s="536"/>
      <c r="DF1" s="536"/>
      <c r="DG1" s="536"/>
      <c r="DH1" s="536"/>
      <c r="DI1" s="536"/>
      <c r="DJ1" s="536"/>
      <c r="DK1" s="536"/>
      <c r="DL1" s="536"/>
      <c r="DM1" s="536"/>
      <c r="DN1" s="536"/>
      <c r="DO1" s="536"/>
      <c r="DP1" s="536"/>
      <c r="DQ1" s="536"/>
      <c r="DR1" s="536"/>
      <c r="DS1" s="536"/>
      <c r="DT1" s="536"/>
      <c r="DU1" s="536"/>
      <c r="DV1" s="536"/>
      <c r="DW1" s="536"/>
      <c r="DX1" s="536"/>
      <c r="DY1" s="536"/>
      <c r="DZ1" s="536"/>
      <c r="EA1" s="536"/>
      <c r="EB1" s="536"/>
      <c r="EC1" s="536"/>
      <c r="ED1" s="536"/>
      <c r="EE1" s="536"/>
      <c r="EF1" s="536"/>
      <c r="EG1" s="536"/>
      <c r="EH1" s="536"/>
      <c r="EI1" s="536"/>
      <c r="EJ1" s="536"/>
      <c r="EK1" s="536"/>
      <c r="EL1" s="536"/>
      <c r="EM1" s="536"/>
      <c r="EN1" s="536"/>
      <c r="EO1" s="536"/>
      <c r="EP1" s="536"/>
      <c r="EQ1" s="536"/>
      <c r="ER1" s="536"/>
      <c r="ES1" s="536"/>
      <c r="ET1" s="536"/>
      <c r="EU1" s="536"/>
      <c r="EV1" s="536"/>
      <c r="EW1" s="536"/>
      <c r="EX1" s="536"/>
      <c r="EY1" s="536"/>
      <c r="EZ1" s="536"/>
      <c r="FA1" s="536"/>
      <c r="FB1" s="536"/>
      <c r="FC1" s="536"/>
      <c r="FD1" s="536"/>
      <c r="FE1" s="536"/>
      <c r="FF1" s="536"/>
      <c r="FG1" s="536"/>
      <c r="FH1" s="536"/>
      <c r="FI1" s="536"/>
      <c r="FJ1" s="536"/>
      <c r="FK1" s="536"/>
      <c r="FL1" s="536"/>
      <c r="FM1" s="536"/>
      <c r="FN1" s="536"/>
      <c r="FO1" s="536"/>
      <c r="FP1" s="536"/>
      <c r="FQ1" s="536"/>
      <c r="FR1" s="536"/>
      <c r="FS1" s="536"/>
      <c r="FT1" s="536"/>
      <c r="FU1" s="536"/>
      <c r="FV1" s="536"/>
      <c r="FW1" s="536"/>
      <c r="FX1" s="536"/>
      <c r="FY1" s="536"/>
      <c r="FZ1" s="536"/>
      <c r="GA1" s="536"/>
      <c r="GB1" s="536"/>
      <c r="GC1" s="536"/>
      <c r="GD1" s="536"/>
      <c r="GE1" s="536"/>
      <c r="GF1" s="536"/>
      <c r="GG1" s="536"/>
      <c r="GH1" s="536"/>
      <c r="GI1" s="536"/>
      <c r="GJ1" s="536"/>
      <c r="GK1" s="536"/>
      <c r="GL1" s="536"/>
      <c r="GM1" s="536"/>
      <c r="GN1" s="536"/>
      <c r="GO1" s="536"/>
      <c r="GP1" s="536"/>
      <c r="GQ1" s="536"/>
      <c r="GR1" s="536"/>
      <c r="GS1" s="536"/>
      <c r="GT1" s="536"/>
      <c r="GU1" s="536"/>
      <c r="GV1" s="536"/>
      <c r="GW1" s="536"/>
      <c r="GX1" s="536"/>
      <c r="GY1" s="536"/>
      <c r="GZ1" s="536"/>
      <c r="HA1" s="536"/>
      <c r="HB1" s="536"/>
      <c r="HC1" s="536"/>
      <c r="HD1" s="536"/>
      <c r="HE1" s="536"/>
      <c r="HF1" s="536"/>
      <c r="HG1" s="536"/>
      <c r="HH1" s="536"/>
      <c r="HI1" s="536"/>
      <c r="HJ1" s="536"/>
      <c r="HK1" s="536"/>
      <c r="HL1" s="536"/>
      <c r="HM1" s="536"/>
      <c r="HN1" s="536"/>
      <c r="HO1" s="536"/>
      <c r="HP1" s="536"/>
      <c r="HQ1" s="536"/>
      <c r="HR1" s="536"/>
      <c r="HS1" s="536"/>
      <c r="HT1" s="536"/>
      <c r="HU1" s="536"/>
      <c r="HV1" s="536"/>
      <c r="HW1" s="536"/>
      <c r="HX1" s="536"/>
      <c r="HY1" s="536"/>
      <c r="HZ1" s="536"/>
      <c r="IA1" s="536"/>
      <c r="IB1" s="536"/>
      <c r="IC1" s="536"/>
      <c r="ID1" s="536"/>
      <c r="IE1" s="536"/>
      <c r="IF1" s="536"/>
      <c r="IG1" s="536"/>
      <c r="IH1" s="536"/>
      <c r="II1" s="536"/>
      <c r="IJ1" s="536"/>
      <c r="IK1" s="536"/>
      <c r="IL1" s="536"/>
      <c r="IM1" s="536"/>
      <c r="IN1" s="536"/>
      <c r="IO1" s="536"/>
      <c r="IP1" s="536"/>
      <c r="IQ1" s="536"/>
      <c r="IR1" s="536"/>
      <c r="IS1" s="536"/>
      <c r="IT1" s="536"/>
      <c r="IU1" s="536"/>
      <c r="IV1" s="536"/>
      <c r="IW1" s="536"/>
      <c r="IX1" s="536"/>
      <c r="IY1" s="536"/>
      <c r="IZ1" s="536"/>
      <c r="JA1" s="536"/>
      <c r="JB1" s="536"/>
      <c r="JC1" s="536"/>
      <c r="JD1" s="536"/>
      <c r="JE1" s="536"/>
      <c r="JF1" s="536"/>
      <c r="JG1" s="536"/>
      <c r="JH1" s="536"/>
      <c r="JI1" s="536"/>
      <c r="JJ1" s="536"/>
      <c r="JK1" s="536"/>
      <c r="JL1" s="536"/>
      <c r="JM1" s="536"/>
      <c r="JN1" s="536"/>
      <c r="JO1" s="536"/>
      <c r="JP1" s="536"/>
      <c r="JQ1" s="536"/>
      <c r="JR1" s="536"/>
      <c r="JS1" s="536"/>
      <c r="JT1" s="536"/>
      <c r="JU1" s="536"/>
      <c r="JV1" s="536"/>
      <c r="JW1" s="536"/>
      <c r="JX1" s="536"/>
      <c r="JY1" s="536"/>
      <c r="JZ1" s="536"/>
      <c r="KA1" s="536"/>
      <c r="KB1" s="536"/>
      <c r="KC1" s="536"/>
      <c r="KD1" s="536"/>
      <c r="KE1" s="536"/>
      <c r="KF1" s="536"/>
      <c r="KG1" s="536"/>
      <c r="KH1" s="536"/>
      <c r="KI1" s="536"/>
      <c r="KJ1" s="536"/>
      <c r="KK1" s="536"/>
      <c r="KL1" s="536"/>
      <c r="KM1" s="536"/>
      <c r="KN1" s="536"/>
      <c r="KO1" s="536"/>
      <c r="KP1" s="536"/>
      <c r="KQ1" s="536"/>
      <c r="KR1" s="536"/>
      <c r="KS1" s="536"/>
      <c r="KT1" s="536"/>
      <c r="KU1" s="536"/>
      <c r="KV1" s="536"/>
      <c r="KW1" s="536"/>
      <c r="KX1" s="536"/>
      <c r="KY1" s="536"/>
      <c r="KZ1" s="536"/>
      <c r="LA1" s="536"/>
      <c r="LB1" s="536"/>
      <c r="LC1" s="536"/>
      <c r="LD1" s="536"/>
      <c r="LE1" s="536"/>
      <c r="LF1" s="536"/>
      <c r="LG1" s="536"/>
      <c r="LH1" s="536"/>
      <c r="LI1" s="536"/>
      <c r="LJ1" s="536"/>
      <c r="LK1" s="536"/>
      <c r="LL1" s="536"/>
      <c r="LM1" s="536"/>
      <c r="LN1" s="536"/>
      <c r="LO1" s="536"/>
      <c r="LP1" s="536"/>
      <c r="LQ1" s="536"/>
      <c r="LR1" s="536"/>
      <c r="LS1" s="536"/>
      <c r="LT1" s="536"/>
      <c r="LU1" s="536"/>
      <c r="LV1" s="536"/>
      <c r="LW1" s="536"/>
      <c r="LX1" s="536"/>
      <c r="LY1" s="536"/>
      <c r="LZ1" s="536"/>
      <c r="MA1" s="536"/>
      <c r="MB1" s="536"/>
      <c r="MC1" s="536"/>
      <c r="MD1" s="536"/>
      <c r="ME1" s="536"/>
      <c r="MF1" s="536"/>
      <c r="MG1" s="536"/>
      <c r="MH1" s="536"/>
      <c r="MI1" s="536"/>
      <c r="MJ1" s="536"/>
      <c r="MK1" s="536"/>
      <c r="ML1" s="536"/>
      <c r="MM1" s="536"/>
      <c r="MN1" s="536"/>
      <c r="MO1" s="536"/>
      <c r="MP1" s="536"/>
      <c r="MQ1" s="536"/>
      <c r="MR1" s="536"/>
      <c r="MS1" s="536"/>
      <c r="MT1" s="536"/>
      <c r="MU1" s="536"/>
      <c r="MV1" s="536"/>
      <c r="MW1" s="536"/>
      <c r="MX1" s="536"/>
      <c r="MY1" s="536"/>
      <c r="MZ1" s="536"/>
      <c r="NA1" s="536"/>
      <c r="NB1" s="536"/>
      <c r="NC1" s="536"/>
      <c r="ND1" s="536"/>
      <c r="NE1" s="536"/>
      <c r="NF1" s="536"/>
      <c r="NG1" s="536"/>
      <c r="NH1" s="536"/>
      <c r="NI1" s="536"/>
      <c r="NJ1" s="536"/>
      <c r="NK1" s="536"/>
      <c r="NL1" s="536"/>
      <c r="NM1" s="536"/>
      <c r="NN1" s="536"/>
      <c r="NO1" s="536"/>
      <c r="NP1" s="536"/>
      <c r="NQ1" s="536"/>
      <c r="NR1" s="536"/>
      <c r="NS1" s="536"/>
      <c r="NT1" s="536"/>
      <c r="NU1" s="536"/>
      <c r="NV1" s="536"/>
      <c r="NW1" s="536"/>
      <c r="NX1" s="536"/>
      <c r="NY1" s="536"/>
      <c r="NZ1" s="536"/>
      <c r="OA1" s="536"/>
      <c r="OB1" s="536"/>
      <c r="OC1" s="536"/>
      <c r="OD1" s="536"/>
      <c r="OE1" s="536"/>
      <c r="OF1" s="536"/>
      <c r="OG1" s="536"/>
      <c r="OH1" s="536"/>
      <c r="OI1" s="536"/>
      <c r="OJ1" s="536"/>
      <c r="OK1" s="536"/>
      <c r="OL1" s="536"/>
      <c r="OM1" s="536"/>
      <c r="ON1" s="536"/>
      <c r="OO1" s="536"/>
      <c r="OP1" s="536"/>
      <c r="OQ1" s="536"/>
      <c r="OR1" s="536"/>
      <c r="OS1" s="536"/>
      <c r="OT1" s="536"/>
      <c r="OU1" s="536"/>
      <c r="OV1" s="536"/>
      <c r="OW1" s="536"/>
      <c r="OX1" s="536"/>
      <c r="OY1" s="536"/>
      <c r="OZ1" s="536"/>
      <c r="PA1" s="536"/>
      <c r="PB1" s="536"/>
      <c r="PC1" s="536"/>
      <c r="PD1" s="536"/>
      <c r="PE1" s="536"/>
      <c r="PF1" s="536"/>
      <c r="PG1" s="536"/>
      <c r="PH1" s="536"/>
      <c r="PI1" s="536"/>
      <c r="PJ1" s="536"/>
      <c r="PK1" s="536"/>
      <c r="PL1" s="536"/>
      <c r="PM1" s="536"/>
      <c r="PN1" s="536"/>
      <c r="PO1" s="536"/>
      <c r="PP1" s="536"/>
      <c r="PQ1" s="536"/>
      <c r="PR1" s="536"/>
      <c r="PS1" s="536"/>
      <c r="PT1" s="536"/>
      <c r="PU1" s="536"/>
      <c r="PV1" s="536"/>
      <c r="PW1" s="536"/>
      <c r="PX1" s="536"/>
      <c r="PY1" s="536"/>
      <c r="PZ1" s="536"/>
      <c r="QA1" s="536"/>
      <c r="QB1" s="536"/>
      <c r="QC1" s="536"/>
      <c r="QD1" s="536"/>
      <c r="QE1" s="536"/>
      <c r="QF1" s="536"/>
      <c r="QG1" s="536"/>
      <c r="QH1" s="536"/>
      <c r="QI1" s="536"/>
      <c r="QJ1" s="536"/>
      <c r="QK1" s="536"/>
      <c r="QL1" s="536"/>
      <c r="QM1" s="536"/>
      <c r="QN1" s="536"/>
      <c r="QO1" s="536"/>
      <c r="QP1" s="536"/>
      <c r="QQ1" s="536"/>
      <c r="QR1" s="536"/>
      <c r="QS1" s="536"/>
      <c r="QT1" s="536"/>
      <c r="QU1" s="536"/>
      <c r="QV1" s="536"/>
      <c r="QW1" s="536"/>
      <c r="QX1" s="536"/>
      <c r="QY1" s="536"/>
      <c r="QZ1" s="536"/>
      <c r="RA1" s="536"/>
      <c r="RB1" s="536"/>
      <c r="RC1" s="536"/>
      <c r="RD1" s="536"/>
      <c r="RE1" s="536"/>
      <c r="RF1" s="536"/>
      <c r="RG1" s="536"/>
      <c r="RH1" s="536"/>
      <c r="RI1" s="536"/>
      <c r="RJ1" s="536"/>
      <c r="RK1" s="536"/>
      <c r="RL1" s="536"/>
      <c r="RM1" s="536"/>
      <c r="RN1" s="536"/>
      <c r="RO1" s="536"/>
      <c r="RP1" s="536"/>
      <c r="RQ1" s="536"/>
      <c r="RR1" s="536"/>
      <c r="RS1" s="536"/>
      <c r="RT1" s="536"/>
      <c r="RU1" s="536"/>
      <c r="RV1" s="536"/>
      <c r="RW1" s="536"/>
      <c r="RX1" s="536"/>
      <c r="RY1" s="536"/>
      <c r="RZ1" s="536"/>
      <c r="SA1" s="536"/>
      <c r="SB1" s="536"/>
      <c r="SC1" s="536"/>
      <c r="SD1" s="536"/>
      <c r="SE1" s="536"/>
      <c r="SF1" s="536"/>
      <c r="SG1" s="536"/>
      <c r="SH1" s="536"/>
      <c r="SI1" s="536"/>
      <c r="SJ1" s="536"/>
      <c r="SK1" s="536"/>
      <c r="SL1" s="536"/>
      <c r="SM1" s="536"/>
      <c r="SN1" s="536"/>
      <c r="SO1" s="536"/>
      <c r="SP1" s="536"/>
      <c r="SQ1" s="536"/>
      <c r="SR1" s="536"/>
      <c r="SS1" s="536"/>
      <c r="ST1" s="536"/>
      <c r="SU1" s="536"/>
      <c r="SV1" s="536"/>
      <c r="SW1" s="536"/>
      <c r="SX1" s="536"/>
      <c r="SY1" s="536"/>
      <c r="SZ1" s="536"/>
      <c r="TA1" s="536"/>
      <c r="TB1" s="536"/>
      <c r="TC1" s="536"/>
      <c r="TD1" s="536"/>
      <c r="TE1" s="536"/>
      <c r="TF1" s="536"/>
      <c r="TG1" s="536"/>
      <c r="TH1" s="536"/>
      <c r="TI1" s="536"/>
      <c r="TJ1" s="536"/>
      <c r="TK1" s="536"/>
      <c r="TL1" s="536"/>
      <c r="TM1" s="536"/>
      <c r="TN1" s="536"/>
      <c r="TO1" s="536"/>
      <c r="TP1" s="536"/>
      <c r="TQ1" s="536"/>
      <c r="TR1" s="536"/>
      <c r="TS1" s="536"/>
      <c r="TT1" s="536"/>
      <c r="TU1" s="536"/>
      <c r="TV1" s="536"/>
      <c r="TW1" s="536"/>
      <c r="TX1" s="536"/>
      <c r="TY1" s="536"/>
      <c r="TZ1" s="536"/>
      <c r="UA1" s="536"/>
      <c r="UB1" s="536"/>
      <c r="UC1" s="536"/>
      <c r="UD1" s="536"/>
      <c r="UE1" s="536"/>
      <c r="UF1" s="536"/>
      <c r="UG1" s="536"/>
      <c r="UH1" s="536"/>
      <c r="UI1" s="536"/>
      <c r="UJ1" s="536"/>
      <c r="UK1" s="536"/>
      <c r="UL1" s="536"/>
      <c r="UM1" s="536"/>
      <c r="UN1" s="536"/>
      <c r="UO1" s="536"/>
      <c r="UP1" s="536"/>
      <c r="UQ1" s="536"/>
      <c r="UR1" s="536"/>
      <c r="US1" s="536"/>
      <c r="UT1" s="536"/>
      <c r="UU1" s="536"/>
      <c r="UV1" s="536"/>
      <c r="UW1" s="536"/>
      <c r="UX1" s="536"/>
      <c r="UY1" s="536"/>
      <c r="UZ1" s="536"/>
      <c r="VA1" s="536"/>
      <c r="VB1" s="536"/>
      <c r="VC1" s="536"/>
      <c r="VD1" s="536"/>
      <c r="VE1" s="536"/>
      <c r="VF1" s="536"/>
      <c r="VG1" s="536"/>
      <c r="VH1" s="536"/>
      <c r="VI1" s="536"/>
      <c r="VJ1" s="536"/>
      <c r="VK1" s="536"/>
      <c r="VL1" s="536"/>
      <c r="VM1" s="536"/>
      <c r="VN1" s="536"/>
      <c r="VO1" s="536"/>
      <c r="VP1" s="536"/>
      <c r="VQ1" s="536"/>
      <c r="VR1" s="536"/>
      <c r="VS1" s="536"/>
      <c r="VT1" s="536"/>
      <c r="VU1" s="536"/>
      <c r="VV1" s="536"/>
      <c r="VW1" s="536"/>
      <c r="VX1" s="536"/>
      <c r="VY1" s="536"/>
      <c r="VZ1" s="536"/>
      <c r="WA1" s="536"/>
      <c r="WB1" s="536"/>
      <c r="WC1" s="536"/>
      <c r="WD1" s="536"/>
      <c r="WE1" s="536"/>
      <c r="WF1" s="536"/>
      <c r="WG1" s="536"/>
      <c r="WH1" s="536"/>
      <c r="WI1" s="536"/>
      <c r="WJ1" s="536"/>
      <c r="WK1" s="536"/>
      <c r="WL1" s="536"/>
      <c r="WM1" s="536"/>
      <c r="WN1" s="536"/>
      <c r="WO1" s="536"/>
      <c r="WP1" s="536"/>
      <c r="WQ1" s="536"/>
      <c r="WR1" s="536"/>
      <c r="WS1" s="536"/>
      <c r="WT1" s="536"/>
      <c r="WU1" s="536"/>
      <c r="WV1" s="536"/>
      <c r="WW1" s="536"/>
      <c r="WX1" s="536"/>
      <c r="WY1" s="536"/>
      <c r="WZ1" s="536"/>
      <c r="XA1" s="536"/>
      <c r="XB1" s="536"/>
      <c r="XC1" s="536"/>
      <c r="XD1" s="536"/>
      <c r="XE1" s="536"/>
      <c r="XF1" s="536"/>
      <c r="XG1" s="536"/>
      <c r="XH1" s="536"/>
      <c r="XI1" s="536"/>
      <c r="XJ1" s="536"/>
      <c r="XK1" s="536"/>
      <c r="XL1" s="536"/>
      <c r="XM1" s="536"/>
      <c r="XN1" s="536"/>
      <c r="XO1" s="536"/>
      <c r="XP1" s="536"/>
      <c r="XQ1" s="536"/>
      <c r="XR1" s="536"/>
      <c r="XS1" s="536"/>
      <c r="XT1" s="536"/>
      <c r="XU1" s="536"/>
      <c r="XV1" s="536"/>
      <c r="XW1" s="536"/>
      <c r="XX1" s="536"/>
      <c r="XY1" s="536"/>
      <c r="XZ1" s="536"/>
      <c r="YA1" s="536"/>
      <c r="YB1" s="536"/>
      <c r="YC1" s="536"/>
      <c r="YD1" s="536"/>
      <c r="YE1" s="536"/>
      <c r="YF1" s="536"/>
      <c r="YG1" s="536"/>
      <c r="YH1" s="536"/>
      <c r="YI1" s="536"/>
      <c r="YJ1" s="536"/>
      <c r="YK1" s="536"/>
      <c r="YL1" s="536"/>
      <c r="YM1" s="536"/>
      <c r="YN1" s="536"/>
      <c r="YO1" s="536"/>
      <c r="YP1" s="536"/>
      <c r="YQ1" s="536"/>
      <c r="YR1" s="536"/>
      <c r="YS1" s="536"/>
      <c r="YT1" s="536"/>
      <c r="YU1" s="536"/>
      <c r="YV1" s="536"/>
      <c r="YW1" s="536"/>
      <c r="YX1" s="536"/>
      <c r="YY1" s="536"/>
      <c r="YZ1" s="536"/>
      <c r="ZA1" s="536"/>
      <c r="ZB1" s="536"/>
      <c r="ZC1" s="536"/>
      <c r="ZD1" s="536"/>
      <c r="ZE1" s="536"/>
      <c r="ZF1" s="536"/>
      <c r="ZG1" s="536"/>
      <c r="ZH1" s="536"/>
      <c r="ZI1" s="536"/>
      <c r="ZJ1" s="536"/>
      <c r="ZK1" s="536"/>
      <c r="ZL1" s="536"/>
      <c r="ZM1" s="536"/>
      <c r="ZN1" s="536"/>
      <c r="ZO1" s="536"/>
      <c r="ZP1" s="536"/>
      <c r="ZQ1" s="536"/>
      <c r="ZR1" s="536"/>
      <c r="ZS1" s="536"/>
      <c r="ZT1" s="536"/>
      <c r="ZU1" s="536"/>
      <c r="ZV1" s="536"/>
      <c r="ZW1" s="536"/>
      <c r="ZX1" s="536"/>
      <c r="ZY1" s="536"/>
      <c r="ZZ1" s="536"/>
      <c r="AAA1" s="536"/>
      <c r="AAB1" s="536"/>
      <c r="AAC1" s="536"/>
      <c r="AAD1" s="536"/>
      <c r="AAE1" s="536"/>
      <c r="AAF1" s="536"/>
      <c r="AAG1" s="536"/>
      <c r="AAH1" s="536"/>
      <c r="AAI1" s="536"/>
      <c r="AAJ1" s="536"/>
      <c r="AAK1" s="536"/>
      <c r="AAL1" s="536"/>
      <c r="AAM1" s="536"/>
      <c r="AAN1" s="536"/>
      <c r="AAO1" s="536"/>
      <c r="AAP1" s="536"/>
      <c r="AAQ1" s="536"/>
      <c r="AAR1" s="536"/>
      <c r="AAS1" s="536"/>
      <c r="AAT1" s="536"/>
      <c r="AAU1" s="536"/>
      <c r="AAV1" s="536"/>
      <c r="AAW1" s="536"/>
      <c r="AAX1" s="536"/>
      <c r="AAY1" s="536"/>
      <c r="AAZ1" s="536"/>
      <c r="ABA1" s="536"/>
      <c r="ABB1" s="536"/>
      <c r="ABC1" s="536"/>
      <c r="ABD1" s="536"/>
      <c r="ABE1" s="536"/>
      <c r="ABF1" s="536"/>
      <c r="ABG1" s="536"/>
      <c r="ABH1" s="536"/>
      <c r="ABI1" s="536"/>
      <c r="ABJ1" s="536"/>
      <c r="ABK1" s="536"/>
      <c r="ABL1" s="536"/>
      <c r="ABM1" s="536"/>
      <c r="ABN1" s="536"/>
      <c r="ABO1" s="536"/>
      <c r="ABP1" s="536"/>
      <c r="ABQ1" s="536"/>
      <c r="ABR1" s="536"/>
      <c r="ABS1" s="536"/>
      <c r="ABT1" s="536"/>
      <c r="ABU1" s="536"/>
      <c r="ABV1" s="536"/>
      <c r="ABW1" s="536"/>
      <c r="ABX1" s="536"/>
      <c r="ABY1" s="536"/>
      <c r="ABZ1" s="536"/>
      <c r="ACA1" s="536"/>
      <c r="ACB1" s="536"/>
      <c r="ACC1" s="536"/>
      <c r="ACD1" s="536"/>
      <c r="ACE1" s="536"/>
      <c r="ACF1" s="536"/>
      <c r="ACG1" s="536"/>
      <c r="ACH1" s="536"/>
      <c r="ACI1" s="536"/>
      <c r="ACJ1" s="536"/>
      <c r="ACK1" s="536"/>
      <c r="ACL1" s="536"/>
      <c r="ACM1" s="536"/>
      <c r="ACN1" s="536"/>
      <c r="ACO1" s="536"/>
      <c r="ACP1" s="536"/>
      <c r="ACQ1" s="536"/>
      <c r="ACR1" s="536"/>
      <c r="ACS1" s="536"/>
      <c r="ACT1" s="536"/>
      <c r="ACU1" s="536"/>
      <c r="ACV1" s="536"/>
      <c r="ACW1" s="536"/>
      <c r="ACX1" s="536"/>
      <c r="ACY1" s="536"/>
      <c r="ACZ1" s="536"/>
      <c r="ADA1" s="536"/>
      <c r="ADB1" s="536"/>
      <c r="ADC1" s="536"/>
      <c r="ADD1" s="536"/>
      <c r="ADE1" s="536"/>
      <c r="ADF1" s="536"/>
      <c r="ADG1" s="536"/>
      <c r="ADH1" s="536"/>
      <c r="ADI1" s="536"/>
      <c r="ADJ1" s="536"/>
      <c r="ADK1" s="536"/>
      <c r="ADL1" s="536"/>
      <c r="ADM1" s="536"/>
      <c r="ADN1" s="536"/>
      <c r="ADO1" s="536"/>
      <c r="ADP1" s="536"/>
      <c r="ADQ1" s="536"/>
      <c r="ADR1" s="536"/>
      <c r="ADS1" s="536"/>
      <c r="ADT1" s="536"/>
      <c r="ADU1" s="536"/>
      <c r="ADV1" s="536"/>
      <c r="ADW1" s="536"/>
      <c r="ADX1" s="536"/>
      <c r="ADY1" s="536"/>
      <c r="ADZ1" s="536"/>
      <c r="AEA1" s="536"/>
      <c r="AEB1" s="536"/>
      <c r="AEC1" s="536"/>
      <c r="AED1" s="536"/>
      <c r="AEE1" s="536"/>
      <c r="AEF1" s="536"/>
      <c r="AEG1" s="536"/>
      <c r="AEH1" s="536"/>
      <c r="AEI1" s="536"/>
      <c r="AEJ1" s="536"/>
      <c r="AEK1" s="536"/>
      <c r="AEL1" s="536"/>
      <c r="AEM1" s="536"/>
      <c r="AEN1" s="536"/>
      <c r="AEO1" s="536"/>
      <c r="AEP1" s="536"/>
      <c r="AEQ1" s="536"/>
      <c r="AER1" s="536"/>
      <c r="AES1" s="536"/>
      <c r="AET1" s="536"/>
      <c r="AEU1" s="536"/>
      <c r="AEV1" s="536"/>
      <c r="AEW1" s="536"/>
      <c r="AEX1" s="536"/>
      <c r="AEY1" s="536"/>
      <c r="AEZ1" s="536"/>
      <c r="AFA1" s="536"/>
      <c r="AFB1" s="536"/>
      <c r="AFC1" s="536"/>
      <c r="AFD1" s="536"/>
      <c r="AFE1" s="536"/>
      <c r="AFF1" s="536"/>
      <c r="AFG1" s="536"/>
      <c r="AFH1" s="536"/>
      <c r="AFI1" s="536"/>
      <c r="AFJ1" s="536"/>
      <c r="AFK1" s="536"/>
      <c r="AFL1" s="536"/>
      <c r="AFM1" s="536"/>
      <c r="AFN1" s="536"/>
      <c r="AFO1" s="536"/>
      <c r="AFP1" s="536"/>
      <c r="AFQ1" s="536"/>
      <c r="AFR1" s="536"/>
      <c r="AFS1" s="536"/>
      <c r="AFT1" s="536"/>
      <c r="AFU1" s="536"/>
      <c r="AFV1" s="536"/>
      <c r="AFW1" s="536"/>
      <c r="AFX1" s="536"/>
      <c r="AFY1" s="536"/>
      <c r="AFZ1" s="536"/>
      <c r="AGA1" s="536"/>
      <c r="AGB1" s="536"/>
      <c r="AGC1" s="536"/>
      <c r="AGD1" s="536"/>
      <c r="AGE1" s="536"/>
      <c r="AGF1" s="536"/>
      <c r="AGG1" s="536"/>
      <c r="AGH1" s="536"/>
      <c r="AGI1" s="536"/>
      <c r="AGJ1" s="536"/>
      <c r="AGK1" s="536"/>
      <c r="AGL1" s="536"/>
      <c r="AGM1" s="536"/>
      <c r="AGN1" s="536"/>
      <c r="AGO1" s="536"/>
      <c r="AGP1" s="536"/>
      <c r="AGQ1" s="536"/>
      <c r="AGR1" s="536"/>
      <c r="AGS1" s="536"/>
      <c r="AGT1" s="536"/>
      <c r="AGU1" s="536"/>
      <c r="AGV1" s="536"/>
      <c r="AGW1" s="536"/>
      <c r="AGX1" s="536"/>
      <c r="AGY1" s="536"/>
      <c r="AGZ1" s="536"/>
      <c r="AHA1" s="536"/>
      <c r="AHB1" s="536"/>
      <c r="AHC1" s="536"/>
      <c r="AHD1" s="536"/>
      <c r="AHE1" s="536"/>
      <c r="AHF1" s="536"/>
      <c r="AHG1" s="536"/>
      <c r="AHH1" s="536"/>
      <c r="AHI1" s="536"/>
      <c r="AHJ1" s="536"/>
      <c r="AHK1" s="536"/>
      <c r="AHL1" s="536"/>
      <c r="AHM1" s="536"/>
      <c r="AHN1" s="536"/>
      <c r="AHO1" s="536"/>
      <c r="AHP1" s="536"/>
      <c r="AHQ1" s="536"/>
      <c r="AHR1" s="536"/>
      <c r="AHS1" s="536"/>
      <c r="AHT1" s="536"/>
      <c r="AHU1" s="536"/>
      <c r="AHV1" s="536"/>
      <c r="AHW1" s="536"/>
      <c r="AHX1" s="536"/>
      <c r="AHY1" s="536"/>
      <c r="AHZ1" s="536"/>
      <c r="AIA1" s="536"/>
      <c r="AIB1" s="536"/>
      <c r="AIC1" s="536"/>
      <c r="AID1" s="536"/>
      <c r="AIE1" s="536"/>
      <c r="AIF1" s="536"/>
      <c r="AIG1" s="536"/>
      <c r="AIH1" s="536"/>
      <c r="AII1" s="536"/>
      <c r="AIJ1" s="536"/>
      <c r="AIK1" s="536"/>
      <c r="AIL1" s="536"/>
      <c r="AIM1" s="536"/>
      <c r="AIN1" s="536"/>
      <c r="AIO1" s="536"/>
      <c r="AIP1" s="536"/>
      <c r="AIQ1" s="536"/>
      <c r="AIR1" s="536"/>
      <c r="AIS1" s="536"/>
      <c r="AIT1" s="536"/>
      <c r="AIU1" s="536"/>
      <c r="AIV1" s="536"/>
      <c r="AIW1" s="536"/>
      <c r="AIX1" s="536"/>
      <c r="AIY1" s="536"/>
      <c r="AIZ1" s="536"/>
      <c r="AJA1" s="536"/>
      <c r="AJB1" s="536"/>
      <c r="AJC1" s="536"/>
      <c r="AJD1" s="536"/>
      <c r="AJE1" s="536"/>
      <c r="AJF1" s="536"/>
      <c r="AJG1" s="536"/>
      <c r="AJH1" s="536"/>
      <c r="AJI1" s="536"/>
      <c r="AJJ1" s="536"/>
      <c r="AJK1" s="536"/>
      <c r="AJL1" s="536"/>
      <c r="AJM1" s="536"/>
      <c r="AJN1" s="536"/>
      <c r="AJO1" s="536"/>
      <c r="AJP1" s="536"/>
      <c r="AJQ1" s="536"/>
      <c r="AJR1" s="536"/>
      <c r="AJS1" s="536"/>
      <c r="AJT1" s="536"/>
      <c r="AJU1" s="536"/>
      <c r="AJV1" s="536"/>
      <c r="AJW1" s="536"/>
      <c r="AJX1" s="536"/>
      <c r="AJY1" s="536"/>
      <c r="AJZ1" s="536"/>
      <c r="AKA1" s="536"/>
      <c r="AKB1" s="536"/>
      <c r="AKC1" s="536"/>
      <c r="AKD1" s="536"/>
      <c r="AKE1" s="536"/>
      <c r="AKF1" s="536"/>
      <c r="AKG1" s="536"/>
      <c r="AKH1" s="536"/>
      <c r="AKI1" s="536"/>
      <c r="AKJ1" s="536"/>
      <c r="AKK1" s="536"/>
      <c r="AKL1" s="536"/>
      <c r="AKM1" s="536"/>
      <c r="AKN1" s="536"/>
      <c r="AKO1" s="536"/>
      <c r="AKP1" s="536"/>
      <c r="AKQ1" s="536"/>
      <c r="AKR1" s="536"/>
      <c r="AKS1" s="536"/>
      <c r="AKT1" s="536"/>
      <c r="AKU1" s="536"/>
      <c r="AKV1" s="536"/>
      <c r="AKW1" s="536"/>
      <c r="AKX1" s="536"/>
      <c r="AKY1" s="536"/>
      <c r="AKZ1" s="536"/>
      <c r="ALA1" s="536"/>
      <c r="ALB1" s="536"/>
      <c r="ALC1" s="536"/>
      <c r="ALD1" s="536"/>
      <c r="ALE1" s="536"/>
      <c r="ALF1" s="536"/>
      <c r="ALG1" s="536"/>
      <c r="ALH1" s="536"/>
      <c r="ALI1" s="536"/>
      <c r="ALJ1" s="536"/>
      <c r="ALK1" s="536"/>
      <c r="ALL1" s="536"/>
      <c r="ALM1" s="536"/>
      <c r="ALN1" s="536"/>
      <c r="ALO1" s="536"/>
      <c r="ALP1" s="536"/>
      <c r="ALQ1" s="536"/>
      <c r="ALR1" s="536"/>
      <c r="ALS1" s="536"/>
      <c r="ALT1" s="536"/>
      <c r="ALU1" s="536"/>
      <c r="ALV1" s="536"/>
      <c r="ALW1" s="536"/>
      <c r="ALX1" s="536"/>
      <c r="ALY1" s="536"/>
      <c r="ALZ1" s="536"/>
      <c r="AMA1" s="536"/>
      <c r="AMB1" s="536"/>
      <c r="AMC1" s="536"/>
      <c r="AMD1" s="536"/>
      <c r="AME1" s="536"/>
      <c r="AMF1" s="536"/>
      <c r="AMG1" s="536"/>
      <c r="AMH1" s="536"/>
      <c r="AMI1" s="536"/>
      <c r="AMJ1" s="536"/>
      <c r="AMK1" s="536"/>
      <c r="AML1" s="536"/>
      <c r="AMM1" s="536"/>
      <c r="AMN1" s="536"/>
      <c r="AMO1" s="536"/>
      <c r="AMP1" s="536"/>
      <c r="AMQ1" s="536"/>
      <c r="AMR1" s="536"/>
      <c r="AMS1" s="536"/>
      <c r="AMT1" s="536"/>
      <c r="AMU1" s="536"/>
      <c r="AMV1" s="536"/>
      <c r="AMW1" s="536"/>
      <c r="AMX1" s="536"/>
      <c r="AMY1" s="536"/>
      <c r="AMZ1" s="536"/>
      <c r="ANA1" s="536"/>
      <c r="ANB1" s="536"/>
      <c r="ANC1" s="536"/>
      <c r="AND1" s="536"/>
      <c r="ANE1" s="536"/>
      <c r="ANF1" s="536"/>
      <c r="ANG1" s="536"/>
      <c r="ANH1" s="536"/>
      <c r="ANI1" s="536"/>
      <c r="ANJ1" s="536"/>
      <c r="ANK1" s="536"/>
      <c r="ANL1" s="536"/>
      <c r="ANM1" s="536"/>
      <c r="ANN1" s="536"/>
      <c r="ANO1" s="536"/>
      <c r="ANP1" s="536"/>
      <c r="ANQ1" s="536"/>
      <c r="ANR1" s="536"/>
      <c r="ANS1" s="536"/>
      <c r="ANT1" s="536"/>
      <c r="ANU1" s="536"/>
      <c r="ANV1" s="536"/>
      <c r="ANW1" s="536"/>
      <c r="ANX1" s="536"/>
      <c r="ANY1" s="536"/>
      <c r="ANZ1" s="536"/>
      <c r="AOA1" s="536"/>
      <c r="AOB1" s="536"/>
      <c r="AOC1" s="536"/>
      <c r="AOD1" s="536"/>
      <c r="AOE1" s="536"/>
      <c r="AOF1" s="536"/>
      <c r="AOG1" s="536"/>
      <c r="AOH1" s="536"/>
      <c r="AOI1" s="536"/>
      <c r="AOJ1" s="536"/>
      <c r="AOK1" s="536"/>
      <c r="AOL1" s="536"/>
      <c r="AOM1" s="536"/>
      <c r="AON1" s="536"/>
      <c r="AOO1" s="536"/>
      <c r="AOP1" s="536"/>
      <c r="AOQ1" s="536"/>
      <c r="AOR1" s="536"/>
      <c r="AOS1" s="536"/>
      <c r="AOT1" s="536"/>
      <c r="AOU1" s="536"/>
      <c r="AOV1" s="536"/>
      <c r="AOW1" s="536"/>
      <c r="AOX1" s="536"/>
      <c r="AOY1" s="536"/>
      <c r="AOZ1" s="536"/>
      <c r="APA1" s="536"/>
      <c r="APB1" s="536"/>
      <c r="APC1" s="536"/>
      <c r="APD1" s="536"/>
      <c r="APE1" s="536"/>
      <c r="APF1" s="536"/>
      <c r="APG1" s="536"/>
      <c r="APH1" s="536"/>
      <c r="API1" s="536"/>
      <c r="APJ1" s="536"/>
      <c r="APK1" s="536"/>
      <c r="APL1" s="536"/>
      <c r="APM1" s="536"/>
      <c r="APN1" s="536"/>
      <c r="APO1" s="536"/>
      <c r="APP1" s="536"/>
      <c r="APQ1" s="536"/>
      <c r="APR1" s="536"/>
      <c r="APS1" s="536"/>
      <c r="APT1" s="536"/>
      <c r="APU1" s="536"/>
      <c r="APV1" s="536"/>
      <c r="APW1" s="536"/>
      <c r="APX1" s="536"/>
      <c r="APY1" s="536"/>
      <c r="APZ1" s="536"/>
      <c r="AQA1" s="536"/>
      <c r="AQB1" s="536"/>
      <c r="AQC1" s="536"/>
      <c r="AQD1" s="536"/>
      <c r="AQE1" s="536"/>
      <c r="AQF1" s="536"/>
      <c r="AQG1" s="536"/>
      <c r="AQH1" s="536"/>
      <c r="AQI1" s="536"/>
      <c r="AQJ1" s="536"/>
      <c r="AQK1" s="536"/>
      <c r="AQL1" s="536"/>
      <c r="AQM1" s="536"/>
      <c r="AQN1" s="536"/>
      <c r="AQO1" s="536"/>
      <c r="AQP1" s="536"/>
      <c r="AQQ1" s="536"/>
      <c r="AQR1" s="536"/>
      <c r="AQS1" s="536"/>
      <c r="AQT1" s="536"/>
      <c r="AQU1" s="536"/>
      <c r="AQV1" s="536"/>
      <c r="AQW1" s="536"/>
      <c r="AQX1" s="536"/>
      <c r="AQY1" s="536"/>
      <c r="AQZ1" s="536"/>
      <c r="ARA1" s="536"/>
      <c r="ARB1" s="536"/>
      <c r="ARC1" s="536"/>
      <c r="ARD1" s="536"/>
      <c r="ARE1" s="536"/>
      <c r="ARF1" s="536"/>
      <c r="ARG1" s="536"/>
      <c r="ARH1" s="536"/>
      <c r="ARI1" s="536"/>
      <c r="ARJ1" s="536"/>
      <c r="ARK1" s="536"/>
      <c r="ARL1" s="536"/>
      <c r="ARM1" s="536"/>
      <c r="ARN1" s="536"/>
      <c r="ARO1" s="536"/>
      <c r="ARP1" s="536"/>
      <c r="ARQ1" s="536"/>
      <c r="ARR1" s="536"/>
      <c r="ARS1" s="536"/>
      <c r="ART1" s="536"/>
      <c r="ARU1" s="536"/>
      <c r="ARV1" s="536"/>
      <c r="ARW1" s="536"/>
      <c r="ARX1" s="536"/>
      <c r="ARY1" s="536"/>
      <c r="ARZ1" s="536"/>
      <c r="ASA1" s="536"/>
      <c r="ASB1" s="536"/>
      <c r="ASC1" s="536"/>
      <c r="ASD1" s="536"/>
      <c r="ASE1" s="536"/>
      <c r="ASF1" s="536"/>
      <c r="ASG1" s="536"/>
      <c r="ASH1" s="536"/>
      <c r="ASI1" s="536"/>
      <c r="ASJ1" s="536"/>
      <c r="ASK1" s="536"/>
      <c r="ASL1" s="536"/>
      <c r="ASM1" s="536"/>
      <c r="ASN1" s="536"/>
      <c r="ASO1" s="536"/>
      <c r="ASP1" s="536"/>
      <c r="ASQ1" s="536"/>
      <c r="ASR1" s="536"/>
      <c r="ASS1" s="536"/>
      <c r="AST1" s="536"/>
      <c r="ASU1" s="536"/>
      <c r="ASV1" s="536"/>
      <c r="ASW1" s="536"/>
      <c r="ASX1" s="536"/>
      <c r="ASY1" s="536"/>
      <c r="ASZ1" s="536"/>
      <c r="ATA1" s="536"/>
      <c r="ATB1" s="536"/>
      <c r="ATC1" s="536"/>
      <c r="ATD1" s="536"/>
      <c r="ATE1" s="536"/>
      <c r="ATF1" s="536"/>
      <c r="ATG1" s="536"/>
      <c r="ATH1" s="536"/>
      <c r="ATI1" s="536"/>
      <c r="ATJ1" s="536"/>
      <c r="ATK1" s="536"/>
      <c r="ATL1" s="536"/>
      <c r="ATM1" s="536"/>
      <c r="ATN1" s="536"/>
      <c r="ATO1" s="536"/>
      <c r="ATP1" s="536"/>
      <c r="ATQ1" s="536"/>
      <c r="ATR1" s="536"/>
      <c r="ATS1" s="536"/>
      <c r="ATT1" s="536"/>
      <c r="ATU1" s="536"/>
      <c r="ATV1" s="536"/>
      <c r="ATW1" s="536"/>
      <c r="ATX1" s="536"/>
      <c r="ATY1" s="536"/>
      <c r="ATZ1" s="536"/>
      <c r="AUA1" s="536"/>
      <c r="AUB1" s="536"/>
      <c r="AUC1" s="536"/>
      <c r="AUD1" s="536"/>
      <c r="AUE1" s="536"/>
      <c r="AUF1" s="536"/>
      <c r="AUG1" s="536"/>
      <c r="AUH1" s="536"/>
      <c r="AUI1" s="536"/>
      <c r="AUJ1" s="536"/>
      <c r="AUK1" s="536"/>
      <c r="AUL1" s="536"/>
      <c r="AUM1" s="536"/>
      <c r="AUN1" s="536"/>
      <c r="AUO1" s="536"/>
      <c r="AUP1" s="536"/>
      <c r="AUQ1" s="536"/>
      <c r="AUR1" s="536"/>
      <c r="AUS1" s="536"/>
      <c r="AUT1" s="536"/>
      <c r="AUU1" s="536"/>
      <c r="AUV1" s="536"/>
      <c r="AUW1" s="536"/>
      <c r="AUX1" s="536"/>
      <c r="AUY1" s="536"/>
      <c r="AUZ1" s="536"/>
      <c r="AVA1" s="536"/>
      <c r="AVB1" s="536"/>
      <c r="AVC1" s="536"/>
      <c r="AVD1" s="536"/>
      <c r="AVE1" s="536"/>
      <c r="AVF1" s="536"/>
      <c r="AVG1" s="536"/>
      <c r="AVH1" s="536"/>
      <c r="AVI1" s="536"/>
      <c r="AVJ1" s="536"/>
      <c r="AVK1" s="536"/>
      <c r="AVL1" s="536"/>
      <c r="AVM1" s="536"/>
      <c r="AVN1" s="536"/>
      <c r="AVO1" s="536"/>
      <c r="AVP1" s="536"/>
      <c r="AVQ1" s="536"/>
      <c r="AVR1" s="536"/>
      <c r="AVS1" s="536"/>
      <c r="AVT1" s="536"/>
      <c r="AVU1" s="536"/>
      <c r="AVV1" s="536"/>
      <c r="AVW1" s="536"/>
      <c r="AVX1" s="536"/>
      <c r="AVY1" s="536"/>
      <c r="AVZ1" s="536"/>
      <c r="AWA1" s="536"/>
      <c r="AWB1" s="536"/>
      <c r="AWC1" s="536"/>
      <c r="AWD1" s="536"/>
      <c r="AWE1" s="536"/>
      <c r="AWF1" s="536"/>
      <c r="AWG1" s="536"/>
      <c r="AWH1" s="536"/>
      <c r="AWI1" s="536"/>
      <c r="AWJ1" s="536"/>
      <c r="AWK1" s="536"/>
      <c r="AWL1" s="536"/>
      <c r="AWM1" s="536"/>
      <c r="AWN1" s="536"/>
      <c r="AWO1" s="536"/>
      <c r="AWP1" s="536"/>
      <c r="AWQ1" s="536"/>
      <c r="AWR1" s="536"/>
      <c r="AWS1" s="536"/>
      <c r="AWT1" s="536"/>
      <c r="AWU1" s="536"/>
      <c r="AWV1" s="536"/>
      <c r="AWW1" s="536"/>
      <c r="AWX1" s="536"/>
      <c r="AWY1" s="536"/>
      <c r="AWZ1" s="536"/>
      <c r="AXA1" s="536"/>
      <c r="AXB1" s="536"/>
      <c r="AXC1" s="536"/>
      <c r="AXD1" s="536"/>
      <c r="AXE1" s="536"/>
      <c r="AXF1" s="536"/>
      <c r="AXG1" s="536"/>
      <c r="AXH1" s="536"/>
      <c r="AXI1" s="536"/>
      <c r="AXJ1" s="536"/>
      <c r="AXK1" s="536"/>
      <c r="AXL1" s="536"/>
      <c r="AXM1" s="536"/>
      <c r="AXN1" s="536"/>
      <c r="AXO1" s="536"/>
      <c r="AXP1" s="536"/>
      <c r="AXQ1" s="536"/>
      <c r="AXR1" s="536"/>
      <c r="AXS1" s="536"/>
      <c r="AXT1" s="536"/>
      <c r="AXU1" s="536"/>
      <c r="AXV1" s="536"/>
      <c r="AXW1" s="536"/>
      <c r="AXX1" s="536"/>
      <c r="AXY1" s="536"/>
      <c r="AXZ1" s="536"/>
      <c r="AYA1" s="536"/>
      <c r="AYB1" s="536"/>
      <c r="AYC1" s="536"/>
      <c r="AYD1" s="536"/>
      <c r="AYE1" s="536"/>
      <c r="AYF1" s="536"/>
      <c r="AYG1" s="536"/>
      <c r="AYH1" s="536"/>
      <c r="AYI1" s="536"/>
      <c r="AYJ1" s="536"/>
      <c r="AYK1" s="536"/>
      <c r="AYL1" s="536"/>
      <c r="AYM1" s="536"/>
      <c r="AYN1" s="536"/>
      <c r="AYO1" s="536"/>
      <c r="AYP1" s="536"/>
      <c r="AYQ1" s="536"/>
      <c r="AYR1" s="536"/>
      <c r="AYS1" s="536"/>
      <c r="AYT1" s="536"/>
      <c r="AYU1" s="536"/>
      <c r="AYV1" s="536"/>
      <c r="AYW1" s="536"/>
      <c r="AYX1" s="536"/>
      <c r="AYY1" s="536"/>
      <c r="AYZ1" s="536"/>
      <c r="AZA1" s="536"/>
      <c r="AZB1" s="536"/>
      <c r="AZC1" s="536"/>
      <c r="AZD1" s="536"/>
      <c r="AZE1" s="536"/>
      <c r="AZF1" s="536"/>
      <c r="AZG1" s="536"/>
      <c r="AZH1" s="536"/>
      <c r="AZI1" s="536"/>
      <c r="AZJ1" s="536"/>
      <c r="AZK1" s="536"/>
      <c r="AZL1" s="536"/>
      <c r="AZM1" s="536"/>
      <c r="AZN1" s="536"/>
      <c r="AZO1" s="536"/>
      <c r="AZP1" s="536"/>
      <c r="AZQ1" s="536"/>
      <c r="AZR1" s="536"/>
      <c r="AZS1" s="536"/>
      <c r="AZT1" s="536"/>
      <c r="AZU1" s="536"/>
      <c r="AZV1" s="536"/>
      <c r="AZW1" s="536"/>
      <c r="AZX1" s="536"/>
      <c r="AZY1" s="536"/>
      <c r="AZZ1" s="536"/>
      <c r="BAA1" s="536"/>
      <c r="BAB1" s="536"/>
      <c r="BAC1" s="536"/>
      <c r="BAD1" s="536"/>
      <c r="BAE1" s="536"/>
      <c r="BAF1" s="536"/>
      <c r="BAG1" s="536"/>
      <c r="BAH1" s="536"/>
      <c r="BAI1" s="536"/>
      <c r="BAJ1" s="536"/>
      <c r="BAK1" s="536"/>
      <c r="BAL1" s="536"/>
      <c r="BAM1" s="536"/>
      <c r="BAN1" s="536"/>
      <c r="BAO1" s="536"/>
      <c r="BAP1" s="536"/>
      <c r="BAQ1" s="536"/>
      <c r="BAR1" s="536"/>
      <c r="BAS1" s="536"/>
      <c r="BAT1" s="536"/>
      <c r="BAU1" s="536"/>
      <c r="BAV1" s="536"/>
      <c r="BAW1" s="536"/>
      <c r="BAX1" s="536"/>
      <c r="BAY1" s="536"/>
      <c r="BAZ1" s="536"/>
      <c r="BBA1" s="536"/>
      <c r="BBB1" s="536"/>
      <c r="BBC1" s="536"/>
      <c r="BBD1" s="536"/>
      <c r="BBE1" s="536"/>
      <c r="BBF1" s="536"/>
      <c r="BBG1" s="536"/>
      <c r="BBH1" s="536"/>
      <c r="BBI1" s="536"/>
      <c r="BBJ1" s="536"/>
      <c r="BBK1" s="536"/>
      <c r="BBL1" s="536"/>
      <c r="BBM1" s="536"/>
      <c r="BBN1" s="536"/>
      <c r="BBO1" s="536"/>
      <c r="BBP1" s="536"/>
      <c r="BBQ1" s="536"/>
      <c r="BBR1" s="536"/>
      <c r="BBS1" s="536"/>
      <c r="BBT1" s="536"/>
      <c r="BBU1" s="536"/>
      <c r="BBV1" s="536"/>
      <c r="BBW1" s="536"/>
      <c r="BBX1" s="536"/>
      <c r="BBY1" s="536"/>
      <c r="BBZ1" s="536"/>
      <c r="BCA1" s="536"/>
      <c r="BCB1" s="536"/>
      <c r="BCC1" s="536"/>
      <c r="BCD1" s="536"/>
      <c r="BCE1" s="536"/>
      <c r="BCF1" s="536"/>
      <c r="BCG1" s="536"/>
      <c r="BCH1" s="536"/>
      <c r="BCI1" s="536"/>
      <c r="BCJ1" s="536"/>
      <c r="BCK1" s="536"/>
      <c r="BCL1" s="536"/>
      <c r="BCM1" s="536"/>
      <c r="BCN1" s="536"/>
      <c r="BCO1" s="536"/>
      <c r="BCP1" s="536"/>
      <c r="BCQ1" s="536"/>
      <c r="BCR1" s="536"/>
      <c r="BCS1" s="536"/>
      <c r="BCT1" s="536"/>
      <c r="BCU1" s="536"/>
      <c r="BCV1" s="536"/>
      <c r="BCW1" s="536"/>
      <c r="BCX1" s="536"/>
      <c r="BCY1" s="536"/>
      <c r="BCZ1" s="536"/>
      <c r="BDA1" s="536"/>
      <c r="BDB1" s="536"/>
      <c r="BDC1" s="536"/>
      <c r="BDD1" s="536"/>
      <c r="BDE1" s="536"/>
      <c r="BDF1" s="536"/>
      <c r="BDG1" s="536"/>
      <c r="BDH1" s="536"/>
      <c r="BDI1" s="536"/>
      <c r="BDJ1" s="536"/>
      <c r="BDK1" s="536"/>
      <c r="BDL1" s="536"/>
      <c r="BDM1" s="536"/>
      <c r="BDN1" s="536"/>
      <c r="BDO1" s="536"/>
      <c r="BDP1" s="536"/>
      <c r="BDQ1" s="536"/>
      <c r="BDR1" s="536"/>
      <c r="BDS1" s="536"/>
      <c r="BDT1" s="536"/>
      <c r="BDU1" s="536"/>
      <c r="BDV1" s="536"/>
      <c r="BDW1" s="536"/>
      <c r="BDX1" s="536"/>
      <c r="BDY1" s="536"/>
      <c r="BDZ1" s="536"/>
      <c r="BEA1" s="536"/>
      <c r="BEB1" s="536"/>
      <c r="BEC1" s="536"/>
      <c r="BED1" s="536"/>
      <c r="BEE1" s="536"/>
      <c r="BEF1" s="536"/>
      <c r="BEG1" s="536"/>
      <c r="BEH1" s="536"/>
      <c r="BEI1" s="536"/>
      <c r="BEJ1" s="536"/>
      <c r="BEK1" s="536"/>
      <c r="BEL1" s="536"/>
      <c r="BEM1" s="536"/>
      <c r="BEN1" s="536"/>
      <c r="BEO1" s="536"/>
      <c r="BEP1" s="536"/>
      <c r="BEQ1" s="536"/>
      <c r="BER1" s="536"/>
      <c r="BES1" s="536"/>
      <c r="BET1" s="536"/>
      <c r="BEU1" s="536"/>
      <c r="BEV1" s="536"/>
      <c r="BEW1" s="536"/>
      <c r="BEX1" s="536"/>
      <c r="BEY1" s="536"/>
      <c r="BEZ1" s="536"/>
      <c r="BFA1" s="536"/>
      <c r="BFB1" s="536"/>
      <c r="BFC1" s="536"/>
      <c r="BFD1" s="536"/>
      <c r="BFE1" s="536"/>
      <c r="BFF1" s="536"/>
      <c r="BFG1" s="536"/>
      <c r="BFH1" s="536"/>
      <c r="BFI1" s="536"/>
      <c r="BFJ1" s="536"/>
      <c r="BFK1" s="536"/>
      <c r="BFL1" s="536"/>
      <c r="BFM1" s="536"/>
      <c r="BFN1" s="536"/>
      <c r="BFO1" s="536"/>
      <c r="BFP1" s="536"/>
      <c r="BFQ1" s="536"/>
      <c r="BFR1" s="536"/>
      <c r="BFS1" s="536"/>
      <c r="BFT1" s="536"/>
      <c r="BFU1" s="536"/>
      <c r="BFV1" s="536"/>
      <c r="BFW1" s="536"/>
      <c r="BFX1" s="536"/>
      <c r="BFY1" s="536"/>
      <c r="BFZ1" s="536"/>
      <c r="BGA1" s="536"/>
      <c r="BGB1" s="536"/>
      <c r="BGC1" s="536"/>
      <c r="BGD1" s="536"/>
      <c r="BGE1" s="536"/>
      <c r="BGF1" s="536"/>
      <c r="BGG1" s="536"/>
      <c r="BGH1" s="536"/>
      <c r="BGI1" s="536"/>
      <c r="BGJ1" s="536"/>
      <c r="BGK1" s="536"/>
      <c r="BGL1" s="536"/>
      <c r="BGM1" s="536"/>
      <c r="BGN1" s="536"/>
      <c r="BGO1" s="536"/>
      <c r="BGP1" s="536"/>
      <c r="BGQ1" s="536"/>
      <c r="BGR1" s="536"/>
      <c r="BGS1" s="536"/>
      <c r="BGT1" s="536"/>
      <c r="BGU1" s="536"/>
      <c r="BGV1" s="536"/>
      <c r="BGW1" s="536"/>
      <c r="BGX1" s="536"/>
      <c r="BGY1" s="536"/>
      <c r="BGZ1" s="536"/>
      <c r="BHA1" s="536"/>
      <c r="BHB1" s="536"/>
      <c r="BHC1" s="536"/>
      <c r="BHD1" s="536"/>
      <c r="BHE1" s="536"/>
      <c r="BHF1" s="536"/>
      <c r="BHG1" s="536"/>
      <c r="BHH1" s="536"/>
      <c r="BHI1" s="536"/>
      <c r="BHJ1" s="536"/>
      <c r="BHK1" s="536"/>
      <c r="BHL1" s="536"/>
      <c r="BHM1" s="536"/>
      <c r="BHN1" s="536"/>
      <c r="BHO1" s="536"/>
      <c r="BHP1" s="536"/>
      <c r="BHQ1" s="536"/>
      <c r="BHR1" s="536"/>
      <c r="BHS1" s="536"/>
      <c r="BHT1" s="536"/>
      <c r="BHU1" s="536"/>
      <c r="BHV1" s="536"/>
      <c r="BHW1" s="536"/>
      <c r="BHX1" s="536"/>
      <c r="BHY1" s="536"/>
      <c r="BHZ1" s="536"/>
      <c r="BIA1" s="536"/>
      <c r="BIB1" s="536"/>
      <c r="BIC1" s="536"/>
      <c r="BID1" s="536"/>
      <c r="BIE1" s="536"/>
      <c r="BIF1" s="536"/>
      <c r="BIG1" s="536"/>
      <c r="BIH1" s="536"/>
      <c r="BII1" s="536"/>
      <c r="BIJ1" s="536"/>
      <c r="BIK1" s="536"/>
      <c r="BIL1" s="536"/>
      <c r="BIM1" s="536"/>
      <c r="BIN1" s="536"/>
      <c r="BIO1" s="536"/>
      <c r="BIP1" s="536"/>
      <c r="BIQ1" s="536"/>
      <c r="BIR1" s="536"/>
      <c r="BIS1" s="536"/>
      <c r="BIT1" s="536"/>
      <c r="BIU1" s="536"/>
      <c r="BIV1" s="536"/>
      <c r="BIW1" s="536"/>
      <c r="BIX1" s="536"/>
      <c r="BIY1" s="536"/>
      <c r="BIZ1" s="536"/>
      <c r="BJA1" s="536"/>
      <c r="BJB1" s="536"/>
      <c r="BJC1" s="536"/>
      <c r="BJD1" s="536"/>
      <c r="BJE1" s="536"/>
      <c r="BJF1" s="536"/>
      <c r="BJG1" s="536"/>
      <c r="BJH1" s="536"/>
      <c r="BJI1" s="536"/>
      <c r="BJJ1" s="536"/>
      <c r="BJK1" s="536"/>
      <c r="BJL1" s="536"/>
      <c r="BJM1" s="536"/>
      <c r="BJN1" s="536"/>
      <c r="BJO1" s="536"/>
      <c r="BJP1" s="536"/>
      <c r="BJQ1" s="536"/>
      <c r="BJR1" s="536"/>
      <c r="BJS1" s="536"/>
      <c r="BJT1" s="536"/>
      <c r="BJU1" s="536"/>
      <c r="BJV1" s="536"/>
      <c r="BJW1" s="536"/>
      <c r="BJX1" s="536"/>
      <c r="BJY1" s="536"/>
      <c r="BJZ1" s="536"/>
      <c r="BKA1" s="536"/>
      <c r="BKB1" s="536"/>
      <c r="BKC1" s="536"/>
      <c r="BKD1" s="536"/>
      <c r="BKE1" s="536"/>
      <c r="BKF1" s="536"/>
      <c r="BKG1" s="536"/>
      <c r="BKH1" s="536"/>
      <c r="BKI1" s="536"/>
      <c r="BKJ1" s="536"/>
      <c r="BKK1" s="536"/>
      <c r="BKL1" s="536"/>
      <c r="BKM1" s="536"/>
      <c r="BKN1" s="536"/>
      <c r="BKO1" s="536"/>
      <c r="BKP1" s="536"/>
      <c r="BKQ1" s="536"/>
      <c r="BKR1" s="536"/>
      <c r="BKS1" s="536"/>
      <c r="BKT1" s="536"/>
      <c r="BKU1" s="536"/>
      <c r="BKV1" s="536"/>
      <c r="BKW1" s="536"/>
      <c r="BKX1" s="536"/>
      <c r="BKY1" s="536"/>
      <c r="BKZ1" s="536"/>
      <c r="BLA1" s="536"/>
      <c r="BLB1" s="536"/>
      <c r="BLC1" s="536"/>
      <c r="BLD1" s="536"/>
      <c r="BLE1" s="536"/>
      <c r="BLF1" s="536"/>
      <c r="BLG1" s="536"/>
      <c r="BLH1" s="536"/>
      <c r="BLI1" s="536"/>
      <c r="BLJ1" s="536"/>
      <c r="BLK1" s="536"/>
      <c r="BLL1" s="536"/>
      <c r="BLM1" s="536"/>
      <c r="BLN1" s="536"/>
      <c r="BLO1" s="536"/>
      <c r="BLP1" s="536"/>
      <c r="BLQ1" s="536"/>
      <c r="BLR1" s="536"/>
      <c r="BLS1" s="536"/>
      <c r="BLT1" s="536"/>
      <c r="BLU1" s="536"/>
      <c r="BLV1" s="536"/>
      <c r="BLW1" s="536"/>
      <c r="BLX1" s="536"/>
      <c r="BLY1" s="536"/>
      <c r="BLZ1" s="536"/>
      <c r="BMA1" s="536"/>
      <c r="BMB1" s="536"/>
      <c r="BMC1" s="536"/>
      <c r="BMD1" s="536"/>
      <c r="BME1" s="536"/>
      <c r="BMF1" s="536"/>
      <c r="BMG1" s="536"/>
      <c r="BMH1" s="536"/>
      <c r="BMI1" s="536"/>
      <c r="BMJ1" s="536"/>
      <c r="BMK1" s="536"/>
      <c r="BML1" s="536"/>
      <c r="BMM1" s="536"/>
      <c r="BMN1" s="536"/>
      <c r="BMO1" s="536"/>
      <c r="BMP1" s="536"/>
      <c r="BMQ1" s="536"/>
      <c r="BMR1" s="536"/>
      <c r="BMS1" s="536"/>
      <c r="BMT1" s="536"/>
      <c r="BMU1" s="536"/>
      <c r="BMV1" s="536"/>
      <c r="BMW1" s="536"/>
      <c r="BMX1" s="536"/>
      <c r="BMY1" s="536"/>
      <c r="BMZ1" s="536"/>
      <c r="BNA1" s="536"/>
      <c r="BNB1" s="536"/>
      <c r="BNC1" s="536"/>
      <c r="BND1" s="536"/>
      <c r="BNE1" s="536"/>
      <c r="BNF1" s="536"/>
      <c r="BNG1" s="536"/>
      <c r="BNH1" s="536"/>
      <c r="BNI1" s="536"/>
      <c r="BNJ1" s="536"/>
      <c r="BNK1" s="536"/>
      <c r="BNL1" s="536"/>
      <c r="BNM1" s="536"/>
      <c r="BNN1" s="536"/>
      <c r="BNO1" s="536"/>
      <c r="BNP1" s="536"/>
      <c r="BNQ1" s="536"/>
      <c r="BNR1" s="536"/>
      <c r="BNS1" s="536"/>
      <c r="BNT1" s="536"/>
      <c r="BNU1" s="536"/>
      <c r="BNV1" s="536"/>
      <c r="BNW1" s="536"/>
      <c r="BNX1" s="536"/>
      <c r="BNY1" s="536"/>
      <c r="BNZ1" s="536"/>
      <c r="BOA1" s="536"/>
      <c r="BOB1" s="536"/>
      <c r="BOC1" s="536"/>
      <c r="BOD1" s="536"/>
      <c r="BOE1" s="536"/>
      <c r="BOF1" s="536"/>
      <c r="BOG1" s="536"/>
      <c r="BOH1" s="536"/>
      <c r="BOI1" s="536"/>
      <c r="BOJ1" s="536"/>
      <c r="BOK1" s="536"/>
      <c r="BOL1" s="536"/>
      <c r="BOM1" s="536"/>
      <c r="BON1" s="536"/>
      <c r="BOO1" s="536"/>
      <c r="BOP1" s="536"/>
      <c r="BOQ1" s="536"/>
      <c r="BOR1" s="536"/>
      <c r="BOS1" s="536"/>
      <c r="BOT1" s="536"/>
      <c r="BOU1" s="536"/>
      <c r="BOV1" s="536"/>
      <c r="BOW1" s="536"/>
      <c r="BOX1" s="536"/>
      <c r="BOY1" s="536"/>
      <c r="BOZ1" s="536"/>
      <c r="BPA1" s="536"/>
      <c r="BPB1" s="536"/>
      <c r="BPC1" s="536"/>
      <c r="BPD1" s="536"/>
      <c r="BPE1" s="536"/>
      <c r="BPF1" s="536"/>
      <c r="BPG1" s="536"/>
      <c r="BPH1" s="536"/>
      <c r="BPI1" s="536"/>
      <c r="BPJ1" s="536"/>
      <c r="BPK1" s="536"/>
      <c r="BPL1" s="536"/>
      <c r="BPM1" s="536"/>
      <c r="BPN1" s="536"/>
      <c r="BPO1" s="536"/>
      <c r="BPP1" s="536"/>
      <c r="BPQ1" s="536"/>
      <c r="BPR1" s="536"/>
      <c r="BPS1" s="536"/>
      <c r="BPT1" s="536"/>
      <c r="BPU1" s="536"/>
      <c r="BPV1" s="536"/>
      <c r="BPW1" s="536"/>
      <c r="BPX1" s="536"/>
      <c r="BPY1" s="536"/>
      <c r="BPZ1" s="536"/>
      <c r="BQA1" s="536"/>
      <c r="BQB1" s="536"/>
      <c r="BQC1" s="536"/>
      <c r="BQD1" s="536"/>
      <c r="BQE1" s="536"/>
      <c r="BQF1" s="536"/>
      <c r="BQG1" s="536"/>
      <c r="BQH1" s="536"/>
      <c r="BQI1" s="536"/>
      <c r="BQJ1" s="536"/>
      <c r="BQK1" s="536"/>
      <c r="BQL1" s="536"/>
      <c r="BQM1" s="536"/>
      <c r="BQN1" s="536"/>
      <c r="BQO1" s="536"/>
      <c r="BQP1" s="536"/>
      <c r="BQQ1" s="536"/>
      <c r="BQR1" s="536"/>
      <c r="BQS1" s="536"/>
      <c r="BQT1" s="536"/>
      <c r="BQU1" s="536"/>
      <c r="BQV1" s="536"/>
      <c r="BQW1" s="536"/>
      <c r="BQX1" s="536"/>
      <c r="BQY1" s="536"/>
      <c r="BQZ1" s="536"/>
      <c r="BRA1" s="536"/>
      <c r="BRB1" s="536"/>
      <c r="BRC1" s="536"/>
      <c r="BRD1" s="536"/>
      <c r="BRE1" s="536"/>
      <c r="BRF1" s="536"/>
      <c r="BRG1" s="536"/>
      <c r="BRH1" s="536"/>
      <c r="BRI1" s="536"/>
      <c r="BRJ1" s="536"/>
      <c r="BRK1" s="536"/>
      <c r="BRL1" s="536"/>
      <c r="BRM1" s="536"/>
      <c r="BRN1" s="536"/>
      <c r="BRO1" s="536"/>
      <c r="BRP1" s="536"/>
      <c r="BRQ1" s="536"/>
      <c r="BRR1" s="536"/>
      <c r="BRS1" s="536"/>
      <c r="BRT1" s="536"/>
      <c r="BRU1" s="536"/>
      <c r="BRV1" s="536"/>
      <c r="BRW1" s="536"/>
      <c r="BRX1" s="536"/>
      <c r="BRY1" s="536"/>
      <c r="BRZ1" s="536"/>
      <c r="BSA1" s="536"/>
      <c r="BSB1" s="536"/>
      <c r="BSC1" s="536"/>
      <c r="BSD1" s="536"/>
      <c r="BSE1" s="536"/>
      <c r="BSF1" s="536"/>
      <c r="BSG1" s="536"/>
      <c r="BSH1" s="536"/>
      <c r="BSI1" s="536"/>
      <c r="BSJ1" s="536"/>
      <c r="BSK1" s="536"/>
      <c r="BSL1" s="536"/>
      <c r="BSM1" s="536"/>
      <c r="BSN1" s="536"/>
      <c r="BSO1" s="536"/>
      <c r="BSP1" s="536"/>
      <c r="BSQ1" s="536"/>
      <c r="BSR1" s="536"/>
      <c r="BSS1" s="536"/>
      <c r="BST1" s="536"/>
      <c r="BSU1" s="536"/>
      <c r="BSV1" s="536"/>
      <c r="BSW1" s="536"/>
      <c r="BSX1" s="536"/>
      <c r="BSY1" s="536"/>
      <c r="BSZ1" s="536"/>
      <c r="BTA1" s="536"/>
      <c r="BTB1" s="536"/>
      <c r="BTC1" s="536"/>
      <c r="BTD1" s="536"/>
      <c r="BTE1" s="536"/>
      <c r="BTF1" s="536"/>
      <c r="BTG1" s="536"/>
      <c r="BTH1" s="536"/>
      <c r="BTI1" s="536"/>
      <c r="BTJ1" s="536"/>
      <c r="BTK1" s="536"/>
      <c r="BTL1" s="536"/>
      <c r="BTM1" s="536"/>
      <c r="BTN1" s="536"/>
      <c r="BTO1" s="536"/>
      <c r="BTP1" s="536"/>
      <c r="BTQ1" s="536"/>
      <c r="BTR1" s="536"/>
      <c r="BTS1" s="536"/>
      <c r="BTT1" s="536"/>
      <c r="BTU1" s="536"/>
      <c r="BTV1" s="536"/>
      <c r="BTW1" s="536"/>
      <c r="BTX1" s="536"/>
      <c r="BTY1" s="536"/>
      <c r="BTZ1" s="536"/>
      <c r="BUA1" s="536"/>
      <c r="BUB1" s="536"/>
      <c r="BUC1" s="536"/>
      <c r="BUD1" s="536"/>
      <c r="BUE1" s="536"/>
      <c r="BUF1" s="536"/>
      <c r="BUG1" s="536"/>
      <c r="BUH1" s="536"/>
      <c r="BUI1" s="536"/>
      <c r="BUJ1" s="536"/>
      <c r="BUK1" s="536"/>
      <c r="BUL1" s="536"/>
      <c r="BUM1" s="536"/>
      <c r="BUN1" s="536"/>
      <c r="BUO1" s="536"/>
      <c r="BUP1" s="536"/>
      <c r="BUQ1" s="536"/>
      <c r="BUR1" s="536"/>
      <c r="BUS1" s="536"/>
      <c r="BUT1" s="536"/>
      <c r="BUU1" s="536"/>
      <c r="BUV1" s="536"/>
      <c r="BUW1" s="536"/>
      <c r="BUX1" s="536"/>
      <c r="BUY1" s="536"/>
      <c r="BUZ1" s="536"/>
      <c r="BVA1" s="536"/>
      <c r="BVB1" s="536"/>
      <c r="BVC1" s="536"/>
      <c r="BVD1" s="536"/>
      <c r="BVE1" s="536"/>
      <c r="BVF1" s="536"/>
      <c r="BVG1" s="536"/>
      <c r="BVH1" s="536"/>
      <c r="BVI1" s="536"/>
      <c r="BVJ1" s="536"/>
      <c r="BVK1" s="536"/>
      <c r="BVL1" s="536"/>
      <c r="BVM1" s="536"/>
      <c r="BVN1" s="536"/>
      <c r="BVO1" s="536"/>
      <c r="BVP1" s="536"/>
      <c r="BVQ1" s="536"/>
      <c r="BVR1" s="536"/>
      <c r="BVS1" s="536"/>
      <c r="BVT1" s="536"/>
      <c r="BVU1" s="536"/>
      <c r="BVV1" s="536"/>
      <c r="BVW1" s="536"/>
      <c r="BVX1" s="536"/>
      <c r="BVY1" s="536"/>
      <c r="BVZ1" s="536"/>
      <c r="BWA1" s="536"/>
      <c r="BWB1" s="536"/>
      <c r="BWC1" s="536"/>
      <c r="BWD1" s="536"/>
      <c r="BWE1" s="536"/>
      <c r="BWF1" s="536"/>
      <c r="BWG1" s="536"/>
      <c r="BWH1" s="536"/>
      <c r="BWI1" s="536"/>
      <c r="BWJ1" s="536"/>
      <c r="BWK1" s="536"/>
      <c r="BWL1" s="536"/>
      <c r="BWM1" s="536"/>
      <c r="BWN1" s="536"/>
      <c r="BWO1" s="536"/>
      <c r="BWP1" s="536"/>
      <c r="BWQ1" s="536"/>
      <c r="BWR1" s="536"/>
      <c r="BWS1" s="536"/>
      <c r="BWT1" s="536"/>
      <c r="BWU1" s="536"/>
      <c r="BWV1" s="536"/>
      <c r="BWW1" s="536"/>
      <c r="BWX1" s="536"/>
      <c r="BWY1" s="536"/>
      <c r="BWZ1" s="536"/>
      <c r="BXA1" s="536"/>
      <c r="BXB1" s="536"/>
      <c r="BXC1" s="536"/>
      <c r="BXD1" s="536"/>
      <c r="BXE1" s="536"/>
      <c r="BXF1" s="536"/>
      <c r="BXG1" s="536"/>
      <c r="BXH1" s="536"/>
      <c r="BXI1" s="536"/>
      <c r="BXJ1" s="536"/>
      <c r="BXK1" s="536"/>
      <c r="BXL1" s="536"/>
      <c r="BXM1" s="536"/>
      <c r="BXN1" s="536"/>
      <c r="BXO1" s="536"/>
      <c r="BXP1" s="536"/>
      <c r="BXQ1" s="536"/>
      <c r="BXR1" s="536"/>
      <c r="BXS1" s="536"/>
      <c r="BXT1" s="536"/>
      <c r="BXU1" s="536"/>
      <c r="BXV1" s="536"/>
      <c r="BXW1" s="536"/>
      <c r="BXX1" s="536"/>
      <c r="BXY1" s="536"/>
      <c r="BXZ1" s="536"/>
      <c r="BYA1" s="536"/>
      <c r="BYB1" s="536"/>
      <c r="BYC1" s="536"/>
      <c r="BYD1" s="536"/>
      <c r="BYE1" s="536"/>
      <c r="BYF1" s="536"/>
      <c r="BYG1" s="536"/>
      <c r="BYH1" s="536"/>
      <c r="BYI1" s="536"/>
      <c r="BYJ1" s="536"/>
      <c r="BYK1" s="536"/>
      <c r="BYL1" s="536"/>
      <c r="BYM1" s="536"/>
      <c r="BYN1" s="536"/>
      <c r="BYO1" s="536"/>
      <c r="BYP1" s="536"/>
      <c r="BYQ1" s="536"/>
      <c r="BYR1" s="536"/>
      <c r="BYS1" s="536"/>
      <c r="BYT1" s="536"/>
      <c r="BYU1" s="536"/>
      <c r="BYV1" s="536"/>
      <c r="BYW1" s="536"/>
      <c r="BYX1" s="536"/>
      <c r="BYY1" s="536"/>
      <c r="BYZ1" s="536"/>
      <c r="BZA1" s="536"/>
      <c r="BZB1" s="536"/>
      <c r="BZC1" s="536"/>
      <c r="BZD1" s="536"/>
      <c r="BZE1" s="536"/>
      <c r="BZF1" s="536"/>
      <c r="BZG1" s="536"/>
      <c r="BZH1" s="536"/>
      <c r="BZI1" s="536"/>
      <c r="BZJ1" s="536"/>
      <c r="BZK1" s="536"/>
      <c r="BZL1" s="536"/>
      <c r="BZM1" s="536"/>
      <c r="BZN1" s="536"/>
      <c r="BZO1" s="536"/>
      <c r="BZP1" s="536"/>
      <c r="BZQ1" s="536"/>
      <c r="BZR1" s="536"/>
      <c r="BZS1" s="536"/>
      <c r="BZT1" s="536"/>
      <c r="BZU1" s="536"/>
      <c r="BZV1" s="536"/>
      <c r="BZW1" s="536"/>
      <c r="BZX1" s="536"/>
      <c r="BZY1" s="536"/>
      <c r="BZZ1" s="536"/>
      <c r="CAA1" s="536"/>
      <c r="CAB1" s="536"/>
      <c r="CAC1" s="536"/>
      <c r="CAD1" s="536"/>
      <c r="CAE1" s="536"/>
      <c r="CAF1" s="536"/>
      <c r="CAG1" s="536"/>
      <c r="CAH1" s="536"/>
      <c r="CAI1" s="536"/>
      <c r="CAJ1" s="536"/>
      <c r="CAK1" s="536"/>
      <c r="CAL1" s="536"/>
      <c r="CAM1" s="536"/>
      <c r="CAN1" s="536"/>
      <c r="CAO1" s="536"/>
      <c r="CAP1" s="536"/>
      <c r="CAQ1" s="536"/>
      <c r="CAR1" s="536"/>
      <c r="CAS1" s="536"/>
      <c r="CAT1" s="536"/>
      <c r="CAU1" s="536"/>
      <c r="CAV1" s="536"/>
      <c r="CAW1" s="536"/>
      <c r="CAX1" s="536"/>
      <c r="CAY1" s="536"/>
      <c r="CAZ1" s="536"/>
      <c r="CBA1" s="536"/>
      <c r="CBB1" s="536"/>
      <c r="CBC1" s="536"/>
      <c r="CBD1" s="536"/>
      <c r="CBE1" s="536"/>
      <c r="CBF1" s="536"/>
      <c r="CBG1" s="536"/>
      <c r="CBH1" s="536"/>
      <c r="CBI1" s="536"/>
      <c r="CBJ1" s="536"/>
      <c r="CBK1" s="536"/>
      <c r="CBL1" s="536"/>
      <c r="CBM1" s="536"/>
      <c r="CBN1" s="536"/>
      <c r="CBO1" s="536"/>
      <c r="CBP1" s="536"/>
      <c r="CBQ1" s="536"/>
      <c r="CBR1" s="536"/>
      <c r="CBS1" s="536"/>
      <c r="CBT1" s="536"/>
      <c r="CBU1" s="536"/>
      <c r="CBV1" s="536"/>
      <c r="CBW1" s="536"/>
      <c r="CBX1" s="536"/>
      <c r="CBY1" s="536"/>
      <c r="CBZ1" s="536"/>
      <c r="CCA1" s="536"/>
      <c r="CCB1" s="536"/>
      <c r="CCC1" s="536"/>
      <c r="CCD1" s="536"/>
      <c r="CCE1" s="536"/>
      <c r="CCF1" s="536"/>
      <c r="CCG1" s="536"/>
      <c r="CCH1" s="536"/>
      <c r="CCI1" s="536"/>
      <c r="CCJ1" s="536"/>
      <c r="CCK1" s="536"/>
      <c r="CCL1" s="536"/>
      <c r="CCM1" s="536"/>
      <c r="CCN1" s="536"/>
      <c r="CCO1" s="536"/>
      <c r="CCP1" s="536"/>
      <c r="CCQ1" s="536"/>
      <c r="CCR1" s="536"/>
      <c r="CCS1" s="536"/>
      <c r="CCT1" s="536"/>
      <c r="CCU1" s="536"/>
      <c r="CCV1" s="536"/>
      <c r="CCW1" s="536"/>
      <c r="CCX1" s="536"/>
      <c r="CCY1" s="536"/>
      <c r="CCZ1" s="536"/>
      <c r="CDA1" s="536"/>
      <c r="CDB1" s="536"/>
      <c r="CDC1" s="536"/>
      <c r="CDD1" s="536"/>
      <c r="CDE1" s="536"/>
      <c r="CDF1" s="536"/>
      <c r="CDG1" s="536"/>
      <c r="CDH1" s="536"/>
      <c r="CDI1" s="536"/>
      <c r="CDJ1" s="536"/>
      <c r="CDK1" s="536"/>
      <c r="CDL1" s="536"/>
      <c r="CDM1" s="536"/>
      <c r="CDN1" s="536"/>
      <c r="CDO1" s="536"/>
      <c r="CDP1" s="536"/>
      <c r="CDQ1" s="536"/>
      <c r="CDR1" s="536"/>
      <c r="CDS1" s="536"/>
      <c r="CDT1" s="536"/>
      <c r="CDU1" s="536"/>
      <c r="CDV1" s="536"/>
      <c r="CDW1" s="536"/>
      <c r="CDX1" s="536"/>
      <c r="CDY1" s="536"/>
      <c r="CDZ1" s="536"/>
      <c r="CEA1" s="536"/>
      <c r="CEB1" s="536"/>
      <c r="CEC1" s="536"/>
      <c r="CED1" s="536"/>
      <c r="CEE1" s="536"/>
      <c r="CEF1" s="536"/>
      <c r="CEG1" s="536"/>
      <c r="CEH1" s="536"/>
      <c r="CEI1" s="536"/>
      <c r="CEJ1" s="536"/>
      <c r="CEK1" s="536"/>
      <c r="CEL1" s="536"/>
      <c r="CEM1" s="536"/>
      <c r="CEN1" s="536"/>
      <c r="CEO1" s="536"/>
      <c r="CEP1" s="536"/>
      <c r="CEQ1" s="536"/>
      <c r="CER1" s="536"/>
      <c r="CES1" s="536"/>
      <c r="CET1" s="536"/>
      <c r="CEU1" s="536"/>
      <c r="CEV1" s="536"/>
      <c r="CEW1" s="536"/>
      <c r="CEX1" s="536"/>
      <c r="CEY1" s="536"/>
      <c r="CEZ1" s="536"/>
      <c r="CFA1" s="536"/>
      <c r="CFB1" s="536"/>
      <c r="CFC1" s="536"/>
      <c r="CFD1" s="536"/>
      <c r="CFE1" s="536"/>
      <c r="CFF1" s="536"/>
      <c r="CFG1" s="536"/>
      <c r="CFH1" s="536"/>
      <c r="CFI1" s="536"/>
      <c r="CFJ1" s="536"/>
      <c r="CFK1" s="536"/>
      <c r="CFL1" s="536"/>
      <c r="CFM1" s="536"/>
      <c r="CFN1" s="536"/>
      <c r="CFO1" s="536"/>
      <c r="CFP1" s="536"/>
      <c r="CFQ1" s="536"/>
      <c r="CFR1" s="536"/>
      <c r="CFS1" s="536"/>
      <c r="CFT1" s="536"/>
      <c r="CFU1" s="536"/>
      <c r="CFV1" s="536"/>
      <c r="CFW1" s="536"/>
      <c r="CFX1" s="536"/>
      <c r="CFY1" s="536"/>
      <c r="CFZ1" s="536"/>
      <c r="CGA1" s="536"/>
      <c r="CGB1" s="536"/>
      <c r="CGC1" s="536"/>
      <c r="CGD1" s="536"/>
      <c r="CGE1" s="536"/>
      <c r="CGF1" s="536"/>
      <c r="CGG1" s="536"/>
      <c r="CGH1" s="536"/>
      <c r="CGI1" s="536"/>
      <c r="CGJ1" s="536"/>
      <c r="CGK1" s="536"/>
      <c r="CGL1" s="536"/>
      <c r="CGM1" s="536"/>
      <c r="CGN1" s="536"/>
      <c r="CGO1" s="536"/>
      <c r="CGP1" s="536"/>
      <c r="CGQ1" s="536"/>
      <c r="CGR1" s="536"/>
      <c r="CGS1" s="536"/>
      <c r="CGT1" s="536"/>
      <c r="CGU1" s="536"/>
      <c r="CGV1" s="536"/>
      <c r="CGW1" s="536"/>
      <c r="CGX1" s="536"/>
      <c r="CGY1" s="536"/>
      <c r="CGZ1" s="536"/>
      <c r="CHA1" s="536"/>
      <c r="CHB1" s="536"/>
      <c r="CHC1" s="536"/>
      <c r="CHD1" s="536"/>
      <c r="CHE1" s="536"/>
      <c r="CHF1" s="536"/>
      <c r="CHG1" s="536"/>
      <c r="CHH1" s="536"/>
      <c r="CHI1" s="536"/>
      <c r="CHJ1" s="536"/>
      <c r="CHK1" s="536"/>
      <c r="CHL1" s="536"/>
      <c r="CHM1" s="536"/>
      <c r="CHN1" s="536"/>
      <c r="CHO1" s="536"/>
      <c r="CHP1" s="536"/>
      <c r="CHQ1" s="536"/>
      <c r="CHR1" s="536"/>
      <c r="CHS1" s="536"/>
      <c r="CHT1" s="536"/>
      <c r="CHU1" s="536"/>
      <c r="CHV1" s="536"/>
      <c r="CHW1" s="536"/>
      <c r="CHX1" s="536"/>
      <c r="CHY1" s="536"/>
      <c r="CHZ1" s="536"/>
      <c r="CIA1" s="536"/>
      <c r="CIB1" s="536"/>
      <c r="CIC1" s="536"/>
      <c r="CID1" s="536"/>
      <c r="CIE1" s="536"/>
      <c r="CIF1" s="536"/>
      <c r="CIG1" s="536"/>
      <c r="CIH1" s="536"/>
      <c r="CII1" s="536"/>
      <c r="CIJ1" s="536"/>
      <c r="CIK1" s="536"/>
      <c r="CIL1" s="536"/>
      <c r="CIM1" s="536"/>
      <c r="CIN1" s="536"/>
      <c r="CIO1" s="536"/>
      <c r="CIP1" s="536"/>
      <c r="CIQ1" s="536"/>
      <c r="CIR1" s="536"/>
      <c r="CIS1" s="536"/>
      <c r="CIT1" s="536"/>
      <c r="CIU1" s="536"/>
      <c r="CIV1" s="536"/>
      <c r="CIW1" s="536"/>
      <c r="CIX1" s="536"/>
      <c r="CIY1" s="536"/>
      <c r="CIZ1" s="536"/>
      <c r="CJA1" s="536"/>
      <c r="CJB1" s="536"/>
      <c r="CJC1" s="536"/>
      <c r="CJD1" s="536"/>
      <c r="CJE1" s="536"/>
      <c r="CJF1" s="536"/>
      <c r="CJG1" s="536"/>
      <c r="CJH1" s="536"/>
      <c r="CJI1" s="536"/>
      <c r="CJJ1" s="536"/>
      <c r="CJK1" s="536"/>
      <c r="CJL1" s="536"/>
      <c r="CJM1" s="536"/>
      <c r="CJN1" s="536"/>
      <c r="CJO1" s="536"/>
      <c r="CJP1" s="536"/>
      <c r="CJQ1" s="536"/>
      <c r="CJR1" s="536"/>
      <c r="CJS1" s="536"/>
      <c r="CJT1" s="536"/>
      <c r="CJU1" s="536"/>
      <c r="CJV1" s="536"/>
      <c r="CJW1" s="536"/>
      <c r="CJX1" s="536"/>
      <c r="CJY1" s="536"/>
      <c r="CJZ1" s="536"/>
      <c r="CKA1" s="536"/>
      <c r="CKB1" s="536"/>
      <c r="CKC1" s="536"/>
      <c r="CKD1" s="536"/>
      <c r="CKE1" s="536"/>
      <c r="CKF1" s="536"/>
      <c r="CKG1" s="536"/>
      <c r="CKH1" s="536"/>
      <c r="CKI1" s="536"/>
      <c r="CKJ1" s="536"/>
      <c r="CKK1" s="536"/>
      <c r="CKL1" s="536"/>
      <c r="CKM1" s="536"/>
      <c r="CKN1" s="536"/>
      <c r="CKO1" s="536"/>
      <c r="CKP1" s="536"/>
      <c r="CKQ1" s="536"/>
      <c r="CKR1" s="536"/>
      <c r="CKS1" s="536"/>
      <c r="CKT1" s="536"/>
      <c r="CKU1" s="536"/>
      <c r="CKV1" s="536"/>
      <c r="CKW1" s="536"/>
      <c r="CKX1" s="536"/>
      <c r="CKY1" s="536"/>
      <c r="CKZ1" s="536"/>
      <c r="CLA1" s="536"/>
      <c r="CLB1" s="536"/>
      <c r="CLC1" s="536"/>
      <c r="CLD1" s="536"/>
      <c r="CLE1" s="536"/>
      <c r="CLF1" s="536"/>
      <c r="CLG1" s="536"/>
      <c r="CLH1" s="536"/>
      <c r="CLI1" s="536"/>
      <c r="CLJ1" s="536"/>
      <c r="CLK1" s="536"/>
      <c r="CLL1" s="536"/>
      <c r="CLM1" s="536"/>
      <c r="CLN1" s="536"/>
      <c r="CLO1" s="536"/>
      <c r="CLP1" s="536"/>
      <c r="CLQ1" s="536"/>
      <c r="CLR1" s="536"/>
      <c r="CLS1" s="536"/>
      <c r="CLT1" s="536"/>
      <c r="CLU1" s="536"/>
      <c r="CLV1" s="536"/>
      <c r="CLW1" s="536"/>
      <c r="CLX1" s="536"/>
      <c r="CLY1" s="536"/>
      <c r="CLZ1" s="536"/>
      <c r="CMA1" s="536"/>
      <c r="CMB1" s="536"/>
      <c r="CMC1" s="536"/>
      <c r="CMD1" s="536"/>
      <c r="CME1" s="536"/>
      <c r="CMF1" s="536"/>
      <c r="CMG1" s="536"/>
      <c r="CMH1" s="536"/>
      <c r="CMI1" s="536"/>
      <c r="CMJ1" s="536"/>
      <c r="CMK1" s="536"/>
      <c r="CML1" s="536"/>
      <c r="CMM1" s="536"/>
      <c r="CMN1" s="536"/>
      <c r="CMO1" s="536"/>
      <c r="CMP1" s="536"/>
      <c r="CMQ1" s="536"/>
      <c r="CMR1" s="536"/>
      <c r="CMS1" s="536"/>
      <c r="CMT1" s="536"/>
      <c r="CMU1" s="536"/>
      <c r="CMV1" s="536"/>
      <c r="CMW1" s="536"/>
      <c r="CMX1" s="536"/>
      <c r="CMY1" s="536"/>
      <c r="CMZ1" s="536"/>
      <c r="CNA1" s="536"/>
      <c r="CNB1" s="536"/>
      <c r="CNC1" s="536"/>
      <c r="CND1" s="536"/>
      <c r="CNE1" s="536"/>
      <c r="CNF1" s="536"/>
      <c r="CNG1" s="536"/>
      <c r="CNH1" s="536"/>
      <c r="CNI1" s="536"/>
      <c r="CNJ1" s="536"/>
      <c r="CNK1" s="536"/>
      <c r="CNL1" s="536"/>
      <c r="CNM1" s="536"/>
      <c r="CNN1" s="536"/>
      <c r="CNO1" s="536"/>
      <c r="CNP1" s="536"/>
      <c r="CNQ1" s="536"/>
      <c r="CNR1" s="536"/>
      <c r="CNS1" s="536"/>
      <c r="CNT1" s="536"/>
      <c r="CNU1" s="536"/>
      <c r="CNV1" s="536"/>
      <c r="CNW1" s="536"/>
      <c r="CNX1" s="536"/>
      <c r="CNY1" s="536"/>
      <c r="CNZ1" s="536"/>
      <c r="COA1" s="536"/>
      <c r="COB1" s="536"/>
      <c r="COC1" s="536"/>
      <c r="COD1" s="536"/>
      <c r="COE1" s="536"/>
      <c r="COF1" s="536"/>
      <c r="COG1" s="536"/>
      <c r="COH1" s="536"/>
      <c r="COI1" s="536"/>
      <c r="COJ1" s="536"/>
      <c r="COK1" s="536"/>
      <c r="COL1" s="536"/>
      <c r="COM1" s="536"/>
      <c r="CON1" s="536"/>
      <c r="COO1" s="536"/>
      <c r="COP1" s="536"/>
      <c r="COQ1" s="536"/>
      <c r="COR1" s="536"/>
      <c r="COS1" s="536"/>
      <c r="COT1" s="536"/>
      <c r="COU1" s="536"/>
      <c r="COV1" s="536"/>
      <c r="COW1" s="536"/>
      <c r="COX1" s="536"/>
      <c r="COY1" s="536"/>
      <c r="COZ1" s="536"/>
      <c r="CPA1" s="536"/>
      <c r="CPB1" s="536"/>
      <c r="CPC1" s="536"/>
      <c r="CPD1" s="536"/>
      <c r="CPE1" s="536"/>
      <c r="CPF1" s="536"/>
      <c r="CPG1" s="536"/>
      <c r="CPH1" s="536"/>
      <c r="CPI1" s="536"/>
      <c r="CPJ1" s="536"/>
      <c r="CPK1" s="536"/>
      <c r="CPL1" s="536"/>
      <c r="CPM1" s="536"/>
      <c r="CPN1" s="536"/>
      <c r="CPO1" s="536"/>
      <c r="CPP1" s="536"/>
      <c r="CPQ1" s="536"/>
      <c r="CPR1" s="536"/>
      <c r="CPS1" s="536"/>
      <c r="CPT1" s="536"/>
      <c r="CPU1" s="536"/>
      <c r="CPV1" s="536"/>
      <c r="CPW1" s="536"/>
      <c r="CPX1" s="536"/>
      <c r="CPY1" s="536"/>
      <c r="CPZ1" s="536"/>
      <c r="CQA1" s="536"/>
      <c r="CQB1" s="536"/>
      <c r="CQC1" s="536"/>
      <c r="CQD1" s="536"/>
      <c r="CQE1" s="536"/>
      <c r="CQF1" s="536"/>
      <c r="CQG1" s="536"/>
      <c r="CQH1" s="536"/>
      <c r="CQI1" s="536"/>
      <c r="CQJ1" s="536"/>
      <c r="CQK1" s="536"/>
      <c r="CQL1" s="536"/>
      <c r="CQM1" s="536"/>
      <c r="CQN1" s="536"/>
      <c r="CQO1" s="536"/>
      <c r="CQP1" s="536"/>
      <c r="CQQ1" s="536"/>
      <c r="CQR1" s="536"/>
      <c r="CQS1" s="536"/>
      <c r="CQT1" s="536"/>
      <c r="CQU1" s="536"/>
      <c r="CQV1" s="536"/>
      <c r="CQW1" s="536"/>
      <c r="CQX1" s="536"/>
      <c r="CQY1" s="536"/>
      <c r="CQZ1" s="536"/>
      <c r="CRA1" s="536"/>
      <c r="CRB1" s="536"/>
      <c r="CRC1" s="536"/>
      <c r="CRD1" s="536"/>
      <c r="CRE1" s="536"/>
      <c r="CRF1" s="536"/>
      <c r="CRG1" s="536"/>
      <c r="CRH1" s="536"/>
      <c r="CRI1" s="536"/>
      <c r="CRJ1" s="536"/>
      <c r="CRK1" s="536"/>
      <c r="CRL1" s="536"/>
      <c r="CRM1" s="536"/>
      <c r="CRN1" s="536"/>
      <c r="CRO1" s="536"/>
      <c r="CRP1" s="536"/>
      <c r="CRQ1" s="536"/>
      <c r="CRR1" s="536"/>
      <c r="CRS1" s="536"/>
      <c r="CRT1" s="536"/>
      <c r="CRU1" s="536"/>
      <c r="CRV1" s="536"/>
      <c r="CRW1" s="536"/>
      <c r="CRX1" s="536"/>
      <c r="CRY1" s="536"/>
      <c r="CRZ1" s="536"/>
      <c r="CSA1" s="536"/>
      <c r="CSB1" s="536"/>
      <c r="CSC1" s="536"/>
      <c r="CSD1" s="536"/>
      <c r="CSE1" s="536"/>
      <c r="CSF1" s="536"/>
      <c r="CSG1" s="536"/>
      <c r="CSH1" s="536"/>
      <c r="CSI1" s="536"/>
      <c r="CSJ1" s="536"/>
      <c r="CSK1" s="536"/>
      <c r="CSL1" s="536"/>
      <c r="CSM1" s="536"/>
      <c r="CSN1" s="536"/>
      <c r="CSO1" s="536"/>
      <c r="CSP1" s="536"/>
      <c r="CSQ1" s="536"/>
      <c r="CSR1" s="536"/>
      <c r="CSS1" s="536"/>
      <c r="CST1" s="536"/>
      <c r="CSU1" s="536"/>
      <c r="CSV1" s="536"/>
      <c r="CSW1" s="536"/>
      <c r="CSX1" s="536"/>
      <c r="CSY1" s="536"/>
      <c r="CSZ1" s="536"/>
      <c r="CTA1" s="536"/>
      <c r="CTB1" s="536"/>
      <c r="CTC1" s="536"/>
      <c r="CTD1" s="536"/>
      <c r="CTE1" s="536"/>
      <c r="CTF1" s="536"/>
      <c r="CTG1" s="536"/>
      <c r="CTH1" s="536"/>
      <c r="CTI1" s="536"/>
      <c r="CTJ1" s="536"/>
      <c r="CTK1" s="536"/>
      <c r="CTL1" s="536"/>
      <c r="CTM1" s="536"/>
      <c r="CTN1" s="536"/>
      <c r="CTO1" s="536"/>
      <c r="CTP1" s="536"/>
      <c r="CTQ1" s="536"/>
      <c r="CTR1" s="536"/>
      <c r="CTS1" s="536"/>
      <c r="CTT1" s="536"/>
      <c r="CTU1" s="536"/>
      <c r="CTV1" s="536"/>
      <c r="CTW1" s="536"/>
      <c r="CTX1" s="536"/>
      <c r="CTY1" s="536"/>
      <c r="CTZ1" s="536"/>
      <c r="CUA1" s="536"/>
      <c r="CUB1" s="536"/>
      <c r="CUC1" s="536"/>
      <c r="CUD1" s="536"/>
      <c r="CUE1" s="536"/>
      <c r="CUF1" s="536"/>
      <c r="CUG1" s="536"/>
      <c r="CUH1" s="536"/>
      <c r="CUI1" s="536"/>
      <c r="CUJ1" s="536"/>
      <c r="CUK1" s="536"/>
      <c r="CUL1" s="536"/>
      <c r="CUM1" s="536"/>
      <c r="CUN1" s="536"/>
      <c r="CUO1" s="536"/>
      <c r="CUP1" s="536"/>
      <c r="CUQ1" s="536"/>
      <c r="CUR1" s="536"/>
      <c r="CUS1" s="536"/>
      <c r="CUT1" s="536"/>
      <c r="CUU1" s="536"/>
      <c r="CUV1" s="536"/>
      <c r="CUW1" s="536"/>
      <c r="CUX1" s="536"/>
      <c r="CUY1" s="536"/>
      <c r="CUZ1" s="536"/>
      <c r="CVA1" s="536"/>
      <c r="CVB1" s="536"/>
      <c r="CVC1" s="536"/>
      <c r="CVD1" s="536"/>
      <c r="CVE1" s="536"/>
      <c r="CVF1" s="536"/>
      <c r="CVG1" s="536"/>
      <c r="CVH1" s="536"/>
      <c r="CVI1" s="536"/>
      <c r="CVJ1" s="536"/>
      <c r="CVK1" s="536"/>
      <c r="CVL1" s="536"/>
      <c r="CVM1" s="536"/>
      <c r="CVN1" s="536"/>
      <c r="CVO1" s="536"/>
      <c r="CVP1" s="536"/>
      <c r="CVQ1" s="536"/>
      <c r="CVR1" s="536"/>
      <c r="CVS1" s="536"/>
      <c r="CVT1" s="536"/>
      <c r="CVU1" s="536"/>
      <c r="CVV1" s="536"/>
      <c r="CVW1" s="536"/>
      <c r="CVX1" s="536"/>
      <c r="CVY1" s="536"/>
      <c r="CVZ1" s="536"/>
      <c r="CWA1" s="536"/>
      <c r="CWB1" s="536"/>
      <c r="CWC1" s="536"/>
      <c r="CWD1" s="536"/>
      <c r="CWE1" s="536"/>
      <c r="CWF1" s="536"/>
      <c r="CWG1" s="536"/>
      <c r="CWH1" s="536"/>
      <c r="CWI1" s="536"/>
      <c r="CWJ1" s="536"/>
      <c r="CWK1" s="536"/>
      <c r="CWL1" s="536"/>
      <c r="CWM1" s="536"/>
      <c r="CWN1" s="536"/>
      <c r="CWO1" s="536"/>
      <c r="CWP1" s="536"/>
      <c r="CWQ1" s="536"/>
      <c r="CWR1" s="536"/>
      <c r="CWS1" s="536"/>
      <c r="CWT1" s="536"/>
      <c r="CWU1" s="536"/>
      <c r="CWV1" s="536"/>
      <c r="CWW1" s="536"/>
      <c r="CWX1" s="536"/>
      <c r="CWY1" s="536"/>
      <c r="CWZ1" s="536"/>
      <c r="CXA1" s="536"/>
      <c r="CXB1" s="536"/>
      <c r="CXC1" s="536"/>
      <c r="CXD1" s="536"/>
      <c r="CXE1" s="536"/>
      <c r="CXF1" s="536"/>
      <c r="CXG1" s="536"/>
      <c r="CXH1" s="536"/>
      <c r="CXI1" s="536"/>
      <c r="CXJ1" s="536"/>
      <c r="CXK1" s="536"/>
      <c r="CXL1" s="536"/>
      <c r="CXM1" s="536"/>
      <c r="CXN1" s="536"/>
      <c r="CXO1" s="536"/>
      <c r="CXP1" s="536"/>
      <c r="CXQ1" s="536"/>
      <c r="CXR1" s="536"/>
      <c r="CXS1" s="536"/>
      <c r="CXT1" s="536"/>
      <c r="CXU1" s="536"/>
      <c r="CXV1" s="536"/>
      <c r="CXW1" s="536"/>
      <c r="CXX1" s="536"/>
      <c r="CXY1" s="536"/>
      <c r="CXZ1" s="536"/>
      <c r="CYA1" s="536"/>
      <c r="CYB1" s="536"/>
      <c r="CYC1" s="536"/>
      <c r="CYD1" s="536"/>
      <c r="CYE1" s="536"/>
      <c r="CYF1" s="536"/>
      <c r="CYG1" s="536"/>
      <c r="CYH1" s="536"/>
      <c r="CYI1" s="536"/>
      <c r="CYJ1" s="536"/>
      <c r="CYK1" s="536"/>
      <c r="CYL1" s="536"/>
      <c r="CYM1" s="536"/>
      <c r="CYN1" s="536"/>
      <c r="CYO1" s="536"/>
      <c r="CYP1" s="536"/>
      <c r="CYQ1" s="536"/>
      <c r="CYR1" s="536"/>
      <c r="CYS1" s="536"/>
      <c r="CYT1" s="536"/>
      <c r="CYU1" s="536"/>
      <c r="CYV1" s="536"/>
      <c r="CYW1" s="536"/>
      <c r="CYX1" s="536"/>
      <c r="CYY1" s="536"/>
      <c r="CYZ1" s="536"/>
      <c r="CZA1" s="536"/>
      <c r="CZB1" s="536"/>
      <c r="CZC1" s="536"/>
      <c r="CZD1" s="536"/>
      <c r="CZE1" s="536"/>
      <c r="CZF1" s="536"/>
      <c r="CZG1" s="536"/>
      <c r="CZH1" s="536"/>
      <c r="CZI1" s="536"/>
      <c r="CZJ1" s="536"/>
      <c r="CZK1" s="536"/>
      <c r="CZL1" s="536"/>
      <c r="CZM1" s="536"/>
      <c r="CZN1" s="536"/>
      <c r="CZO1" s="536"/>
      <c r="CZP1" s="536"/>
      <c r="CZQ1" s="536"/>
      <c r="CZR1" s="536"/>
      <c r="CZS1" s="536"/>
      <c r="CZT1" s="536"/>
      <c r="CZU1" s="536"/>
      <c r="CZV1" s="536"/>
      <c r="CZW1" s="536"/>
      <c r="CZX1" s="536"/>
      <c r="CZY1" s="536"/>
      <c r="CZZ1" s="536"/>
      <c r="DAA1" s="536"/>
      <c r="DAB1" s="536"/>
      <c r="DAC1" s="536"/>
      <c r="DAD1" s="536"/>
      <c r="DAE1" s="536"/>
      <c r="DAF1" s="536"/>
      <c r="DAG1" s="536"/>
      <c r="DAH1" s="536"/>
      <c r="DAI1" s="536"/>
      <c r="DAJ1" s="536"/>
      <c r="DAK1" s="536"/>
      <c r="DAL1" s="536"/>
      <c r="DAM1" s="536"/>
      <c r="DAN1" s="536"/>
      <c r="DAO1" s="536"/>
      <c r="DAP1" s="536"/>
      <c r="DAQ1" s="536"/>
      <c r="DAR1" s="536"/>
      <c r="DAS1" s="536"/>
      <c r="DAT1" s="536"/>
      <c r="DAU1" s="536"/>
      <c r="DAV1" s="536"/>
      <c r="DAW1" s="536"/>
      <c r="DAX1" s="536"/>
      <c r="DAY1" s="536"/>
      <c r="DAZ1" s="536"/>
      <c r="DBA1" s="536"/>
      <c r="DBB1" s="536"/>
      <c r="DBC1" s="536"/>
      <c r="DBD1" s="536"/>
      <c r="DBE1" s="536"/>
      <c r="DBF1" s="536"/>
      <c r="DBG1" s="536"/>
      <c r="DBH1" s="536"/>
      <c r="DBI1" s="536"/>
      <c r="DBJ1" s="536"/>
      <c r="DBK1" s="536"/>
      <c r="DBL1" s="536"/>
      <c r="DBM1" s="536"/>
      <c r="DBN1" s="536"/>
      <c r="DBO1" s="536"/>
      <c r="DBP1" s="536"/>
      <c r="DBQ1" s="536"/>
      <c r="DBR1" s="536"/>
      <c r="DBS1" s="536"/>
      <c r="DBT1" s="536"/>
      <c r="DBU1" s="536"/>
      <c r="DBV1" s="536"/>
      <c r="DBW1" s="536"/>
      <c r="DBX1" s="536"/>
      <c r="DBY1" s="536"/>
      <c r="DBZ1" s="536"/>
      <c r="DCA1" s="536"/>
      <c r="DCB1" s="536"/>
      <c r="DCC1" s="536"/>
      <c r="DCD1" s="536"/>
      <c r="DCE1" s="536"/>
      <c r="DCF1" s="536"/>
      <c r="DCG1" s="536"/>
      <c r="DCH1" s="536"/>
      <c r="DCI1" s="536"/>
      <c r="DCJ1" s="536"/>
      <c r="DCK1" s="536"/>
      <c r="DCL1" s="536"/>
      <c r="DCM1" s="536"/>
      <c r="DCN1" s="536"/>
      <c r="DCO1" s="536"/>
      <c r="DCP1" s="536"/>
      <c r="DCQ1" s="536"/>
      <c r="DCR1" s="536"/>
      <c r="DCS1" s="536"/>
      <c r="DCT1" s="536"/>
      <c r="DCU1" s="536"/>
      <c r="DCV1" s="536"/>
      <c r="DCW1" s="536"/>
      <c r="DCX1" s="536"/>
      <c r="DCY1" s="536"/>
      <c r="DCZ1" s="536"/>
      <c r="DDA1" s="536"/>
      <c r="DDB1" s="536"/>
      <c r="DDC1" s="536"/>
      <c r="DDD1" s="536"/>
      <c r="DDE1" s="536"/>
      <c r="DDF1" s="536"/>
      <c r="DDG1" s="536"/>
      <c r="DDH1" s="536"/>
      <c r="DDI1" s="536"/>
      <c r="DDJ1" s="536"/>
      <c r="DDK1" s="536"/>
      <c r="DDL1" s="536"/>
      <c r="DDM1" s="536"/>
      <c r="DDN1" s="536"/>
      <c r="DDO1" s="536"/>
      <c r="DDP1" s="536"/>
      <c r="DDQ1" s="536"/>
      <c r="DDR1" s="536"/>
      <c r="DDS1" s="536"/>
      <c r="DDT1" s="536"/>
      <c r="DDU1" s="536"/>
      <c r="DDV1" s="536"/>
      <c r="DDW1" s="536"/>
      <c r="DDX1" s="536"/>
      <c r="DDY1" s="536"/>
      <c r="DDZ1" s="536"/>
      <c r="DEA1" s="536"/>
      <c r="DEB1" s="536"/>
      <c r="DEC1" s="536"/>
      <c r="DED1" s="536"/>
      <c r="DEE1" s="536"/>
      <c r="DEF1" s="536"/>
      <c r="DEG1" s="536"/>
      <c r="DEH1" s="536"/>
      <c r="DEI1" s="536"/>
      <c r="DEJ1" s="536"/>
      <c r="DEK1" s="536"/>
      <c r="DEL1" s="536"/>
      <c r="DEM1" s="536"/>
      <c r="DEN1" s="536"/>
      <c r="DEO1" s="536"/>
      <c r="DEP1" s="536"/>
      <c r="DEQ1" s="536"/>
      <c r="DER1" s="536"/>
      <c r="DES1" s="536"/>
      <c r="DET1" s="536"/>
      <c r="DEU1" s="536"/>
      <c r="DEV1" s="536"/>
      <c r="DEW1" s="536"/>
      <c r="DEX1" s="536"/>
      <c r="DEY1" s="536"/>
      <c r="DEZ1" s="536"/>
      <c r="DFA1" s="536"/>
      <c r="DFB1" s="536"/>
      <c r="DFC1" s="536"/>
      <c r="DFD1" s="536"/>
      <c r="DFE1" s="536"/>
      <c r="DFF1" s="536"/>
      <c r="DFG1" s="536"/>
      <c r="DFH1" s="536"/>
      <c r="DFI1" s="536"/>
      <c r="DFJ1" s="536"/>
      <c r="DFK1" s="536"/>
      <c r="DFL1" s="536"/>
      <c r="DFM1" s="536"/>
      <c r="DFN1" s="536"/>
      <c r="DFO1" s="536"/>
      <c r="DFP1" s="536"/>
      <c r="DFQ1" s="536"/>
      <c r="DFR1" s="536"/>
      <c r="DFS1" s="536"/>
      <c r="DFT1" s="536"/>
      <c r="DFU1" s="536"/>
      <c r="DFV1" s="536"/>
      <c r="DFW1" s="536"/>
      <c r="DFX1" s="536"/>
      <c r="DFY1" s="536"/>
      <c r="DFZ1" s="536"/>
      <c r="DGA1" s="536"/>
      <c r="DGB1" s="536"/>
      <c r="DGC1" s="536"/>
      <c r="DGD1" s="536"/>
      <c r="DGE1" s="536"/>
      <c r="DGF1" s="536"/>
      <c r="DGG1" s="536"/>
      <c r="DGH1" s="536"/>
      <c r="DGI1" s="536"/>
      <c r="DGJ1" s="536"/>
      <c r="DGK1" s="536"/>
      <c r="DGL1" s="536"/>
      <c r="DGM1" s="536"/>
      <c r="DGN1" s="536"/>
      <c r="DGO1" s="536"/>
      <c r="DGP1" s="536"/>
      <c r="DGQ1" s="536"/>
      <c r="DGR1" s="536"/>
      <c r="DGS1" s="536"/>
      <c r="DGT1" s="536"/>
      <c r="DGU1" s="536"/>
      <c r="DGV1" s="536"/>
      <c r="DGW1" s="536"/>
      <c r="DGX1" s="536"/>
      <c r="DGY1" s="536"/>
      <c r="DGZ1" s="536"/>
      <c r="DHA1" s="536"/>
      <c r="DHB1" s="536"/>
      <c r="DHC1" s="536"/>
      <c r="DHD1" s="536"/>
      <c r="DHE1" s="536"/>
      <c r="DHF1" s="536"/>
      <c r="DHG1" s="536"/>
      <c r="DHH1" s="536"/>
      <c r="DHI1" s="536"/>
      <c r="DHJ1" s="536"/>
      <c r="DHK1" s="536"/>
      <c r="DHL1" s="536"/>
      <c r="DHM1" s="536"/>
      <c r="DHN1" s="536"/>
      <c r="DHO1" s="536"/>
      <c r="DHP1" s="536"/>
      <c r="DHQ1" s="536"/>
      <c r="DHR1" s="536"/>
      <c r="DHS1" s="536"/>
      <c r="DHT1" s="536"/>
      <c r="DHU1" s="536"/>
      <c r="DHV1" s="536"/>
      <c r="DHW1" s="536"/>
      <c r="DHX1" s="536"/>
      <c r="DHY1" s="536"/>
      <c r="DHZ1" s="536"/>
      <c r="DIA1" s="536"/>
      <c r="DIB1" s="536"/>
      <c r="DIC1" s="536"/>
      <c r="DID1" s="536"/>
      <c r="DIE1" s="536"/>
      <c r="DIF1" s="536"/>
      <c r="DIG1" s="536"/>
      <c r="DIH1" s="536"/>
      <c r="DII1" s="536"/>
      <c r="DIJ1" s="536"/>
      <c r="DIK1" s="536"/>
      <c r="DIL1" s="536"/>
      <c r="DIM1" s="536"/>
      <c r="DIN1" s="536"/>
      <c r="DIO1" s="536"/>
      <c r="DIP1" s="536"/>
      <c r="DIQ1" s="536"/>
      <c r="DIR1" s="536"/>
      <c r="DIS1" s="536"/>
      <c r="DIT1" s="536"/>
      <c r="DIU1" s="536"/>
      <c r="DIV1" s="536"/>
      <c r="DIW1" s="536"/>
      <c r="DIX1" s="536"/>
      <c r="DIY1" s="536"/>
      <c r="DIZ1" s="536"/>
      <c r="DJA1" s="536"/>
      <c r="DJB1" s="536"/>
      <c r="DJC1" s="536"/>
      <c r="DJD1" s="536"/>
      <c r="DJE1" s="536"/>
      <c r="DJF1" s="536"/>
      <c r="DJG1" s="536"/>
      <c r="DJH1" s="536"/>
      <c r="DJI1" s="536"/>
      <c r="DJJ1" s="536"/>
      <c r="DJK1" s="536"/>
      <c r="DJL1" s="536"/>
      <c r="DJM1" s="536"/>
      <c r="DJN1" s="536"/>
      <c r="DJO1" s="536"/>
      <c r="DJP1" s="536"/>
      <c r="DJQ1" s="536"/>
      <c r="DJR1" s="536"/>
      <c r="DJS1" s="536"/>
      <c r="DJT1" s="536"/>
      <c r="DJU1" s="536"/>
      <c r="DJV1" s="536"/>
      <c r="DJW1" s="536"/>
      <c r="DJX1" s="536"/>
      <c r="DJY1" s="536"/>
      <c r="DJZ1" s="536"/>
      <c r="DKA1" s="536"/>
      <c r="DKB1" s="536"/>
      <c r="DKC1" s="536"/>
      <c r="DKD1" s="536"/>
      <c r="DKE1" s="536"/>
      <c r="DKF1" s="536"/>
      <c r="DKG1" s="536"/>
      <c r="DKH1" s="536"/>
      <c r="DKI1" s="536"/>
      <c r="DKJ1" s="536"/>
      <c r="DKK1" s="536"/>
      <c r="DKL1" s="536"/>
      <c r="DKM1" s="536"/>
      <c r="DKN1" s="536"/>
      <c r="DKO1" s="536"/>
      <c r="DKP1" s="536"/>
      <c r="DKQ1" s="536"/>
      <c r="DKR1" s="536"/>
      <c r="DKS1" s="536"/>
      <c r="DKT1" s="536"/>
      <c r="DKU1" s="536"/>
      <c r="DKV1" s="536"/>
      <c r="DKW1" s="536"/>
      <c r="DKX1" s="536"/>
      <c r="DKY1" s="536"/>
      <c r="DKZ1" s="536"/>
      <c r="DLA1" s="536"/>
      <c r="DLB1" s="536"/>
      <c r="DLC1" s="536"/>
      <c r="DLD1" s="536"/>
      <c r="DLE1" s="536"/>
      <c r="DLF1" s="536"/>
      <c r="DLG1" s="536"/>
      <c r="DLH1" s="536"/>
      <c r="DLI1" s="536"/>
      <c r="DLJ1" s="536"/>
      <c r="DLK1" s="536"/>
      <c r="DLL1" s="536"/>
      <c r="DLM1" s="536"/>
      <c r="DLN1" s="536"/>
      <c r="DLO1" s="536"/>
      <c r="DLP1" s="536"/>
      <c r="DLQ1" s="536"/>
      <c r="DLR1" s="536"/>
      <c r="DLS1" s="536"/>
      <c r="DLT1" s="536"/>
      <c r="DLU1" s="536"/>
      <c r="DLV1" s="536"/>
      <c r="DLW1" s="536"/>
      <c r="DLX1" s="536"/>
      <c r="DLY1" s="536"/>
      <c r="DLZ1" s="536"/>
      <c r="DMA1" s="536"/>
      <c r="DMB1" s="536"/>
      <c r="DMC1" s="536"/>
      <c r="DMD1" s="536"/>
      <c r="DME1" s="536"/>
      <c r="DMF1" s="536"/>
      <c r="DMG1" s="536"/>
      <c r="DMH1" s="536"/>
      <c r="DMI1" s="536"/>
      <c r="DMJ1" s="536"/>
      <c r="DMK1" s="536"/>
      <c r="DML1" s="536"/>
      <c r="DMM1" s="536"/>
      <c r="DMN1" s="536"/>
      <c r="DMO1" s="536"/>
      <c r="DMP1" s="536"/>
      <c r="DMQ1" s="536"/>
      <c r="DMR1" s="536"/>
      <c r="DMS1" s="536"/>
      <c r="DMT1" s="536"/>
      <c r="DMU1" s="536"/>
      <c r="DMV1" s="536"/>
      <c r="DMW1" s="536"/>
      <c r="DMX1" s="536"/>
      <c r="DMY1" s="536"/>
      <c r="DMZ1" s="536"/>
      <c r="DNA1" s="536"/>
      <c r="DNB1" s="536"/>
      <c r="DNC1" s="536"/>
      <c r="DND1" s="536"/>
      <c r="DNE1" s="536"/>
      <c r="DNF1" s="536"/>
      <c r="DNG1" s="536"/>
      <c r="DNH1" s="536"/>
      <c r="DNI1" s="536"/>
      <c r="DNJ1" s="536"/>
      <c r="DNK1" s="536"/>
      <c r="DNL1" s="536"/>
      <c r="DNM1" s="536"/>
      <c r="DNN1" s="536"/>
      <c r="DNO1" s="536"/>
      <c r="DNP1" s="536"/>
      <c r="DNQ1" s="536"/>
      <c r="DNR1" s="536"/>
      <c r="DNS1" s="536"/>
      <c r="DNT1" s="536"/>
      <c r="DNU1" s="536"/>
      <c r="DNV1" s="536"/>
      <c r="DNW1" s="536"/>
      <c r="DNX1" s="536"/>
      <c r="DNY1" s="536"/>
      <c r="DNZ1" s="536"/>
      <c r="DOA1" s="536"/>
      <c r="DOB1" s="536"/>
      <c r="DOC1" s="536"/>
      <c r="DOD1" s="536"/>
      <c r="DOE1" s="536"/>
      <c r="DOF1" s="536"/>
      <c r="DOG1" s="536"/>
      <c r="DOH1" s="536"/>
      <c r="DOI1" s="536"/>
      <c r="DOJ1" s="536"/>
      <c r="DOK1" s="536"/>
      <c r="DOL1" s="536"/>
      <c r="DOM1" s="536"/>
      <c r="DON1" s="536"/>
      <c r="DOO1" s="536"/>
      <c r="DOP1" s="536"/>
      <c r="DOQ1" s="536"/>
      <c r="DOR1" s="536"/>
      <c r="DOS1" s="536"/>
      <c r="DOT1" s="536"/>
      <c r="DOU1" s="536"/>
      <c r="DOV1" s="536"/>
      <c r="DOW1" s="536"/>
      <c r="DOX1" s="536"/>
      <c r="DOY1" s="536"/>
      <c r="DOZ1" s="536"/>
      <c r="DPA1" s="536"/>
      <c r="DPB1" s="536"/>
      <c r="DPC1" s="536"/>
      <c r="DPD1" s="536"/>
      <c r="DPE1" s="536"/>
      <c r="DPF1" s="536"/>
      <c r="DPG1" s="536"/>
      <c r="DPH1" s="536"/>
      <c r="DPI1" s="536"/>
      <c r="DPJ1" s="536"/>
      <c r="DPK1" s="536"/>
      <c r="DPL1" s="536"/>
      <c r="DPM1" s="536"/>
      <c r="DPN1" s="536"/>
      <c r="DPO1" s="536"/>
      <c r="DPP1" s="536"/>
      <c r="DPQ1" s="536"/>
      <c r="DPR1" s="536"/>
      <c r="DPS1" s="536"/>
      <c r="DPT1" s="536"/>
      <c r="DPU1" s="536"/>
      <c r="DPV1" s="536"/>
      <c r="DPW1" s="536"/>
      <c r="DPX1" s="536"/>
      <c r="DPY1" s="536"/>
      <c r="DPZ1" s="536"/>
      <c r="DQA1" s="536"/>
      <c r="DQB1" s="536"/>
      <c r="DQC1" s="536"/>
      <c r="DQD1" s="536"/>
      <c r="DQE1" s="536"/>
      <c r="DQF1" s="536"/>
      <c r="DQG1" s="536"/>
      <c r="DQH1" s="536"/>
      <c r="DQI1" s="536"/>
      <c r="DQJ1" s="536"/>
      <c r="DQK1" s="536"/>
      <c r="DQL1" s="536"/>
      <c r="DQM1" s="536"/>
      <c r="DQN1" s="536"/>
      <c r="DQO1" s="536"/>
      <c r="DQP1" s="536"/>
      <c r="DQQ1" s="536"/>
      <c r="DQR1" s="536"/>
      <c r="DQS1" s="536"/>
      <c r="DQT1" s="536"/>
      <c r="DQU1" s="536"/>
      <c r="DQV1" s="536"/>
      <c r="DQW1" s="536"/>
      <c r="DQX1" s="536"/>
      <c r="DQY1" s="536"/>
      <c r="DQZ1" s="536"/>
      <c r="DRA1" s="536"/>
      <c r="DRB1" s="536"/>
      <c r="DRC1" s="536"/>
      <c r="DRD1" s="536"/>
      <c r="DRE1" s="536"/>
      <c r="DRF1" s="536"/>
      <c r="DRG1" s="536"/>
      <c r="DRH1" s="536"/>
      <c r="DRI1" s="536"/>
      <c r="DRJ1" s="536"/>
      <c r="DRK1" s="536"/>
      <c r="DRL1" s="536"/>
      <c r="DRM1" s="536"/>
      <c r="DRN1" s="536"/>
      <c r="DRO1" s="536"/>
      <c r="DRP1" s="536"/>
      <c r="DRQ1" s="536"/>
      <c r="DRR1" s="536"/>
      <c r="DRS1" s="536"/>
      <c r="DRT1" s="536"/>
      <c r="DRU1" s="536"/>
      <c r="DRV1" s="536"/>
      <c r="DRW1" s="536"/>
      <c r="DRX1" s="536"/>
      <c r="DRY1" s="536"/>
      <c r="DRZ1" s="536"/>
      <c r="DSA1" s="536"/>
      <c r="DSB1" s="536"/>
      <c r="DSC1" s="536"/>
      <c r="DSD1" s="536"/>
      <c r="DSE1" s="536"/>
      <c r="DSF1" s="536"/>
      <c r="DSG1" s="536"/>
      <c r="DSH1" s="536"/>
      <c r="DSI1" s="536"/>
      <c r="DSJ1" s="536"/>
      <c r="DSK1" s="536"/>
      <c r="DSL1" s="536"/>
      <c r="DSM1" s="536"/>
      <c r="DSN1" s="536"/>
      <c r="DSO1" s="536"/>
      <c r="DSP1" s="536"/>
      <c r="DSQ1" s="536"/>
      <c r="DSR1" s="536"/>
      <c r="DSS1" s="536"/>
      <c r="DST1" s="536"/>
      <c r="DSU1" s="536"/>
      <c r="DSV1" s="536"/>
      <c r="DSW1" s="536"/>
      <c r="DSX1" s="536"/>
      <c r="DSY1" s="536"/>
      <c r="DSZ1" s="536"/>
      <c r="DTA1" s="536"/>
      <c r="DTB1" s="536"/>
      <c r="DTC1" s="536"/>
      <c r="DTD1" s="536"/>
      <c r="DTE1" s="536"/>
      <c r="DTF1" s="536"/>
      <c r="DTG1" s="536"/>
      <c r="DTH1" s="536"/>
      <c r="DTI1" s="536"/>
      <c r="DTJ1" s="536"/>
      <c r="DTK1" s="536"/>
      <c r="DTL1" s="536"/>
      <c r="DTM1" s="536"/>
      <c r="DTN1" s="536"/>
      <c r="DTO1" s="536"/>
      <c r="DTP1" s="536"/>
      <c r="DTQ1" s="536"/>
      <c r="DTR1" s="536"/>
      <c r="DTS1" s="536"/>
      <c r="DTT1" s="536"/>
      <c r="DTU1" s="536"/>
      <c r="DTV1" s="536"/>
      <c r="DTW1" s="536"/>
      <c r="DTX1" s="536"/>
      <c r="DTY1" s="536"/>
      <c r="DTZ1" s="536"/>
      <c r="DUA1" s="536"/>
      <c r="DUB1" s="536"/>
      <c r="DUC1" s="536"/>
      <c r="DUD1" s="536"/>
      <c r="DUE1" s="536"/>
      <c r="DUF1" s="536"/>
      <c r="DUG1" s="536"/>
      <c r="DUH1" s="536"/>
      <c r="DUI1" s="536"/>
      <c r="DUJ1" s="536"/>
      <c r="DUK1" s="536"/>
      <c r="DUL1" s="536"/>
      <c r="DUM1" s="536"/>
      <c r="DUN1" s="536"/>
      <c r="DUO1" s="536"/>
      <c r="DUP1" s="536"/>
      <c r="DUQ1" s="536"/>
      <c r="DUR1" s="536"/>
      <c r="DUS1" s="536"/>
      <c r="DUT1" s="536"/>
      <c r="DUU1" s="536"/>
      <c r="DUV1" s="536"/>
      <c r="DUW1" s="536"/>
      <c r="DUX1" s="536"/>
      <c r="DUY1" s="536"/>
      <c r="DUZ1" s="536"/>
      <c r="DVA1" s="536"/>
      <c r="DVB1" s="536"/>
      <c r="DVC1" s="536"/>
      <c r="DVD1" s="536"/>
      <c r="DVE1" s="536"/>
      <c r="DVF1" s="536"/>
      <c r="DVG1" s="536"/>
      <c r="DVH1" s="536"/>
      <c r="DVI1" s="536"/>
      <c r="DVJ1" s="536"/>
      <c r="DVK1" s="536"/>
      <c r="DVL1" s="536"/>
      <c r="DVM1" s="536"/>
      <c r="DVN1" s="536"/>
      <c r="DVO1" s="536"/>
      <c r="DVP1" s="536"/>
      <c r="DVQ1" s="536"/>
      <c r="DVR1" s="536"/>
      <c r="DVS1" s="536"/>
      <c r="DVT1" s="536"/>
      <c r="DVU1" s="536"/>
      <c r="DVV1" s="536"/>
      <c r="DVW1" s="536"/>
      <c r="DVX1" s="536"/>
      <c r="DVY1" s="536"/>
      <c r="DVZ1" s="536"/>
      <c r="DWA1" s="536"/>
      <c r="DWB1" s="536"/>
      <c r="DWC1" s="536"/>
      <c r="DWD1" s="536"/>
      <c r="DWE1" s="536"/>
      <c r="DWF1" s="536"/>
      <c r="DWG1" s="536"/>
      <c r="DWH1" s="536"/>
      <c r="DWI1" s="536"/>
      <c r="DWJ1" s="536"/>
      <c r="DWK1" s="536"/>
      <c r="DWL1" s="536"/>
      <c r="DWM1" s="536"/>
      <c r="DWN1" s="536"/>
      <c r="DWO1" s="536"/>
      <c r="DWP1" s="536"/>
      <c r="DWQ1" s="536"/>
      <c r="DWR1" s="536"/>
      <c r="DWS1" s="536"/>
      <c r="DWT1" s="536"/>
      <c r="DWU1" s="536"/>
      <c r="DWV1" s="536"/>
      <c r="DWW1" s="536"/>
      <c r="DWX1" s="536"/>
      <c r="DWY1" s="536"/>
      <c r="DWZ1" s="536"/>
      <c r="DXA1" s="536"/>
      <c r="DXB1" s="536"/>
      <c r="DXC1" s="536"/>
      <c r="DXD1" s="536"/>
      <c r="DXE1" s="536"/>
      <c r="DXF1" s="536"/>
      <c r="DXG1" s="536"/>
      <c r="DXH1" s="536"/>
      <c r="DXI1" s="536"/>
      <c r="DXJ1" s="536"/>
      <c r="DXK1" s="536"/>
      <c r="DXL1" s="536"/>
      <c r="DXM1" s="536"/>
      <c r="DXN1" s="536"/>
      <c r="DXO1" s="536"/>
      <c r="DXP1" s="536"/>
      <c r="DXQ1" s="536"/>
      <c r="DXR1" s="536"/>
      <c r="DXS1" s="536"/>
      <c r="DXT1" s="536"/>
      <c r="DXU1" s="536"/>
      <c r="DXV1" s="536"/>
      <c r="DXW1" s="536"/>
      <c r="DXX1" s="536"/>
      <c r="DXY1" s="536"/>
      <c r="DXZ1" s="536"/>
      <c r="DYA1" s="536"/>
      <c r="DYB1" s="536"/>
      <c r="DYC1" s="536"/>
      <c r="DYD1" s="536"/>
      <c r="DYE1" s="536"/>
      <c r="DYF1" s="536"/>
      <c r="DYG1" s="536"/>
      <c r="DYH1" s="536"/>
      <c r="DYI1" s="536"/>
      <c r="DYJ1" s="536"/>
      <c r="DYK1" s="536"/>
      <c r="DYL1" s="536"/>
      <c r="DYM1" s="536"/>
      <c r="DYN1" s="536"/>
      <c r="DYO1" s="536"/>
      <c r="DYP1" s="536"/>
      <c r="DYQ1" s="536"/>
      <c r="DYR1" s="536"/>
      <c r="DYS1" s="536"/>
      <c r="DYT1" s="536"/>
      <c r="DYU1" s="536"/>
      <c r="DYV1" s="536"/>
      <c r="DYW1" s="536"/>
      <c r="DYX1" s="536"/>
      <c r="DYY1" s="536"/>
      <c r="DYZ1" s="536"/>
      <c r="DZA1" s="536"/>
      <c r="DZB1" s="536"/>
      <c r="DZC1" s="536"/>
      <c r="DZD1" s="536"/>
      <c r="DZE1" s="536"/>
      <c r="DZF1" s="536"/>
      <c r="DZG1" s="536"/>
      <c r="DZH1" s="536"/>
      <c r="DZI1" s="536"/>
      <c r="DZJ1" s="536"/>
      <c r="DZK1" s="536"/>
      <c r="DZL1" s="536"/>
      <c r="DZM1" s="536"/>
      <c r="DZN1" s="536"/>
      <c r="DZO1" s="536"/>
      <c r="DZP1" s="536"/>
      <c r="DZQ1" s="536"/>
      <c r="DZR1" s="536"/>
      <c r="DZS1" s="536"/>
      <c r="DZT1" s="536"/>
      <c r="DZU1" s="536"/>
      <c r="DZV1" s="536"/>
      <c r="DZW1" s="536"/>
      <c r="DZX1" s="536"/>
      <c r="DZY1" s="536"/>
      <c r="DZZ1" s="536"/>
      <c r="EAA1" s="536"/>
      <c r="EAB1" s="536"/>
      <c r="EAC1" s="536"/>
      <c r="EAD1" s="536"/>
      <c r="EAE1" s="536"/>
      <c r="EAF1" s="536"/>
      <c r="EAG1" s="536"/>
      <c r="EAH1" s="536"/>
      <c r="EAI1" s="536"/>
      <c r="EAJ1" s="536"/>
      <c r="EAK1" s="536"/>
      <c r="EAL1" s="536"/>
      <c r="EAM1" s="536"/>
      <c r="EAN1" s="536"/>
      <c r="EAO1" s="536"/>
      <c r="EAP1" s="536"/>
      <c r="EAQ1" s="536"/>
      <c r="EAR1" s="536"/>
      <c r="EAS1" s="536"/>
      <c r="EAT1" s="536"/>
      <c r="EAU1" s="536"/>
      <c r="EAV1" s="536"/>
      <c r="EAW1" s="536"/>
      <c r="EAX1" s="536"/>
      <c r="EAY1" s="536"/>
      <c r="EAZ1" s="536"/>
      <c r="EBA1" s="536"/>
      <c r="EBB1" s="536"/>
      <c r="EBC1" s="536"/>
      <c r="EBD1" s="536"/>
      <c r="EBE1" s="536"/>
      <c r="EBF1" s="536"/>
      <c r="EBG1" s="536"/>
      <c r="EBH1" s="536"/>
      <c r="EBI1" s="536"/>
      <c r="EBJ1" s="536"/>
      <c r="EBK1" s="536"/>
      <c r="EBL1" s="536"/>
      <c r="EBM1" s="536"/>
      <c r="EBN1" s="536"/>
      <c r="EBO1" s="536"/>
      <c r="EBP1" s="536"/>
      <c r="EBQ1" s="536"/>
      <c r="EBR1" s="536"/>
      <c r="EBS1" s="536"/>
      <c r="EBT1" s="536"/>
      <c r="EBU1" s="536"/>
      <c r="EBV1" s="536"/>
      <c r="EBW1" s="536"/>
      <c r="EBX1" s="536"/>
      <c r="EBY1" s="536"/>
      <c r="EBZ1" s="536"/>
      <c r="ECA1" s="536"/>
      <c r="ECB1" s="536"/>
      <c r="ECC1" s="536"/>
      <c r="ECD1" s="536"/>
      <c r="ECE1" s="536"/>
      <c r="ECF1" s="536"/>
      <c r="ECG1" s="536"/>
      <c r="ECH1" s="536"/>
      <c r="ECI1" s="536"/>
      <c r="ECJ1" s="536"/>
      <c r="ECK1" s="536"/>
      <c r="ECL1" s="536"/>
      <c r="ECM1" s="536"/>
      <c r="ECN1" s="536"/>
      <c r="ECO1" s="536"/>
      <c r="ECP1" s="536"/>
      <c r="ECQ1" s="536"/>
      <c r="ECR1" s="536"/>
      <c r="ECS1" s="536"/>
      <c r="ECT1" s="536"/>
      <c r="ECU1" s="536"/>
      <c r="ECV1" s="536"/>
      <c r="ECW1" s="536"/>
      <c r="ECX1" s="536"/>
      <c r="ECY1" s="536"/>
      <c r="ECZ1" s="536"/>
      <c r="EDA1" s="536"/>
      <c r="EDB1" s="536"/>
      <c r="EDC1" s="536"/>
      <c r="EDD1" s="536"/>
      <c r="EDE1" s="536"/>
      <c r="EDF1" s="536"/>
      <c r="EDG1" s="536"/>
      <c r="EDH1" s="536"/>
      <c r="EDI1" s="536"/>
      <c r="EDJ1" s="536"/>
      <c r="EDK1" s="536"/>
      <c r="EDL1" s="536"/>
      <c r="EDM1" s="536"/>
      <c r="EDN1" s="536"/>
      <c r="EDO1" s="536"/>
      <c r="EDP1" s="536"/>
      <c r="EDQ1" s="536"/>
      <c r="EDR1" s="536"/>
      <c r="EDS1" s="536"/>
      <c r="EDT1" s="536"/>
      <c r="EDU1" s="536"/>
      <c r="EDV1" s="536"/>
      <c r="EDW1" s="536"/>
      <c r="EDX1" s="536"/>
      <c r="EDY1" s="536"/>
      <c r="EDZ1" s="536"/>
      <c r="EEA1" s="536"/>
      <c r="EEB1" s="536"/>
      <c r="EEC1" s="536"/>
      <c r="EED1" s="536"/>
      <c r="EEE1" s="536"/>
      <c r="EEF1" s="536"/>
      <c r="EEG1" s="536"/>
      <c r="EEH1" s="536"/>
      <c r="EEI1" s="536"/>
      <c r="EEJ1" s="536"/>
      <c r="EEK1" s="536"/>
      <c r="EEL1" s="536"/>
      <c r="EEM1" s="536"/>
      <c r="EEN1" s="536"/>
      <c r="EEO1" s="536"/>
      <c r="EEP1" s="536"/>
      <c r="EEQ1" s="536"/>
      <c r="EER1" s="536"/>
      <c r="EES1" s="536"/>
      <c r="EET1" s="536"/>
      <c r="EEU1" s="536"/>
      <c r="EEV1" s="536"/>
      <c r="EEW1" s="536"/>
      <c r="EEX1" s="536"/>
      <c r="EEY1" s="536"/>
      <c r="EEZ1" s="536"/>
      <c r="EFA1" s="536"/>
      <c r="EFB1" s="536"/>
      <c r="EFC1" s="536"/>
      <c r="EFD1" s="536"/>
      <c r="EFE1" s="536"/>
      <c r="EFF1" s="536"/>
      <c r="EFG1" s="536"/>
      <c r="EFH1" s="536"/>
      <c r="EFI1" s="536"/>
      <c r="EFJ1" s="536"/>
      <c r="EFK1" s="536"/>
      <c r="EFL1" s="536"/>
      <c r="EFM1" s="536"/>
      <c r="EFN1" s="536"/>
      <c r="EFO1" s="536"/>
      <c r="EFP1" s="536"/>
      <c r="EFQ1" s="536"/>
      <c r="EFR1" s="536"/>
      <c r="EFS1" s="536"/>
      <c r="EFT1" s="536"/>
      <c r="EFU1" s="536"/>
      <c r="EFV1" s="536"/>
      <c r="EFW1" s="536"/>
      <c r="EFX1" s="536"/>
      <c r="EFY1" s="536"/>
      <c r="EFZ1" s="536"/>
      <c r="EGA1" s="536"/>
      <c r="EGB1" s="536"/>
      <c r="EGC1" s="536"/>
      <c r="EGD1" s="536"/>
      <c r="EGE1" s="536"/>
      <c r="EGF1" s="536"/>
      <c r="EGG1" s="536"/>
      <c r="EGH1" s="536"/>
      <c r="EGI1" s="536"/>
      <c r="EGJ1" s="536"/>
      <c r="EGK1" s="536"/>
      <c r="EGL1" s="536"/>
      <c r="EGM1" s="536"/>
      <c r="EGN1" s="536"/>
      <c r="EGO1" s="536"/>
      <c r="EGP1" s="536"/>
      <c r="EGQ1" s="536"/>
      <c r="EGR1" s="536"/>
      <c r="EGS1" s="536"/>
      <c r="EGT1" s="536"/>
      <c r="EGU1" s="536"/>
      <c r="EGV1" s="536"/>
      <c r="EGW1" s="536"/>
      <c r="EGX1" s="536"/>
      <c r="EGY1" s="536"/>
      <c r="EGZ1" s="536"/>
      <c r="EHA1" s="536"/>
      <c r="EHB1" s="536"/>
      <c r="EHC1" s="536"/>
      <c r="EHD1" s="536"/>
      <c r="EHE1" s="536"/>
      <c r="EHF1" s="536"/>
      <c r="EHG1" s="536"/>
      <c r="EHH1" s="536"/>
      <c r="EHI1" s="536"/>
      <c r="EHJ1" s="536"/>
      <c r="EHK1" s="536"/>
      <c r="EHL1" s="536"/>
      <c r="EHM1" s="536"/>
      <c r="EHN1" s="536"/>
      <c r="EHO1" s="536"/>
      <c r="EHP1" s="536"/>
      <c r="EHQ1" s="536"/>
      <c r="EHR1" s="536"/>
      <c r="EHS1" s="536"/>
      <c r="EHT1" s="536"/>
      <c r="EHU1" s="536"/>
      <c r="EHV1" s="536"/>
      <c r="EHW1" s="536"/>
      <c r="EHX1" s="536"/>
      <c r="EHY1" s="536"/>
      <c r="EHZ1" s="536"/>
      <c r="EIA1" s="536"/>
      <c r="EIB1" s="536"/>
      <c r="EIC1" s="536"/>
      <c r="EID1" s="536"/>
      <c r="EIE1" s="536"/>
      <c r="EIF1" s="536"/>
      <c r="EIG1" s="536"/>
      <c r="EIH1" s="536"/>
      <c r="EII1" s="536"/>
      <c r="EIJ1" s="536"/>
      <c r="EIK1" s="536"/>
      <c r="EIL1" s="536"/>
      <c r="EIM1" s="536"/>
      <c r="EIN1" s="536"/>
      <c r="EIO1" s="536"/>
      <c r="EIP1" s="536"/>
      <c r="EIQ1" s="536"/>
      <c r="EIR1" s="536"/>
      <c r="EIS1" s="536"/>
      <c r="EIT1" s="536"/>
      <c r="EIU1" s="536"/>
      <c r="EIV1" s="536"/>
      <c r="EIW1" s="536"/>
      <c r="EIX1" s="536"/>
      <c r="EIY1" s="536"/>
      <c r="EIZ1" s="536"/>
      <c r="EJA1" s="536"/>
      <c r="EJB1" s="536"/>
      <c r="EJC1" s="536"/>
      <c r="EJD1" s="536"/>
      <c r="EJE1" s="536"/>
      <c r="EJF1" s="536"/>
      <c r="EJG1" s="536"/>
      <c r="EJH1" s="536"/>
      <c r="EJI1" s="536"/>
      <c r="EJJ1" s="536"/>
      <c r="EJK1" s="536"/>
      <c r="EJL1" s="536"/>
      <c r="EJM1" s="536"/>
      <c r="EJN1" s="536"/>
      <c r="EJO1" s="536"/>
      <c r="EJP1" s="536"/>
      <c r="EJQ1" s="536"/>
      <c r="EJR1" s="536"/>
      <c r="EJS1" s="536"/>
      <c r="EJT1" s="536"/>
      <c r="EJU1" s="536"/>
      <c r="EJV1" s="536"/>
      <c r="EJW1" s="536"/>
      <c r="EJX1" s="536"/>
      <c r="EJY1" s="536"/>
      <c r="EJZ1" s="536"/>
      <c r="EKA1" s="536"/>
      <c r="EKB1" s="536"/>
      <c r="EKC1" s="536"/>
      <c r="EKD1" s="536"/>
      <c r="EKE1" s="536"/>
      <c r="EKF1" s="536"/>
      <c r="EKG1" s="536"/>
      <c r="EKH1" s="536"/>
      <c r="EKI1" s="536"/>
      <c r="EKJ1" s="536"/>
      <c r="EKK1" s="536"/>
      <c r="EKL1" s="536"/>
      <c r="EKM1" s="536"/>
      <c r="EKN1" s="536"/>
      <c r="EKO1" s="536"/>
      <c r="EKP1" s="536"/>
      <c r="EKQ1" s="536"/>
      <c r="EKR1" s="536"/>
      <c r="EKS1" s="536"/>
      <c r="EKT1" s="536"/>
      <c r="EKU1" s="536"/>
      <c r="EKV1" s="536"/>
      <c r="EKW1" s="536"/>
      <c r="EKX1" s="536"/>
      <c r="EKY1" s="536"/>
      <c r="EKZ1" s="536"/>
      <c r="ELA1" s="536"/>
      <c r="ELB1" s="536"/>
      <c r="ELC1" s="536"/>
      <c r="ELD1" s="536"/>
      <c r="ELE1" s="536"/>
      <c r="ELF1" s="536"/>
      <c r="ELG1" s="536"/>
      <c r="ELH1" s="536"/>
      <c r="ELI1" s="536"/>
      <c r="ELJ1" s="536"/>
      <c r="ELK1" s="536"/>
      <c r="ELL1" s="536"/>
      <c r="ELM1" s="536"/>
      <c r="ELN1" s="536"/>
      <c r="ELO1" s="536"/>
      <c r="ELP1" s="536"/>
      <c r="ELQ1" s="536"/>
      <c r="ELR1" s="536"/>
      <c r="ELS1" s="536"/>
      <c r="ELT1" s="536"/>
      <c r="ELU1" s="536"/>
      <c r="ELV1" s="536"/>
      <c r="ELW1" s="536"/>
      <c r="ELX1" s="536"/>
      <c r="ELY1" s="536"/>
      <c r="ELZ1" s="536"/>
      <c r="EMA1" s="536"/>
      <c r="EMB1" s="536"/>
      <c r="EMC1" s="536"/>
      <c r="EMD1" s="536"/>
      <c r="EME1" s="536"/>
      <c r="EMF1" s="536"/>
      <c r="EMG1" s="536"/>
      <c r="EMH1" s="536"/>
      <c r="EMI1" s="536"/>
      <c r="EMJ1" s="536"/>
      <c r="EMK1" s="536"/>
      <c r="EML1" s="536"/>
      <c r="EMM1" s="536"/>
      <c r="EMN1" s="536"/>
      <c r="EMO1" s="536"/>
      <c r="EMP1" s="536"/>
      <c r="EMQ1" s="536"/>
      <c r="EMR1" s="536"/>
      <c r="EMS1" s="536"/>
      <c r="EMT1" s="536"/>
      <c r="EMU1" s="536"/>
      <c r="EMV1" s="536"/>
      <c r="EMW1" s="536"/>
      <c r="EMX1" s="536"/>
      <c r="EMY1" s="536"/>
      <c r="EMZ1" s="536"/>
      <c r="ENA1" s="536"/>
      <c r="ENB1" s="536"/>
      <c r="ENC1" s="536"/>
      <c r="END1" s="536"/>
      <c r="ENE1" s="536"/>
      <c r="ENF1" s="536"/>
      <c r="ENG1" s="536"/>
      <c r="ENH1" s="536"/>
      <c r="ENI1" s="536"/>
      <c r="ENJ1" s="536"/>
      <c r="ENK1" s="536"/>
      <c r="ENL1" s="536"/>
      <c r="ENM1" s="536"/>
      <c r="ENN1" s="536"/>
      <c r="ENO1" s="536"/>
      <c r="ENP1" s="536"/>
      <c r="ENQ1" s="536"/>
      <c r="ENR1" s="536"/>
      <c r="ENS1" s="536"/>
      <c r="ENT1" s="536"/>
      <c r="ENU1" s="536"/>
      <c r="ENV1" s="536"/>
      <c r="ENW1" s="536"/>
      <c r="ENX1" s="536"/>
      <c r="ENY1" s="536"/>
      <c r="ENZ1" s="536"/>
      <c r="EOA1" s="536"/>
      <c r="EOB1" s="536"/>
      <c r="EOC1" s="536"/>
      <c r="EOD1" s="536"/>
      <c r="EOE1" s="536"/>
      <c r="EOF1" s="536"/>
      <c r="EOG1" s="536"/>
      <c r="EOH1" s="536"/>
      <c r="EOI1" s="536"/>
      <c r="EOJ1" s="536"/>
      <c r="EOK1" s="536"/>
      <c r="EOL1" s="536"/>
      <c r="EOM1" s="536"/>
      <c r="EON1" s="536"/>
      <c r="EOO1" s="536"/>
      <c r="EOP1" s="536"/>
      <c r="EOQ1" s="536"/>
      <c r="EOR1" s="536"/>
      <c r="EOS1" s="536"/>
      <c r="EOT1" s="536"/>
      <c r="EOU1" s="536"/>
      <c r="EOV1" s="536"/>
      <c r="EOW1" s="536"/>
      <c r="EOX1" s="536"/>
      <c r="EOY1" s="536"/>
      <c r="EOZ1" s="536"/>
      <c r="EPA1" s="536"/>
      <c r="EPB1" s="536"/>
      <c r="EPC1" s="536"/>
      <c r="EPD1" s="536"/>
      <c r="EPE1" s="536"/>
      <c r="EPF1" s="536"/>
      <c r="EPG1" s="536"/>
      <c r="EPH1" s="536"/>
      <c r="EPI1" s="536"/>
      <c r="EPJ1" s="536"/>
      <c r="EPK1" s="536"/>
      <c r="EPL1" s="536"/>
      <c r="EPM1" s="536"/>
      <c r="EPN1" s="536"/>
      <c r="EPO1" s="536"/>
      <c r="EPP1" s="536"/>
      <c r="EPQ1" s="536"/>
      <c r="EPR1" s="536"/>
      <c r="EPS1" s="536"/>
      <c r="EPT1" s="536"/>
      <c r="EPU1" s="536"/>
      <c r="EPV1" s="536"/>
      <c r="EPW1" s="536"/>
      <c r="EPX1" s="536"/>
      <c r="EPY1" s="536"/>
      <c r="EPZ1" s="536"/>
      <c r="EQA1" s="536"/>
      <c r="EQB1" s="536"/>
      <c r="EQC1" s="536"/>
      <c r="EQD1" s="536"/>
      <c r="EQE1" s="536"/>
      <c r="EQF1" s="536"/>
      <c r="EQG1" s="536"/>
      <c r="EQH1" s="536"/>
      <c r="EQI1" s="536"/>
      <c r="EQJ1" s="536"/>
      <c r="EQK1" s="536"/>
      <c r="EQL1" s="536"/>
      <c r="EQM1" s="536"/>
      <c r="EQN1" s="536"/>
      <c r="EQO1" s="536"/>
      <c r="EQP1" s="536"/>
      <c r="EQQ1" s="536"/>
      <c r="EQR1" s="536"/>
      <c r="EQS1" s="536"/>
      <c r="EQT1" s="536"/>
      <c r="EQU1" s="536"/>
      <c r="EQV1" s="536"/>
      <c r="EQW1" s="536"/>
      <c r="EQX1" s="536"/>
      <c r="EQY1" s="536"/>
      <c r="EQZ1" s="536"/>
      <c r="ERA1" s="536"/>
      <c r="ERB1" s="536"/>
      <c r="ERC1" s="536"/>
      <c r="ERD1" s="536"/>
      <c r="ERE1" s="536"/>
      <c r="ERF1" s="536"/>
      <c r="ERG1" s="536"/>
      <c r="ERH1" s="536"/>
      <c r="ERI1" s="536"/>
      <c r="ERJ1" s="536"/>
      <c r="ERK1" s="536"/>
      <c r="ERL1" s="536"/>
      <c r="ERM1" s="536"/>
      <c r="ERN1" s="536"/>
      <c r="ERO1" s="536"/>
      <c r="ERP1" s="536"/>
      <c r="ERQ1" s="536"/>
      <c r="ERR1" s="536"/>
      <c r="ERS1" s="536"/>
      <c r="ERT1" s="536"/>
      <c r="ERU1" s="536"/>
      <c r="ERV1" s="536"/>
      <c r="ERW1" s="536"/>
      <c r="ERX1" s="536"/>
      <c r="ERY1" s="536"/>
      <c r="ERZ1" s="536"/>
      <c r="ESA1" s="536"/>
      <c r="ESB1" s="536"/>
      <c r="ESC1" s="536"/>
      <c r="ESD1" s="536"/>
      <c r="ESE1" s="536"/>
      <c r="ESF1" s="536"/>
      <c r="ESG1" s="536"/>
      <c r="ESH1" s="536"/>
      <c r="ESI1" s="536"/>
      <c r="ESJ1" s="536"/>
      <c r="ESK1" s="536"/>
      <c r="ESL1" s="536"/>
      <c r="ESM1" s="536"/>
      <c r="ESN1" s="536"/>
      <c r="ESO1" s="536"/>
      <c r="ESP1" s="536"/>
      <c r="ESQ1" s="536"/>
      <c r="ESR1" s="536"/>
      <c r="ESS1" s="536"/>
      <c r="EST1" s="536"/>
      <c r="ESU1" s="536"/>
      <c r="ESV1" s="536"/>
      <c r="ESW1" s="536"/>
      <c r="ESX1" s="536"/>
      <c r="ESY1" s="536"/>
      <c r="ESZ1" s="536"/>
      <c r="ETA1" s="536"/>
      <c r="ETB1" s="536"/>
      <c r="ETC1" s="536"/>
      <c r="ETD1" s="536"/>
      <c r="ETE1" s="536"/>
      <c r="ETF1" s="536"/>
      <c r="ETG1" s="536"/>
      <c r="ETH1" s="536"/>
      <c r="ETI1" s="536"/>
      <c r="ETJ1" s="536"/>
      <c r="ETK1" s="536"/>
      <c r="ETL1" s="536"/>
      <c r="ETM1" s="536"/>
      <c r="ETN1" s="536"/>
      <c r="ETO1" s="536"/>
      <c r="ETP1" s="536"/>
      <c r="ETQ1" s="536"/>
      <c r="ETR1" s="536"/>
      <c r="ETS1" s="536"/>
      <c r="ETT1" s="536"/>
      <c r="ETU1" s="536"/>
      <c r="ETV1" s="536"/>
      <c r="ETW1" s="536"/>
      <c r="ETX1" s="536"/>
      <c r="ETY1" s="536"/>
      <c r="ETZ1" s="536"/>
      <c r="EUA1" s="536"/>
      <c r="EUB1" s="536"/>
      <c r="EUC1" s="536"/>
      <c r="EUD1" s="536"/>
      <c r="EUE1" s="536"/>
      <c r="EUF1" s="536"/>
      <c r="EUG1" s="536"/>
      <c r="EUH1" s="536"/>
      <c r="EUI1" s="536"/>
      <c r="EUJ1" s="536"/>
      <c r="EUK1" s="536"/>
      <c r="EUL1" s="536"/>
      <c r="EUM1" s="536"/>
      <c r="EUN1" s="536"/>
      <c r="EUO1" s="536"/>
      <c r="EUP1" s="536"/>
      <c r="EUQ1" s="536"/>
      <c r="EUR1" s="536"/>
      <c r="EUS1" s="536"/>
      <c r="EUT1" s="536"/>
      <c r="EUU1" s="536"/>
      <c r="EUV1" s="536"/>
      <c r="EUW1" s="536"/>
      <c r="EUX1" s="536"/>
      <c r="EUY1" s="536"/>
      <c r="EUZ1" s="536"/>
      <c r="EVA1" s="536"/>
      <c r="EVB1" s="536"/>
      <c r="EVC1" s="536"/>
      <c r="EVD1" s="536"/>
      <c r="EVE1" s="536"/>
      <c r="EVF1" s="536"/>
      <c r="EVG1" s="536"/>
      <c r="EVH1" s="536"/>
      <c r="EVI1" s="536"/>
      <c r="EVJ1" s="536"/>
      <c r="EVK1" s="536"/>
      <c r="EVL1" s="536"/>
      <c r="EVM1" s="536"/>
      <c r="EVN1" s="536"/>
      <c r="EVO1" s="536"/>
      <c r="EVP1" s="536"/>
      <c r="EVQ1" s="536"/>
      <c r="EVR1" s="536"/>
      <c r="EVS1" s="536"/>
      <c r="EVT1" s="536"/>
      <c r="EVU1" s="536"/>
      <c r="EVV1" s="536"/>
      <c r="EVW1" s="536"/>
      <c r="EVX1" s="536"/>
      <c r="EVY1" s="536"/>
      <c r="EVZ1" s="536"/>
      <c r="EWA1" s="536"/>
      <c r="EWB1" s="536"/>
      <c r="EWC1" s="536"/>
      <c r="EWD1" s="536"/>
      <c r="EWE1" s="536"/>
      <c r="EWF1" s="536"/>
      <c r="EWG1" s="536"/>
      <c r="EWH1" s="536"/>
      <c r="EWI1" s="536"/>
      <c r="EWJ1" s="536"/>
      <c r="EWK1" s="536"/>
      <c r="EWL1" s="536"/>
      <c r="EWM1" s="536"/>
      <c r="EWN1" s="536"/>
      <c r="EWO1" s="536"/>
      <c r="EWP1" s="536"/>
      <c r="EWQ1" s="536"/>
      <c r="EWR1" s="536"/>
      <c r="EWS1" s="536"/>
      <c r="EWT1" s="536"/>
      <c r="EWU1" s="536"/>
      <c r="EWV1" s="536"/>
      <c r="EWW1" s="536"/>
      <c r="EWX1" s="536"/>
      <c r="EWY1" s="536"/>
      <c r="EWZ1" s="536"/>
      <c r="EXA1" s="536"/>
      <c r="EXB1" s="536"/>
      <c r="EXC1" s="536"/>
      <c r="EXD1" s="536"/>
      <c r="EXE1" s="536"/>
      <c r="EXF1" s="536"/>
      <c r="EXG1" s="536"/>
      <c r="EXH1" s="536"/>
      <c r="EXI1" s="536"/>
      <c r="EXJ1" s="536"/>
      <c r="EXK1" s="536"/>
      <c r="EXL1" s="536"/>
      <c r="EXM1" s="536"/>
      <c r="EXN1" s="536"/>
      <c r="EXO1" s="536"/>
      <c r="EXP1" s="536"/>
      <c r="EXQ1" s="536"/>
      <c r="EXR1" s="536"/>
      <c r="EXS1" s="536"/>
      <c r="EXT1" s="536"/>
      <c r="EXU1" s="536"/>
      <c r="EXV1" s="536"/>
      <c r="EXW1" s="536"/>
      <c r="EXX1" s="536"/>
      <c r="EXY1" s="536"/>
      <c r="EXZ1" s="536"/>
      <c r="EYA1" s="536"/>
      <c r="EYB1" s="536"/>
      <c r="EYC1" s="536"/>
      <c r="EYD1" s="536"/>
      <c r="EYE1" s="536"/>
      <c r="EYF1" s="536"/>
      <c r="EYG1" s="536"/>
      <c r="EYH1" s="536"/>
      <c r="EYI1" s="536"/>
      <c r="EYJ1" s="536"/>
      <c r="EYK1" s="536"/>
      <c r="EYL1" s="536"/>
      <c r="EYM1" s="536"/>
      <c r="EYN1" s="536"/>
      <c r="EYO1" s="536"/>
      <c r="EYP1" s="536"/>
      <c r="EYQ1" s="536"/>
      <c r="EYR1" s="536"/>
      <c r="EYS1" s="536"/>
      <c r="EYT1" s="536"/>
      <c r="EYU1" s="536"/>
      <c r="EYV1" s="536"/>
      <c r="EYW1" s="536"/>
      <c r="EYX1" s="536"/>
      <c r="EYY1" s="536"/>
      <c r="EYZ1" s="536"/>
      <c r="EZA1" s="536"/>
      <c r="EZB1" s="536"/>
      <c r="EZC1" s="536"/>
      <c r="EZD1" s="536"/>
      <c r="EZE1" s="536"/>
      <c r="EZF1" s="536"/>
      <c r="EZG1" s="536"/>
      <c r="EZH1" s="536"/>
      <c r="EZI1" s="536"/>
      <c r="EZJ1" s="536"/>
      <c r="EZK1" s="536"/>
      <c r="EZL1" s="536"/>
      <c r="EZM1" s="536"/>
      <c r="EZN1" s="536"/>
      <c r="EZO1" s="536"/>
      <c r="EZP1" s="536"/>
      <c r="EZQ1" s="536"/>
      <c r="EZR1" s="536"/>
      <c r="EZS1" s="536"/>
      <c r="EZT1" s="536"/>
      <c r="EZU1" s="536"/>
      <c r="EZV1" s="536"/>
      <c r="EZW1" s="536"/>
      <c r="EZX1" s="536"/>
      <c r="EZY1" s="536"/>
      <c r="EZZ1" s="536"/>
      <c r="FAA1" s="536"/>
      <c r="FAB1" s="536"/>
      <c r="FAC1" s="536"/>
      <c r="FAD1" s="536"/>
      <c r="FAE1" s="536"/>
      <c r="FAF1" s="536"/>
      <c r="FAG1" s="536"/>
      <c r="FAH1" s="536"/>
      <c r="FAI1" s="536"/>
      <c r="FAJ1" s="536"/>
      <c r="FAK1" s="536"/>
      <c r="FAL1" s="536"/>
      <c r="FAM1" s="536"/>
      <c r="FAN1" s="536"/>
      <c r="FAO1" s="536"/>
      <c r="FAP1" s="536"/>
      <c r="FAQ1" s="536"/>
      <c r="FAR1" s="536"/>
      <c r="FAS1" s="536"/>
      <c r="FAT1" s="536"/>
      <c r="FAU1" s="536"/>
      <c r="FAV1" s="536"/>
      <c r="FAW1" s="536"/>
      <c r="FAX1" s="536"/>
      <c r="FAY1" s="536"/>
      <c r="FAZ1" s="536"/>
      <c r="FBA1" s="536"/>
      <c r="FBB1" s="536"/>
      <c r="FBC1" s="536"/>
      <c r="FBD1" s="536"/>
      <c r="FBE1" s="536"/>
      <c r="FBF1" s="536"/>
      <c r="FBG1" s="536"/>
      <c r="FBH1" s="536"/>
      <c r="FBI1" s="536"/>
      <c r="FBJ1" s="536"/>
      <c r="FBK1" s="536"/>
      <c r="FBL1" s="536"/>
      <c r="FBM1" s="536"/>
      <c r="FBN1" s="536"/>
      <c r="FBO1" s="536"/>
      <c r="FBP1" s="536"/>
      <c r="FBQ1" s="536"/>
      <c r="FBR1" s="536"/>
      <c r="FBS1" s="536"/>
      <c r="FBT1" s="536"/>
      <c r="FBU1" s="536"/>
      <c r="FBV1" s="536"/>
      <c r="FBW1" s="536"/>
      <c r="FBX1" s="536"/>
      <c r="FBY1" s="536"/>
      <c r="FBZ1" s="536"/>
      <c r="FCA1" s="536"/>
      <c r="FCB1" s="536"/>
      <c r="FCC1" s="536"/>
      <c r="FCD1" s="536"/>
      <c r="FCE1" s="536"/>
      <c r="FCF1" s="536"/>
      <c r="FCG1" s="536"/>
      <c r="FCH1" s="536"/>
      <c r="FCI1" s="536"/>
      <c r="FCJ1" s="536"/>
      <c r="FCK1" s="536"/>
      <c r="FCL1" s="536"/>
      <c r="FCM1" s="536"/>
      <c r="FCN1" s="536"/>
      <c r="FCO1" s="536"/>
      <c r="FCP1" s="536"/>
      <c r="FCQ1" s="536"/>
      <c r="FCR1" s="536"/>
      <c r="FCS1" s="536"/>
      <c r="FCT1" s="536"/>
      <c r="FCU1" s="536"/>
      <c r="FCV1" s="536"/>
      <c r="FCW1" s="536"/>
      <c r="FCX1" s="536"/>
      <c r="FCY1" s="536"/>
      <c r="FCZ1" s="536"/>
      <c r="FDA1" s="536"/>
      <c r="FDB1" s="536"/>
      <c r="FDC1" s="536"/>
      <c r="FDD1" s="536"/>
      <c r="FDE1" s="536"/>
      <c r="FDF1" s="536"/>
      <c r="FDG1" s="536"/>
      <c r="FDH1" s="536"/>
      <c r="FDI1" s="536"/>
      <c r="FDJ1" s="536"/>
      <c r="FDK1" s="536"/>
      <c r="FDL1" s="536"/>
      <c r="FDM1" s="536"/>
      <c r="FDN1" s="536"/>
      <c r="FDO1" s="536"/>
      <c r="FDP1" s="536"/>
      <c r="FDQ1" s="536"/>
      <c r="FDR1" s="536"/>
      <c r="FDS1" s="536"/>
      <c r="FDT1" s="536"/>
      <c r="FDU1" s="536"/>
      <c r="FDV1" s="536"/>
      <c r="FDW1" s="536"/>
      <c r="FDX1" s="536"/>
      <c r="FDY1" s="536"/>
      <c r="FDZ1" s="536"/>
      <c r="FEA1" s="536"/>
      <c r="FEB1" s="536"/>
      <c r="FEC1" s="536"/>
      <c r="FED1" s="536"/>
      <c r="FEE1" s="536"/>
      <c r="FEF1" s="536"/>
      <c r="FEG1" s="536"/>
      <c r="FEH1" s="536"/>
      <c r="FEI1" s="536"/>
      <c r="FEJ1" s="536"/>
      <c r="FEK1" s="536"/>
      <c r="FEL1" s="536"/>
      <c r="FEM1" s="536"/>
      <c r="FEN1" s="536"/>
      <c r="FEO1" s="536"/>
      <c r="FEP1" s="536"/>
      <c r="FEQ1" s="536"/>
      <c r="FER1" s="536"/>
      <c r="FES1" s="536"/>
      <c r="FET1" s="536"/>
      <c r="FEU1" s="536"/>
      <c r="FEV1" s="536"/>
      <c r="FEW1" s="536"/>
      <c r="FEX1" s="536"/>
      <c r="FEY1" s="536"/>
      <c r="FEZ1" s="536"/>
      <c r="FFA1" s="536"/>
      <c r="FFB1" s="536"/>
      <c r="FFC1" s="536"/>
      <c r="FFD1" s="536"/>
      <c r="FFE1" s="536"/>
      <c r="FFF1" s="536"/>
      <c r="FFG1" s="536"/>
      <c r="FFH1" s="536"/>
      <c r="FFI1" s="536"/>
      <c r="FFJ1" s="536"/>
      <c r="FFK1" s="536"/>
      <c r="FFL1" s="536"/>
      <c r="FFM1" s="536"/>
      <c r="FFN1" s="536"/>
      <c r="FFO1" s="536"/>
      <c r="FFP1" s="536"/>
      <c r="FFQ1" s="536"/>
      <c r="FFR1" s="536"/>
      <c r="FFS1" s="536"/>
      <c r="FFT1" s="536"/>
      <c r="FFU1" s="536"/>
      <c r="FFV1" s="536"/>
      <c r="FFW1" s="536"/>
      <c r="FFX1" s="536"/>
      <c r="FFY1" s="536"/>
      <c r="FFZ1" s="536"/>
      <c r="FGA1" s="536"/>
      <c r="FGB1" s="536"/>
      <c r="FGC1" s="536"/>
      <c r="FGD1" s="536"/>
      <c r="FGE1" s="536"/>
      <c r="FGF1" s="536"/>
      <c r="FGG1" s="536"/>
      <c r="FGH1" s="536"/>
      <c r="FGI1" s="536"/>
      <c r="FGJ1" s="536"/>
      <c r="FGK1" s="536"/>
      <c r="FGL1" s="536"/>
      <c r="FGM1" s="536"/>
      <c r="FGN1" s="536"/>
      <c r="FGO1" s="536"/>
      <c r="FGP1" s="536"/>
      <c r="FGQ1" s="536"/>
      <c r="FGR1" s="536"/>
      <c r="FGS1" s="536"/>
      <c r="FGT1" s="536"/>
      <c r="FGU1" s="536"/>
      <c r="FGV1" s="536"/>
      <c r="FGW1" s="536"/>
      <c r="FGX1" s="536"/>
      <c r="FGY1" s="536"/>
      <c r="FGZ1" s="536"/>
      <c r="FHA1" s="536"/>
      <c r="FHB1" s="536"/>
      <c r="FHC1" s="536"/>
      <c r="FHD1" s="536"/>
      <c r="FHE1" s="536"/>
      <c r="FHF1" s="536"/>
      <c r="FHG1" s="536"/>
      <c r="FHH1" s="536"/>
      <c r="FHI1" s="536"/>
      <c r="FHJ1" s="536"/>
      <c r="FHK1" s="536"/>
      <c r="FHL1" s="536"/>
      <c r="FHM1" s="536"/>
      <c r="FHN1" s="536"/>
      <c r="FHO1" s="536"/>
      <c r="FHP1" s="536"/>
      <c r="FHQ1" s="536"/>
      <c r="FHR1" s="536"/>
      <c r="FHS1" s="536"/>
      <c r="FHT1" s="536"/>
      <c r="FHU1" s="536"/>
      <c r="FHV1" s="536"/>
      <c r="FHW1" s="536"/>
      <c r="FHX1" s="536"/>
      <c r="FHY1" s="536"/>
      <c r="FHZ1" s="536"/>
      <c r="FIA1" s="536"/>
      <c r="FIB1" s="536"/>
      <c r="FIC1" s="536"/>
      <c r="FID1" s="536"/>
      <c r="FIE1" s="536"/>
      <c r="FIF1" s="536"/>
      <c r="FIG1" s="536"/>
      <c r="FIH1" s="536"/>
      <c r="FII1" s="536"/>
      <c r="FIJ1" s="536"/>
      <c r="FIK1" s="536"/>
      <c r="FIL1" s="536"/>
      <c r="FIM1" s="536"/>
      <c r="FIN1" s="536"/>
      <c r="FIO1" s="536"/>
      <c r="FIP1" s="536"/>
      <c r="FIQ1" s="536"/>
      <c r="FIR1" s="536"/>
      <c r="FIS1" s="536"/>
      <c r="FIT1" s="536"/>
      <c r="FIU1" s="536"/>
      <c r="FIV1" s="536"/>
      <c r="FIW1" s="536"/>
      <c r="FIX1" s="536"/>
      <c r="FIY1" s="536"/>
      <c r="FIZ1" s="536"/>
      <c r="FJA1" s="536"/>
      <c r="FJB1" s="536"/>
      <c r="FJC1" s="536"/>
      <c r="FJD1" s="536"/>
      <c r="FJE1" s="536"/>
      <c r="FJF1" s="536"/>
      <c r="FJG1" s="536"/>
      <c r="FJH1" s="536"/>
      <c r="FJI1" s="536"/>
      <c r="FJJ1" s="536"/>
      <c r="FJK1" s="536"/>
      <c r="FJL1" s="536"/>
      <c r="FJM1" s="536"/>
      <c r="FJN1" s="536"/>
      <c r="FJO1" s="536"/>
      <c r="FJP1" s="536"/>
      <c r="FJQ1" s="536"/>
      <c r="FJR1" s="536"/>
      <c r="FJS1" s="536"/>
      <c r="FJT1" s="536"/>
      <c r="FJU1" s="536"/>
      <c r="FJV1" s="536"/>
      <c r="FJW1" s="536"/>
      <c r="FJX1" s="536"/>
      <c r="FJY1" s="536"/>
      <c r="FJZ1" s="536"/>
      <c r="FKA1" s="536"/>
      <c r="FKB1" s="536"/>
      <c r="FKC1" s="536"/>
      <c r="FKD1" s="536"/>
      <c r="FKE1" s="536"/>
      <c r="FKF1" s="536"/>
      <c r="FKG1" s="536"/>
      <c r="FKH1" s="536"/>
      <c r="FKI1" s="536"/>
      <c r="FKJ1" s="536"/>
      <c r="FKK1" s="536"/>
      <c r="FKL1" s="536"/>
      <c r="FKM1" s="536"/>
      <c r="FKN1" s="536"/>
      <c r="FKO1" s="536"/>
      <c r="FKP1" s="536"/>
      <c r="FKQ1" s="536"/>
      <c r="FKR1" s="536"/>
      <c r="FKS1" s="536"/>
      <c r="FKT1" s="536"/>
      <c r="FKU1" s="536"/>
      <c r="FKV1" s="536"/>
      <c r="FKW1" s="536"/>
      <c r="FKX1" s="536"/>
      <c r="FKY1" s="536"/>
      <c r="FKZ1" s="536"/>
      <c r="FLA1" s="536"/>
      <c r="FLB1" s="536"/>
      <c r="FLC1" s="536"/>
      <c r="FLD1" s="536"/>
      <c r="FLE1" s="536"/>
      <c r="FLF1" s="536"/>
      <c r="FLG1" s="536"/>
      <c r="FLH1" s="536"/>
      <c r="FLI1" s="536"/>
      <c r="FLJ1" s="536"/>
      <c r="FLK1" s="536"/>
      <c r="FLL1" s="536"/>
      <c r="FLM1" s="536"/>
      <c r="FLN1" s="536"/>
      <c r="FLO1" s="536"/>
      <c r="FLP1" s="536"/>
      <c r="FLQ1" s="536"/>
      <c r="FLR1" s="536"/>
      <c r="FLS1" s="536"/>
      <c r="FLT1" s="536"/>
      <c r="FLU1" s="536"/>
      <c r="FLV1" s="536"/>
      <c r="FLW1" s="536"/>
      <c r="FLX1" s="536"/>
      <c r="FLY1" s="536"/>
      <c r="FLZ1" s="536"/>
      <c r="FMA1" s="536"/>
      <c r="FMB1" s="536"/>
      <c r="FMC1" s="536"/>
      <c r="FMD1" s="536"/>
      <c r="FME1" s="536"/>
      <c r="FMF1" s="536"/>
      <c r="FMG1" s="536"/>
      <c r="FMH1" s="536"/>
      <c r="FMI1" s="536"/>
      <c r="FMJ1" s="536"/>
      <c r="FMK1" s="536"/>
      <c r="FML1" s="536"/>
      <c r="FMM1" s="536"/>
      <c r="FMN1" s="536"/>
      <c r="FMO1" s="536"/>
      <c r="FMP1" s="536"/>
      <c r="FMQ1" s="536"/>
      <c r="FMR1" s="536"/>
      <c r="FMS1" s="536"/>
      <c r="FMT1" s="536"/>
      <c r="FMU1" s="536"/>
      <c r="FMV1" s="536"/>
      <c r="FMW1" s="536"/>
      <c r="FMX1" s="536"/>
      <c r="FMY1" s="536"/>
      <c r="FMZ1" s="536"/>
      <c r="FNA1" s="536"/>
      <c r="FNB1" s="536"/>
      <c r="FNC1" s="536"/>
      <c r="FND1" s="536"/>
      <c r="FNE1" s="536"/>
      <c r="FNF1" s="536"/>
      <c r="FNG1" s="536"/>
      <c r="FNH1" s="536"/>
      <c r="FNI1" s="536"/>
      <c r="FNJ1" s="536"/>
      <c r="FNK1" s="536"/>
      <c r="FNL1" s="536"/>
      <c r="FNM1" s="536"/>
      <c r="FNN1" s="536"/>
      <c r="FNO1" s="536"/>
      <c r="FNP1" s="536"/>
      <c r="FNQ1" s="536"/>
      <c r="FNR1" s="536"/>
      <c r="FNS1" s="536"/>
      <c r="FNT1" s="536"/>
      <c r="FNU1" s="536"/>
      <c r="FNV1" s="536"/>
      <c r="FNW1" s="536"/>
      <c r="FNX1" s="536"/>
      <c r="FNY1" s="536"/>
      <c r="FNZ1" s="536"/>
      <c r="FOA1" s="536"/>
      <c r="FOB1" s="536"/>
      <c r="FOC1" s="536"/>
      <c r="FOD1" s="536"/>
      <c r="FOE1" s="536"/>
      <c r="FOF1" s="536"/>
      <c r="FOG1" s="536"/>
      <c r="FOH1" s="536"/>
      <c r="FOI1" s="536"/>
      <c r="FOJ1" s="536"/>
      <c r="FOK1" s="536"/>
      <c r="FOL1" s="536"/>
      <c r="FOM1" s="536"/>
      <c r="FON1" s="536"/>
      <c r="FOO1" s="536"/>
      <c r="FOP1" s="536"/>
      <c r="FOQ1" s="536"/>
      <c r="FOR1" s="536"/>
      <c r="FOS1" s="536"/>
      <c r="FOT1" s="536"/>
      <c r="FOU1" s="536"/>
      <c r="FOV1" s="536"/>
      <c r="FOW1" s="536"/>
      <c r="FOX1" s="536"/>
      <c r="FOY1" s="536"/>
      <c r="FOZ1" s="536"/>
      <c r="FPA1" s="536"/>
      <c r="FPB1" s="536"/>
      <c r="FPC1" s="536"/>
      <c r="FPD1" s="536"/>
      <c r="FPE1" s="536"/>
      <c r="FPF1" s="536"/>
      <c r="FPG1" s="536"/>
      <c r="FPH1" s="536"/>
      <c r="FPI1" s="536"/>
      <c r="FPJ1" s="536"/>
      <c r="FPK1" s="536"/>
      <c r="FPL1" s="536"/>
      <c r="FPM1" s="536"/>
      <c r="FPN1" s="536"/>
      <c r="FPO1" s="536"/>
      <c r="FPP1" s="536"/>
      <c r="FPQ1" s="536"/>
      <c r="FPR1" s="536"/>
      <c r="FPS1" s="536"/>
      <c r="FPT1" s="536"/>
      <c r="FPU1" s="536"/>
      <c r="FPV1" s="536"/>
      <c r="FPW1" s="536"/>
      <c r="FPX1" s="536"/>
      <c r="FPY1" s="536"/>
      <c r="FPZ1" s="536"/>
      <c r="FQA1" s="536"/>
      <c r="FQB1" s="536"/>
      <c r="FQC1" s="536"/>
      <c r="FQD1" s="536"/>
      <c r="FQE1" s="536"/>
      <c r="FQF1" s="536"/>
      <c r="FQG1" s="536"/>
      <c r="FQH1" s="536"/>
      <c r="FQI1" s="536"/>
      <c r="FQJ1" s="536"/>
      <c r="FQK1" s="536"/>
      <c r="FQL1" s="536"/>
      <c r="FQM1" s="536"/>
      <c r="FQN1" s="536"/>
      <c r="FQO1" s="536"/>
      <c r="FQP1" s="536"/>
      <c r="FQQ1" s="536"/>
      <c r="FQR1" s="536"/>
      <c r="FQS1" s="536"/>
      <c r="FQT1" s="536"/>
      <c r="FQU1" s="536"/>
      <c r="FQV1" s="536"/>
      <c r="FQW1" s="536"/>
      <c r="FQX1" s="536"/>
      <c r="FQY1" s="536"/>
      <c r="FQZ1" s="536"/>
      <c r="FRA1" s="536"/>
      <c r="FRB1" s="536"/>
      <c r="FRC1" s="536"/>
      <c r="FRD1" s="536"/>
      <c r="FRE1" s="536"/>
      <c r="FRF1" s="536"/>
      <c r="FRG1" s="536"/>
      <c r="FRH1" s="536"/>
      <c r="FRI1" s="536"/>
      <c r="FRJ1" s="536"/>
      <c r="FRK1" s="536"/>
      <c r="FRL1" s="536"/>
      <c r="FRM1" s="536"/>
      <c r="FRN1" s="536"/>
      <c r="FRO1" s="536"/>
      <c r="FRP1" s="536"/>
      <c r="FRQ1" s="536"/>
      <c r="FRR1" s="536"/>
      <c r="FRS1" s="536"/>
      <c r="FRT1" s="536"/>
      <c r="FRU1" s="536"/>
      <c r="FRV1" s="536"/>
      <c r="FRW1" s="536"/>
      <c r="FRX1" s="536"/>
      <c r="FRY1" s="536"/>
      <c r="FRZ1" s="536"/>
      <c r="FSA1" s="536"/>
      <c r="FSB1" s="536"/>
      <c r="FSC1" s="536"/>
      <c r="FSD1" s="536"/>
      <c r="FSE1" s="536"/>
      <c r="FSF1" s="536"/>
      <c r="FSG1" s="536"/>
      <c r="FSH1" s="536"/>
      <c r="FSI1" s="536"/>
      <c r="FSJ1" s="536"/>
      <c r="FSK1" s="536"/>
      <c r="FSL1" s="536"/>
      <c r="FSM1" s="536"/>
      <c r="FSN1" s="536"/>
      <c r="FSO1" s="536"/>
      <c r="FSP1" s="536"/>
      <c r="FSQ1" s="536"/>
      <c r="FSR1" s="536"/>
      <c r="FSS1" s="536"/>
      <c r="FST1" s="536"/>
      <c r="FSU1" s="536"/>
      <c r="FSV1" s="536"/>
      <c r="FSW1" s="536"/>
      <c r="FSX1" s="536"/>
      <c r="FSY1" s="536"/>
      <c r="FSZ1" s="536"/>
      <c r="FTA1" s="536"/>
      <c r="FTB1" s="536"/>
      <c r="FTC1" s="536"/>
      <c r="FTD1" s="536"/>
      <c r="FTE1" s="536"/>
      <c r="FTF1" s="536"/>
      <c r="FTG1" s="536"/>
      <c r="FTH1" s="536"/>
      <c r="FTI1" s="536"/>
      <c r="FTJ1" s="536"/>
      <c r="FTK1" s="536"/>
      <c r="FTL1" s="536"/>
      <c r="FTM1" s="536"/>
      <c r="FTN1" s="536"/>
      <c r="FTO1" s="536"/>
      <c r="FTP1" s="536"/>
      <c r="FTQ1" s="536"/>
      <c r="FTR1" s="536"/>
      <c r="FTS1" s="536"/>
      <c r="FTT1" s="536"/>
      <c r="FTU1" s="536"/>
      <c r="FTV1" s="536"/>
      <c r="FTW1" s="536"/>
      <c r="FTX1" s="536"/>
      <c r="FTY1" s="536"/>
      <c r="FTZ1" s="536"/>
      <c r="FUA1" s="536"/>
      <c r="FUB1" s="536"/>
      <c r="FUC1" s="536"/>
      <c r="FUD1" s="536"/>
      <c r="FUE1" s="536"/>
      <c r="FUF1" s="536"/>
      <c r="FUG1" s="536"/>
      <c r="FUH1" s="536"/>
      <c r="FUI1" s="536"/>
      <c r="FUJ1" s="536"/>
      <c r="FUK1" s="536"/>
      <c r="FUL1" s="536"/>
      <c r="FUM1" s="536"/>
      <c r="FUN1" s="536"/>
      <c r="FUO1" s="536"/>
      <c r="FUP1" s="536"/>
      <c r="FUQ1" s="536"/>
      <c r="FUR1" s="536"/>
      <c r="FUS1" s="536"/>
      <c r="FUT1" s="536"/>
      <c r="FUU1" s="536"/>
      <c r="FUV1" s="536"/>
      <c r="FUW1" s="536"/>
      <c r="FUX1" s="536"/>
      <c r="FUY1" s="536"/>
      <c r="FUZ1" s="536"/>
      <c r="FVA1" s="536"/>
      <c r="FVB1" s="536"/>
      <c r="FVC1" s="536"/>
      <c r="FVD1" s="536"/>
      <c r="FVE1" s="536"/>
      <c r="FVF1" s="536"/>
      <c r="FVG1" s="536"/>
      <c r="FVH1" s="536"/>
      <c r="FVI1" s="536"/>
      <c r="FVJ1" s="536"/>
      <c r="FVK1" s="536"/>
      <c r="FVL1" s="536"/>
      <c r="FVM1" s="536"/>
      <c r="FVN1" s="536"/>
      <c r="FVO1" s="536"/>
      <c r="FVP1" s="536"/>
      <c r="FVQ1" s="536"/>
      <c r="FVR1" s="536"/>
      <c r="FVS1" s="536"/>
      <c r="FVT1" s="536"/>
      <c r="FVU1" s="536"/>
      <c r="FVV1" s="536"/>
      <c r="FVW1" s="536"/>
      <c r="FVX1" s="536"/>
      <c r="FVY1" s="536"/>
      <c r="FVZ1" s="536"/>
      <c r="FWA1" s="536"/>
      <c r="FWB1" s="536"/>
      <c r="FWC1" s="536"/>
      <c r="FWD1" s="536"/>
      <c r="FWE1" s="536"/>
      <c r="FWF1" s="536"/>
      <c r="FWG1" s="536"/>
      <c r="FWH1" s="536"/>
      <c r="FWI1" s="536"/>
      <c r="FWJ1" s="536"/>
      <c r="FWK1" s="536"/>
      <c r="FWL1" s="536"/>
      <c r="FWM1" s="536"/>
      <c r="FWN1" s="536"/>
      <c r="FWO1" s="536"/>
      <c r="FWP1" s="536"/>
      <c r="FWQ1" s="536"/>
      <c r="FWR1" s="536"/>
      <c r="FWS1" s="536"/>
      <c r="FWT1" s="536"/>
      <c r="FWU1" s="536"/>
      <c r="FWV1" s="536"/>
      <c r="FWW1" s="536"/>
      <c r="FWX1" s="536"/>
      <c r="FWY1" s="536"/>
      <c r="FWZ1" s="536"/>
      <c r="FXA1" s="536"/>
      <c r="FXB1" s="536"/>
      <c r="FXC1" s="536"/>
      <c r="FXD1" s="536"/>
      <c r="FXE1" s="536"/>
      <c r="FXF1" s="536"/>
      <c r="FXG1" s="536"/>
      <c r="FXH1" s="536"/>
      <c r="FXI1" s="536"/>
      <c r="FXJ1" s="536"/>
      <c r="FXK1" s="536"/>
      <c r="FXL1" s="536"/>
      <c r="FXM1" s="536"/>
      <c r="FXN1" s="536"/>
      <c r="FXO1" s="536"/>
      <c r="FXP1" s="536"/>
      <c r="FXQ1" s="536"/>
      <c r="FXR1" s="536"/>
      <c r="FXS1" s="536"/>
      <c r="FXT1" s="536"/>
      <c r="FXU1" s="536"/>
      <c r="FXV1" s="536"/>
      <c r="FXW1" s="536"/>
      <c r="FXX1" s="536"/>
      <c r="FXY1" s="536"/>
      <c r="FXZ1" s="536"/>
      <c r="FYA1" s="536"/>
      <c r="FYB1" s="536"/>
      <c r="FYC1" s="536"/>
      <c r="FYD1" s="536"/>
      <c r="FYE1" s="536"/>
      <c r="FYF1" s="536"/>
      <c r="FYG1" s="536"/>
      <c r="FYH1" s="536"/>
      <c r="FYI1" s="536"/>
      <c r="FYJ1" s="536"/>
      <c r="FYK1" s="536"/>
      <c r="FYL1" s="536"/>
      <c r="FYM1" s="536"/>
      <c r="FYN1" s="536"/>
      <c r="FYO1" s="536"/>
      <c r="FYP1" s="536"/>
      <c r="FYQ1" s="536"/>
      <c r="FYR1" s="536"/>
      <c r="FYS1" s="536"/>
      <c r="FYT1" s="536"/>
      <c r="FYU1" s="536"/>
      <c r="FYV1" s="536"/>
      <c r="FYW1" s="536"/>
      <c r="FYX1" s="536"/>
      <c r="FYY1" s="536"/>
      <c r="FYZ1" s="536"/>
      <c r="FZA1" s="536"/>
      <c r="FZB1" s="536"/>
      <c r="FZC1" s="536"/>
      <c r="FZD1" s="536"/>
      <c r="FZE1" s="536"/>
      <c r="FZF1" s="536"/>
      <c r="FZG1" s="536"/>
      <c r="FZH1" s="536"/>
      <c r="FZI1" s="536"/>
      <c r="FZJ1" s="536"/>
      <c r="FZK1" s="536"/>
      <c r="FZL1" s="536"/>
      <c r="FZM1" s="536"/>
      <c r="FZN1" s="536"/>
      <c r="FZO1" s="536"/>
      <c r="FZP1" s="536"/>
      <c r="FZQ1" s="536"/>
      <c r="FZR1" s="536"/>
      <c r="FZS1" s="536"/>
      <c r="FZT1" s="536"/>
      <c r="FZU1" s="536"/>
      <c r="FZV1" s="536"/>
      <c r="FZW1" s="536"/>
      <c r="FZX1" s="536"/>
      <c r="FZY1" s="536"/>
      <c r="FZZ1" s="536"/>
      <c r="GAA1" s="536"/>
      <c r="GAB1" s="536"/>
      <c r="GAC1" s="536"/>
      <c r="GAD1" s="536"/>
      <c r="GAE1" s="536"/>
      <c r="GAF1" s="536"/>
      <c r="GAG1" s="536"/>
      <c r="GAH1" s="536"/>
      <c r="GAI1" s="536"/>
      <c r="GAJ1" s="536"/>
      <c r="GAK1" s="536"/>
      <c r="GAL1" s="536"/>
      <c r="GAM1" s="536"/>
      <c r="GAN1" s="536"/>
      <c r="GAO1" s="536"/>
      <c r="GAP1" s="536"/>
      <c r="GAQ1" s="536"/>
      <c r="GAR1" s="536"/>
      <c r="GAS1" s="536"/>
      <c r="GAT1" s="536"/>
      <c r="GAU1" s="536"/>
      <c r="GAV1" s="536"/>
      <c r="GAW1" s="536"/>
      <c r="GAX1" s="536"/>
      <c r="GAY1" s="536"/>
      <c r="GAZ1" s="536"/>
      <c r="GBA1" s="536"/>
      <c r="GBB1" s="536"/>
      <c r="GBC1" s="536"/>
      <c r="GBD1" s="536"/>
      <c r="GBE1" s="536"/>
      <c r="GBF1" s="536"/>
      <c r="GBG1" s="536"/>
      <c r="GBH1" s="536"/>
      <c r="GBI1" s="536"/>
      <c r="GBJ1" s="536"/>
      <c r="GBK1" s="536"/>
      <c r="GBL1" s="536"/>
      <c r="GBM1" s="536"/>
      <c r="GBN1" s="536"/>
      <c r="GBO1" s="536"/>
      <c r="GBP1" s="536"/>
      <c r="GBQ1" s="536"/>
      <c r="GBR1" s="536"/>
      <c r="GBS1" s="536"/>
      <c r="GBT1" s="536"/>
      <c r="GBU1" s="536"/>
      <c r="GBV1" s="536"/>
      <c r="GBW1" s="536"/>
      <c r="GBX1" s="536"/>
      <c r="GBY1" s="536"/>
      <c r="GBZ1" s="536"/>
      <c r="GCA1" s="536"/>
      <c r="GCB1" s="536"/>
      <c r="GCC1" s="536"/>
      <c r="GCD1" s="536"/>
      <c r="GCE1" s="536"/>
      <c r="GCF1" s="536"/>
      <c r="GCG1" s="536"/>
      <c r="GCH1" s="536"/>
      <c r="GCI1" s="536"/>
      <c r="GCJ1" s="536"/>
      <c r="GCK1" s="536"/>
      <c r="GCL1" s="536"/>
      <c r="GCM1" s="536"/>
      <c r="GCN1" s="536"/>
      <c r="GCO1" s="536"/>
      <c r="GCP1" s="536"/>
      <c r="GCQ1" s="536"/>
      <c r="GCR1" s="536"/>
      <c r="GCS1" s="536"/>
      <c r="GCT1" s="536"/>
      <c r="GCU1" s="536"/>
      <c r="GCV1" s="536"/>
      <c r="GCW1" s="536"/>
      <c r="GCX1" s="536"/>
      <c r="GCY1" s="536"/>
      <c r="GCZ1" s="536"/>
      <c r="GDA1" s="536"/>
      <c r="GDB1" s="536"/>
      <c r="GDC1" s="536"/>
      <c r="GDD1" s="536"/>
      <c r="GDE1" s="536"/>
      <c r="GDF1" s="536"/>
      <c r="GDG1" s="536"/>
      <c r="GDH1" s="536"/>
      <c r="GDI1" s="536"/>
      <c r="GDJ1" s="536"/>
      <c r="GDK1" s="536"/>
      <c r="GDL1" s="536"/>
      <c r="GDM1" s="536"/>
      <c r="GDN1" s="536"/>
      <c r="GDO1" s="536"/>
      <c r="GDP1" s="536"/>
      <c r="GDQ1" s="536"/>
      <c r="GDR1" s="536"/>
      <c r="GDS1" s="536"/>
      <c r="GDT1" s="536"/>
      <c r="GDU1" s="536"/>
      <c r="GDV1" s="536"/>
      <c r="GDW1" s="536"/>
      <c r="GDX1" s="536"/>
      <c r="GDY1" s="536"/>
      <c r="GDZ1" s="536"/>
      <c r="GEA1" s="536"/>
      <c r="GEB1" s="536"/>
      <c r="GEC1" s="536"/>
      <c r="GED1" s="536"/>
      <c r="GEE1" s="536"/>
      <c r="GEF1" s="536"/>
      <c r="GEG1" s="536"/>
      <c r="GEH1" s="536"/>
      <c r="GEI1" s="536"/>
      <c r="GEJ1" s="536"/>
      <c r="GEK1" s="536"/>
      <c r="GEL1" s="536"/>
      <c r="GEM1" s="536"/>
      <c r="GEN1" s="536"/>
      <c r="GEO1" s="536"/>
      <c r="GEP1" s="536"/>
      <c r="GEQ1" s="536"/>
      <c r="GER1" s="536"/>
      <c r="GES1" s="536"/>
      <c r="GET1" s="536"/>
      <c r="GEU1" s="536"/>
      <c r="GEV1" s="536"/>
      <c r="GEW1" s="536"/>
      <c r="GEX1" s="536"/>
      <c r="GEY1" s="536"/>
      <c r="GEZ1" s="536"/>
      <c r="GFA1" s="536"/>
      <c r="GFB1" s="536"/>
      <c r="GFC1" s="536"/>
      <c r="GFD1" s="536"/>
      <c r="GFE1" s="536"/>
      <c r="GFF1" s="536"/>
      <c r="GFG1" s="536"/>
      <c r="GFH1" s="536"/>
      <c r="GFI1" s="536"/>
      <c r="GFJ1" s="536"/>
      <c r="GFK1" s="536"/>
      <c r="GFL1" s="536"/>
      <c r="GFM1" s="536"/>
      <c r="GFN1" s="536"/>
      <c r="GFO1" s="536"/>
      <c r="GFP1" s="536"/>
      <c r="GFQ1" s="536"/>
      <c r="GFR1" s="536"/>
      <c r="GFS1" s="536"/>
      <c r="GFT1" s="536"/>
      <c r="GFU1" s="536"/>
      <c r="GFV1" s="536"/>
      <c r="GFW1" s="536"/>
      <c r="GFX1" s="536"/>
      <c r="GFY1" s="536"/>
      <c r="GFZ1" s="536"/>
      <c r="GGA1" s="536"/>
      <c r="GGB1" s="536"/>
      <c r="GGC1" s="536"/>
      <c r="GGD1" s="536"/>
      <c r="GGE1" s="536"/>
      <c r="GGF1" s="536"/>
      <c r="GGG1" s="536"/>
      <c r="GGH1" s="536"/>
      <c r="GGI1" s="536"/>
      <c r="GGJ1" s="536"/>
      <c r="GGK1" s="536"/>
      <c r="GGL1" s="536"/>
      <c r="GGM1" s="536"/>
      <c r="GGN1" s="536"/>
      <c r="GGO1" s="536"/>
      <c r="GGP1" s="536"/>
      <c r="GGQ1" s="536"/>
      <c r="GGR1" s="536"/>
      <c r="GGS1" s="536"/>
      <c r="GGT1" s="536"/>
      <c r="GGU1" s="536"/>
      <c r="GGV1" s="536"/>
      <c r="GGW1" s="536"/>
      <c r="GGX1" s="536"/>
      <c r="GGY1" s="536"/>
      <c r="GGZ1" s="536"/>
      <c r="GHA1" s="536"/>
      <c r="GHB1" s="536"/>
      <c r="GHC1" s="536"/>
      <c r="GHD1" s="536"/>
      <c r="GHE1" s="536"/>
      <c r="GHF1" s="536"/>
      <c r="GHG1" s="536"/>
      <c r="GHH1" s="536"/>
      <c r="GHI1" s="536"/>
      <c r="GHJ1" s="536"/>
      <c r="GHK1" s="536"/>
      <c r="GHL1" s="536"/>
      <c r="GHM1" s="536"/>
      <c r="GHN1" s="536"/>
      <c r="GHO1" s="536"/>
      <c r="GHP1" s="536"/>
      <c r="GHQ1" s="536"/>
      <c r="GHR1" s="536"/>
      <c r="GHS1" s="536"/>
      <c r="GHT1" s="536"/>
      <c r="GHU1" s="536"/>
      <c r="GHV1" s="536"/>
      <c r="GHW1" s="536"/>
      <c r="GHX1" s="536"/>
      <c r="GHY1" s="536"/>
      <c r="GHZ1" s="536"/>
      <c r="GIA1" s="536"/>
      <c r="GIB1" s="536"/>
      <c r="GIC1" s="536"/>
      <c r="GID1" s="536"/>
      <c r="GIE1" s="536"/>
      <c r="GIF1" s="536"/>
      <c r="GIG1" s="536"/>
      <c r="GIH1" s="536"/>
      <c r="GII1" s="536"/>
      <c r="GIJ1" s="536"/>
      <c r="GIK1" s="536"/>
      <c r="GIL1" s="536"/>
      <c r="GIM1" s="536"/>
      <c r="GIN1" s="536"/>
      <c r="GIO1" s="536"/>
      <c r="GIP1" s="536"/>
      <c r="GIQ1" s="536"/>
      <c r="GIR1" s="536"/>
      <c r="GIS1" s="536"/>
      <c r="GIT1" s="536"/>
      <c r="GIU1" s="536"/>
      <c r="GIV1" s="536"/>
      <c r="GIW1" s="536"/>
      <c r="GIX1" s="536"/>
      <c r="GIY1" s="536"/>
      <c r="GIZ1" s="536"/>
      <c r="GJA1" s="536"/>
      <c r="GJB1" s="536"/>
      <c r="GJC1" s="536"/>
      <c r="GJD1" s="536"/>
      <c r="GJE1" s="536"/>
      <c r="GJF1" s="536"/>
      <c r="GJG1" s="536"/>
      <c r="GJH1" s="536"/>
      <c r="GJI1" s="536"/>
      <c r="GJJ1" s="536"/>
      <c r="GJK1" s="536"/>
      <c r="GJL1" s="536"/>
      <c r="GJM1" s="536"/>
      <c r="GJN1" s="536"/>
      <c r="GJO1" s="536"/>
      <c r="GJP1" s="536"/>
      <c r="GJQ1" s="536"/>
      <c r="GJR1" s="536"/>
      <c r="GJS1" s="536"/>
      <c r="GJT1" s="536"/>
      <c r="GJU1" s="536"/>
      <c r="GJV1" s="536"/>
      <c r="GJW1" s="536"/>
      <c r="GJX1" s="536"/>
      <c r="GJY1" s="536"/>
      <c r="GJZ1" s="536"/>
      <c r="GKA1" s="536"/>
      <c r="GKB1" s="536"/>
      <c r="GKC1" s="536"/>
      <c r="GKD1" s="536"/>
      <c r="GKE1" s="536"/>
      <c r="GKF1" s="536"/>
      <c r="GKG1" s="536"/>
      <c r="GKH1" s="536"/>
      <c r="GKI1" s="536"/>
      <c r="GKJ1" s="536"/>
      <c r="GKK1" s="536"/>
      <c r="GKL1" s="536"/>
      <c r="GKM1" s="536"/>
      <c r="GKN1" s="536"/>
      <c r="GKO1" s="536"/>
      <c r="GKP1" s="536"/>
      <c r="GKQ1" s="536"/>
      <c r="GKR1" s="536"/>
      <c r="GKS1" s="536"/>
      <c r="GKT1" s="536"/>
      <c r="GKU1" s="536"/>
      <c r="GKV1" s="536"/>
      <c r="GKW1" s="536"/>
      <c r="GKX1" s="536"/>
      <c r="GKY1" s="536"/>
      <c r="GKZ1" s="536"/>
      <c r="GLA1" s="536"/>
      <c r="GLB1" s="536"/>
      <c r="GLC1" s="536"/>
      <c r="GLD1" s="536"/>
      <c r="GLE1" s="536"/>
      <c r="GLF1" s="536"/>
      <c r="GLG1" s="536"/>
      <c r="GLH1" s="536"/>
      <c r="GLI1" s="536"/>
      <c r="GLJ1" s="536"/>
      <c r="GLK1" s="536"/>
      <c r="GLL1" s="536"/>
      <c r="GLM1" s="536"/>
      <c r="GLN1" s="536"/>
      <c r="GLO1" s="536"/>
      <c r="GLP1" s="536"/>
      <c r="GLQ1" s="536"/>
      <c r="GLR1" s="536"/>
      <c r="GLS1" s="536"/>
      <c r="GLT1" s="536"/>
      <c r="GLU1" s="536"/>
      <c r="GLV1" s="536"/>
      <c r="GLW1" s="536"/>
      <c r="GLX1" s="536"/>
      <c r="GLY1" s="536"/>
      <c r="GLZ1" s="536"/>
      <c r="GMA1" s="536"/>
      <c r="GMB1" s="536"/>
      <c r="GMC1" s="536"/>
      <c r="GMD1" s="536"/>
      <c r="GME1" s="536"/>
      <c r="GMF1" s="536"/>
      <c r="GMG1" s="536"/>
      <c r="GMH1" s="536"/>
      <c r="GMI1" s="536"/>
      <c r="GMJ1" s="536"/>
      <c r="GMK1" s="536"/>
      <c r="GML1" s="536"/>
      <c r="GMM1" s="536"/>
      <c r="GMN1" s="536"/>
      <c r="GMO1" s="536"/>
      <c r="GMP1" s="536"/>
      <c r="GMQ1" s="536"/>
      <c r="GMR1" s="536"/>
      <c r="GMS1" s="536"/>
      <c r="GMT1" s="536"/>
      <c r="GMU1" s="536"/>
      <c r="GMV1" s="536"/>
      <c r="GMW1" s="536"/>
      <c r="GMX1" s="536"/>
      <c r="GMY1" s="536"/>
      <c r="GMZ1" s="536"/>
      <c r="GNA1" s="536"/>
      <c r="GNB1" s="536"/>
      <c r="GNC1" s="536"/>
      <c r="GND1" s="536"/>
      <c r="GNE1" s="536"/>
      <c r="GNF1" s="536"/>
      <c r="GNG1" s="536"/>
      <c r="GNH1" s="536"/>
      <c r="GNI1" s="536"/>
      <c r="GNJ1" s="536"/>
      <c r="GNK1" s="536"/>
      <c r="GNL1" s="536"/>
      <c r="GNM1" s="536"/>
      <c r="GNN1" s="536"/>
      <c r="GNO1" s="536"/>
      <c r="GNP1" s="536"/>
      <c r="GNQ1" s="536"/>
      <c r="GNR1" s="536"/>
      <c r="GNS1" s="536"/>
      <c r="GNT1" s="536"/>
      <c r="GNU1" s="536"/>
      <c r="GNV1" s="536"/>
      <c r="GNW1" s="536"/>
      <c r="GNX1" s="536"/>
      <c r="GNY1" s="536"/>
      <c r="GNZ1" s="536"/>
      <c r="GOA1" s="536"/>
      <c r="GOB1" s="536"/>
      <c r="GOC1" s="536"/>
      <c r="GOD1" s="536"/>
      <c r="GOE1" s="536"/>
      <c r="GOF1" s="536"/>
      <c r="GOG1" s="536"/>
      <c r="GOH1" s="536"/>
      <c r="GOI1" s="536"/>
      <c r="GOJ1" s="536"/>
      <c r="GOK1" s="536"/>
      <c r="GOL1" s="536"/>
      <c r="GOM1" s="536"/>
      <c r="GON1" s="536"/>
      <c r="GOO1" s="536"/>
      <c r="GOP1" s="536"/>
      <c r="GOQ1" s="536"/>
      <c r="GOR1" s="536"/>
      <c r="GOS1" s="536"/>
      <c r="GOT1" s="536"/>
      <c r="GOU1" s="536"/>
      <c r="GOV1" s="536"/>
      <c r="GOW1" s="536"/>
      <c r="GOX1" s="536"/>
      <c r="GOY1" s="536"/>
      <c r="GOZ1" s="536"/>
      <c r="GPA1" s="536"/>
      <c r="GPB1" s="536"/>
      <c r="GPC1" s="536"/>
      <c r="GPD1" s="536"/>
      <c r="GPE1" s="536"/>
      <c r="GPF1" s="536"/>
      <c r="GPG1" s="536"/>
      <c r="GPH1" s="536"/>
      <c r="GPI1" s="536"/>
      <c r="GPJ1" s="536"/>
      <c r="GPK1" s="536"/>
      <c r="GPL1" s="536"/>
      <c r="GPM1" s="536"/>
      <c r="GPN1" s="536"/>
      <c r="GPO1" s="536"/>
      <c r="GPP1" s="536"/>
      <c r="GPQ1" s="536"/>
      <c r="GPR1" s="536"/>
      <c r="GPS1" s="536"/>
      <c r="GPT1" s="536"/>
      <c r="GPU1" s="536"/>
      <c r="GPV1" s="536"/>
      <c r="GPW1" s="536"/>
      <c r="GPX1" s="536"/>
      <c r="GPY1" s="536"/>
      <c r="GPZ1" s="536"/>
      <c r="GQA1" s="536"/>
      <c r="GQB1" s="536"/>
      <c r="GQC1" s="536"/>
      <c r="GQD1" s="536"/>
      <c r="GQE1" s="536"/>
      <c r="GQF1" s="536"/>
      <c r="GQG1" s="536"/>
      <c r="GQH1" s="536"/>
      <c r="GQI1" s="536"/>
      <c r="GQJ1" s="536"/>
      <c r="GQK1" s="536"/>
      <c r="GQL1" s="536"/>
      <c r="GQM1" s="536"/>
      <c r="GQN1" s="536"/>
      <c r="GQO1" s="536"/>
      <c r="GQP1" s="536"/>
      <c r="GQQ1" s="536"/>
      <c r="GQR1" s="536"/>
      <c r="GQS1" s="536"/>
      <c r="GQT1" s="536"/>
      <c r="GQU1" s="536"/>
      <c r="GQV1" s="536"/>
      <c r="GQW1" s="536"/>
      <c r="GQX1" s="536"/>
      <c r="GQY1" s="536"/>
      <c r="GQZ1" s="536"/>
      <c r="GRA1" s="536"/>
      <c r="GRB1" s="536"/>
      <c r="GRC1" s="536"/>
      <c r="GRD1" s="536"/>
      <c r="GRE1" s="536"/>
      <c r="GRF1" s="536"/>
      <c r="GRG1" s="536"/>
      <c r="GRH1" s="536"/>
      <c r="GRI1" s="536"/>
      <c r="GRJ1" s="536"/>
      <c r="GRK1" s="536"/>
      <c r="GRL1" s="536"/>
      <c r="GRM1" s="536"/>
      <c r="GRN1" s="536"/>
      <c r="GRO1" s="536"/>
      <c r="GRP1" s="536"/>
      <c r="GRQ1" s="536"/>
      <c r="GRR1" s="536"/>
      <c r="GRS1" s="536"/>
      <c r="GRT1" s="536"/>
      <c r="GRU1" s="536"/>
      <c r="GRV1" s="536"/>
      <c r="GRW1" s="536"/>
      <c r="GRX1" s="536"/>
      <c r="GRY1" s="536"/>
      <c r="GRZ1" s="536"/>
      <c r="GSA1" s="536"/>
      <c r="GSB1" s="536"/>
      <c r="GSC1" s="536"/>
      <c r="GSD1" s="536"/>
      <c r="GSE1" s="536"/>
      <c r="GSF1" s="536"/>
      <c r="GSG1" s="536"/>
      <c r="GSH1" s="536"/>
      <c r="GSI1" s="536"/>
      <c r="GSJ1" s="536"/>
      <c r="GSK1" s="536"/>
      <c r="GSL1" s="536"/>
      <c r="GSM1" s="536"/>
      <c r="GSN1" s="536"/>
      <c r="GSO1" s="536"/>
      <c r="GSP1" s="536"/>
      <c r="GSQ1" s="536"/>
      <c r="GSR1" s="536"/>
      <c r="GSS1" s="536"/>
      <c r="GST1" s="536"/>
      <c r="GSU1" s="536"/>
      <c r="GSV1" s="536"/>
      <c r="GSW1" s="536"/>
      <c r="GSX1" s="536"/>
      <c r="GSY1" s="536"/>
      <c r="GSZ1" s="536"/>
      <c r="GTA1" s="536"/>
      <c r="GTB1" s="536"/>
      <c r="GTC1" s="536"/>
      <c r="GTD1" s="536"/>
      <c r="GTE1" s="536"/>
      <c r="GTF1" s="536"/>
      <c r="GTG1" s="536"/>
      <c r="GTH1" s="536"/>
      <c r="GTI1" s="536"/>
      <c r="GTJ1" s="536"/>
      <c r="GTK1" s="536"/>
      <c r="GTL1" s="536"/>
      <c r="GTM1" s="536"/>
      <c r="GTN1" s="536"/>
      <c r="GTO1" s="536"/>
      <c r="GTP1" s="536"/>
      <c r="GTQ1" s="536"/>
      <c r="GTR1" s="536"/>
      <c r="GTS1" s="536"/>
      <c r="GTT1" s="536"/>
      <c r="GTU1" s="536"/>
      <c r="GTV1" s="536"/>
      <c r="GTW1" s="536"/>
      <c r="GTX1" s="536"/>
      <c r="GTY1" s="536"/>
      <c r="GTZ1" s="536"/>
      <c r="GUA1" s="536"/>
      <c r="GUB1" s="536"/>
      <c r="GUC1" s="536"/>
      <c r="GUD1" s="536"/>
      <c r="GUE1" s="536"/>
      <c r="GUF1" s="536"/>
      <c r="GUG1" s="536"/>
      <c r="GUH1" s="536"/>
      <c r="GUI1" s="536"/>
      <c r="GUJ1" s="536"/>
      <c r="GUK1" s="536"/>
      <c r="GUL1" s="536"/>
      <c r="GUM1" s="536"/>
      <c r="GUN1" s="536"/>
      <c r="GUO1" s="536"/>
      <c r="GUP1" s="536"/>
      <c r="GUQ1" s="536"/>
      <c r="GUR1" s="536"/>
      <c r="GUS1" s="536"/>
      <c r="GUT1" s="536"/>
      <c r="GUU1" s="536"/>
      <c r="GUV1" s="536"/>
      <c r="GUW1" s="536"/>
      <c r="GUX1" s="536"/>
      <c r="GUY1" s="536"/>
      <c r="GUZ1" s="536"/>
      <c r="GVA1" s="536"/>
      <c r="GVB1" s="536"/>
      <c r="GVC1" s="536"/>
      <c r="GVD1" s="536"/>
      <c r="GVE1" s="536"/>
      <c r="GVF1" s="536"/>
      <c r="GVG1" s="536"/>
      <c r="GVH1" s="536"/>
      <c r="GVI1" s="536"/>
      <c r="GVJ1" s="536"/>
      <c r="GVK1" s="536"/>
      <c r="GVL1" s="536"/>
      <c r="GVM1" s="536"/>
      <c r="GVN1" s="536"/>
      <c r="GVO1" s="536"/>
      <c r="GVP1" s="536"/>
      <c r="GVQ1" s="536"/>
      <c r="GVR1" s="536"/>
      <c r="GVS1" s="536"/>
      <c r="GVT1" s="536"/>
      <c r="GVU1" s="536"/>
      <c r="GVV1" s="536"/>
      <c r="GVW1" s="536"/>
      <c r="GVX1" s="536"/>
      <c r="GVY1" s="536"/>
      <c r="GVZ1" s="536"/>
      <c r="GWA1" s="536"/>
      <c r="GWB1" s="536"/>
      <c r="GWC1" s="536"/>
      <c r="GWD1" s="536"/>
      <c r="GWE1" s="536"/>
      <c r="GWF1" s="536"/>
      <c r="GWG1" s="536"/>
      <c r="GWH1" s="536"/>
      <c r="GWI1" s="536"/>
      <c r="GWJ1" s="536"/>
      <c r="GWK1" s="536"/>
      <c r="GWL1" s="536"/>
      <c r="GWM1" s="536"/>
      <c r="GWN1" s="536"/>
      <c r="GWO1" s="536"/>
      <c r="GWP1" s="536"/>
      <c r="GWQ1" s="536"/>
      <c r="GWR1" s="536"/>
      <c r="GWS1" s="536"/>
      <c r="GWT1" s="536"/>
      <c r="GWU1" s="536"/>
      <c r="GWV1" s="536"/>
      <c r="GWW1" s="536"/>
      <c r="GWX1" s="536"/>
      <c r="GWY1" s="536"/>
      <c r="GWZ1" s="536"/>
      <c r="GXA1" s="536"/>
      <c r="GXB1" s="536"/>
      <c r="GXC1" s="536"/>
      <c r="GXD1" s="536"/>
      <c r="GXE1" s="536"/>
      <c r="GXF1" s="536"/>
      <c r="GXG1" s="536"/>
      <c r="GXH1" s="536"/>
      <c r="GXI1" s="536"/>
      <c r="GXJ1" s="536"/>
      <c r="GXK1" s="536"/>
      <c r="GXL1" s="536"/>
      <c r="GXM1" s="536"/>
      <c r="GXN1" s="536"/>
      <c r="GXO1" s="536"/>
      <c r="GXP1" s="536"/>
      <c r="GXQ1" s="536"/>
      <c r="GXR1" s="536"/>
      <c r="GXS1" s="536"/>
      <c r="GXT1" s="536"/>
      <c r="GXU1" s="536"/>
      <c r="GXV1" s="536"/>
      <c r="GXW1" s="536"/>
      <c r="GXX1" s="536"/>
      <c r="GXY1" s="536"/>
      <c r="GXZ1" s="536"/>
      <c r="GYA1" s="536"/>
      <c r="GYB1" s="536"/>
      <c r="GYC1" s="536"/>
      <c r="GYD1" s="536"/>
      <c r="GYE1" s="536"/>
      <c r="GYF1" s="536"/>
      <c r="GYG1" s="536"/>
      <c r="GYH1" s="536"/>
      <c r="GYI1" s="536"/>
      <c r="GYJ1" s="536"/>
      <c r="GYK1" s="536"/>
      <c r="GYL1" s="536"/>
      <c r="GYM1" s="536"/>
      <c r="GYN1" s="536"/>
      <c r="GYO1" s="536"/>
      <c r="GYP1" s="536"/>
      <c r="GYQ1" s="536"/>
      <c r="GYR1" s="536"/>
      <c r="GYS1" s="536"/>
      <c r="GYT1" s="536"/>
      <c r="GYU1" s="536"/>
      <c r="GYV1" s="536"/>
      <c r="GYW1" s="536"/>
      <c r="GYX1" s="536"/>
      <c r="GYY1" s="536"/>
      <c r="GYZ1" s="536"/>
      <c r="GZA1" s="536"/>
      <c r="GZB1" s="536"/>
      <c r="GZC1" s="536"/>
      <c r="GZD1" s="536"/>
      <c r="GZE1" s="536"/>
      <c r="GZF1" s="536"/>
      <c r="GZG1" s="536"/>
      <c r="GZH1" s="536"/>
      <c r="GZI1" s="536"/>
      <c r="GZJ1" s="536"/>
      <c r="GZK1" s="536"/>
      <c r="GZL1" s="536"/>
      <c r="GZM1" s="536"/>
      <c r="GZN1" s="536"/>
      <c r="GZO1" s="536"/>
      <c r="GZP1" s="536"/>
      <c r="GZQ1" s="536"/>
      <c r="GZR1" s="536"/>
      <c r="GZS1" s="536"/>
      <c r="GZT1" s="536"/>
      <c r="GZU1" s="536"/>
      <c r="GZV1" s="536"/>
      <c r="GZW1" s="536"/>
      <c r="GZX1" s="536"/>
      <c r="GZY1" s="536"/>
      <c r="GZZ1" s="536"/>
      <c r="HAA1" s="536"/>
      <c r="HAB1" s="536"/>
      <c r="HAC1" s="536"/>
      <c r="HAD1" s="536"/>
      <c r="HAE1" s="536"/>
      <c r="HAF1" s="536"/>
      <c r="HAG1" s="536"/>
      <c r="HAH1" s="536"/>
      <c r="HAI1" s="536"/>
      <c r="HAJ1" s="536"/>
      <c r="HAK1" s="536"/>
      <c r="HAL1" s="536"/>
      <c r="HAM1" s="536"/>
      <c r="HAN1" s="536"/>
      <c r="HAO1" s="536"/>
      <c r="HAP1" s="536"/>
      <c r="HAQ1" s="536"/>
      <c r="HAR1" s="536"/>
      <c r="HAS1" s="536"/>
      <c r="HAT1" s="536"/>
      <c r="HAU1" s="536"/>
      <c r="HAV1" s="536"/>
      <c r="HAW1" s="536"/>
      <c r="HAX1" s="536"/>
      <c r="HAY1" s="536"/>
      <c r="HAZ1" s="536"/>
      <c r="HBA1" s="536"/>
      <c r="HBB1" s="536"/>
      <c r="HBC1" s="536"/>
      <c r="HBD1" s="536"/>
      <c r="HBE1" s="536"/>
      <c r="HBF1" s="536"/>
      <c r="HBG1" s="536"/>
      <c r="HBH1" s="536"/>
      <c r="HBI1" s="536"/>
      <c r="HBJ1" s="536"/>
      <c r="HBK1" s="536"/>
      <c r="HBL1" s="536"/>
      <c r="HBM1" s="536"/>
      <c r="HBN1" s="536"/>
      <c r="HBO1" s="536"/>
      <c r="HBP1" s="536"/>
      <c r="HBQ1" s="536"/>
      <c r="HBR1" s="536"/>
      <c r="HBS1" s="536"/>
      <c r="HBT1" s="536"/>
      <c r="HBU1" s="536"/>
      <c r="HBV1" s="536"/>
      <c r="HBW1" s="536"/>
      <c r="HBX1" s="536"/>
      <c r="HBY1" s="536"/>
      <c r="HBZ1" s="536"/>
      <c r="HCA1" s="536"/>
      <c r="HCB1" s="536"/>
      <c r="HCC1" s="536"/>
      <c r="HCD1" s="536"/>
      <c r="HCE1" s="536"/>
      <c r="HCF1" s="536"/>
      <c r="HCG1" s="536"/>
      <c r="HCH1" s="536"/>
      <c r="HCI1" s="536"/>
      <c r="HCJ1" s="536"/>
      <c r="HCK1" s="536"/>
      <c r="HCL1" s="536"/>
      <c r="HCM1" s="536"/>
      <c r="HCN1" s="536"/>
      <c r="HCO1" s="536"/>
      <c r="HCP1" s="536"/>
      <c r="HCQ1" s="536"/>
      <c r="HCR1" s="536"/>
      <c r="HCS1" s="536"/>
      <c r="HCT1" s="536"/>
      <c r="HCU1" s="536"/>
      <c r="HCV1" s="536"/>
      <c r="HCW1" s="536"/>
      <c r="HCX1" s="536"/>
      <c r="HCY1" s="536"/>
      <c r="HCZ1" s="536"/>
      <c r="HDA1" s="536"/>
      <c r="HDB1" s="536"/>
      <c r="HDC1" s="536"/>
      <c r="HDD1" s="536"/>
      <c r="HDE1" s="536"/>
      <c r="HDF1" s="536"/>
      <c r="HDG1" s="536"/>
      <c r="HDH1" s="536"/>
      <c r="HDI1" s="536"/>
      <c r="HDJ1" s="536"/>
      <c r="HDK1" s="536"/>
      <c r="HDL1" s="536"/>
      <c r="HDM1" s="536"/>
      <c r="HDN1" s="536"/>
      <c r="HDO1" s="536"/>
      <c r="HDP1" s="536"/>
      <c r="HDQ1" s="536"/>
      <c r="HDR1" s="536"/>
      <c r="HDS1" s="536"/>
      <c r="HDT1" s="536"/>
      <c r="HDU1" s="536"/>
      <c r="HDV1" s="536"/>
      <c r="HDW1" s="536"/>
      <c r="HDX1" s="536"/>
      <c r="HDY1" s="536"/>
      <c r="HDZ1" s="536"/>
      <c r="HEA1" s="536"/>
      <c r="HEB1" s="536"/>
      <c r="HEC1" s="536"/>
      <c r="HED1" s="536"/>
      <c r="HEE1" s="536"/>
      <c r="HEF1" s="536"/>
      <c r="HEG1" s="536"/>
      <c r="HEH1" s="536"/>
      <c r="HEI1" s="536"/>
      <c r="HEJ1" s="536"/>
      <c r="HEK1" s="536"/>
      <c r="HEL1" s="536"/>
      <c r="HEM1" s="536"/>
      <c r="HEN1" s="536"/>
      <c r="HEO1" s="536"/>
      <c r="HEP1" s="536"/>
      <c r="HEQ1" s="536"/>
      <c r="HER1" s="536"/>
      <c r="HES1" s="536"/>
      <c r="HET1" s="536"/>
      <c r="HEU1" s="536"/>
      <c r="HEV1" s="536"/>
      <c r="HEW1" s="536"/>
      <c r="HEX1" s="536"/>
      <c r="HEY1" s="536"/>
      <c r="HEZ1" s="536"/>
      <c r="HFA1" s="536"/>
      <c r="HFB1" s="536"/>
      <c r="HFC1" s="536"/>
      <c r="HFD1" s="536"/>
      <c r="HFE1" s="536"/>
      <c r="HFF1" s="536"/>
      <c r="HFG1" s="536"/>
      <c r="HFH1" s="536"/>
      <c r="HFI1" s="536"/>
      <c r="HFJ1" s="536"/>
      <c r="HFK1" s="536"/>
      <c r="HFL1" s="536"/>
      <c r="HFM1" s="536"/>
      <c r="HFN1" s="536"/>
      <c r="HFO1" s="536"/>
      <c r="HFP1" s="536"/>
      <c r="HFQ1" s="536"/>
      <c r="HFR1" s="536"/>
      <c r="HFS1" s="536"/>
      <c r="HFT1" s="536"/>
      <c r="HFU1" s="536"/>
      <c r="HFV1" s="536"/>
      <c r="HFW1" s="536"/>
      <c r="HFX1" s="536"/>
      <c r="HFY1" s="536"/>
      <c r="HFZ1" s="536"/>
      <c r="HGA1" s="536"/>
      <c r="HGB1" s="536"/>
      <c r="HGC1" s="536"/>
      <c r="HGD1" s="536"/>
      <c r="HGE1" s="536"/>
      <c r="HGF1" s="536"/>
      <c r="HGG1" s="536"/>
      <c r="HGH1" s="536"/>
      <c r="HGI1" s="536"/>
      <c r="HGJ1" s="536"/>
      <c r="HGK1" s="536"/>
      <c r="HGL1" s="536"/>
      <c r="HGM1" s="536"/>
      <c r="HGN1" s="536"/>
      <c r="HGO1" s="536"/>
      <c r="HGP1" s="536"/>
      <c r="HGQ1" s="536"/>
      <c r="HGR1" s="536"/>
      <c r="HGS1" s="536"/>
      <c r="HGT1" s="536"/>
      <c r="HGU1" s="536"/>
      <c r="HGV1" s="536"/>
      <c r="HGW1" s="536"/>
      <c r="HGX1" s="536"/>
      <c r="HGY1" s="536"/>
      <c r="HGZ1" s="536"/>
      <c r="HHA1" s="536"/>
      <c r="HHB1" s="536"/>
      <c r="HHC1" s="536"/>
      <c r="HHD1" s="536"/>
      <c r="HHE1" s="536"/>
      <c r="HHF1" s="536"/>
      <c r="HHG1" s="536"/>
      <c r="HHH1" s="536"/>
      <c r="HHI1" s="536"/>
      <c r="HHJ1" s="536"/>
      <c r="HHK1" s="536"/>
      <c r="HHL1" s="536"/>
      <c r="HHM1" s="536"/>
      <c r="HHN1" s="536"/>
      <c r="HHO1" s="536"/>
      <c r="HHP1" s="536"/>
      <c r="HHQ1" s="536"/>
      <c r="HHR1" s="536"/>
      <c r="HHS1" s="536"/>
      <c r="HHT1" s="536"/>
      <c r="HHU1" s="536"/>
      <c r="HHV1" s="536"/>
      <c r="HHW1" s="536"/>
      <c r="HHX1" s="536"/>
      <c r="HHY1" s="536"/>
      <c r="HHZ1" s="536"/>
      <c r="HIA1" s="536"/>
      <c r="HIB1" s="536"/>
      <c r="HIC1" s="536"/>
      <c r="HID1" s="536"/>
      <c r="HIE1" s="536"/>
      <c r="HIF1" s="536"/>
      <c r="HIG1" s="536"/>
      <c r="HIH1" s="536"/>
      <c r="HII1" s="536"/>
      <c r="HIJ1" s="536"/>
      <c r="HIK1" s="536"/>
      <c r="HIL1" s="536"/>
      <c r="HIM1" s="536"/>
      <c r="HIN1" s="536"/>
      <c r="HIO1" s="536"/>
      <c r="HIP1" s="536"/>
      <c r="HIQ1" s="536"/>
      <c r="HIR1" s="536"/>
      <c r="HIS1" s="536"/>
      <c r="HIT1" s="536"/>
      <c r="HIU1" s="536"/>
      <c r="HIV1" s="536"/>
      <c r="HIW1" s="536"/>
      <c r="HIX1" s="536"/>
      <c r="HIY1" s="536"/>
      <c r="HIZ1" s="536"/>
      <c r="HJA1" s="536"/>
      <c r="HJB1" s="536"/>
      <c r="HJC1" s="536"/>
      <c r="HJD1" s="536"/>
      <c r="HJE1" s="536"/>
      <c r="HJF1" s="536"/>
      <c r="HJG1" s="536"/>
      <c r="HJH1" s="536"/>
      <c r="HJI1" s="536"/>
      <c r="HJJ1" s="536"/>
      <c r="HJK1" s="536"/>
      <c r="HJL1" s="536"/>
      <c r="HJM1" s="536"/>
      <c r="HJN1" s="536"/>
      <c r="HJO1" s="536"/>
      <c r="HJP1" s="536"/>
      <c r="HJQ1" s="536"/>
      <c r="HJR1" s="536"/>
      <c r="HJS1" s="536"/>
      <c r="HJT1" s="536"/>
      <c r="HJU1" s="536"/>
      <c r="HJV1" s="536"/>
      <c r="HJW1" s="536"/>
      <c r="HJX1" s="536"/>
      <c r="HJY1" s="536"/>
      <c r="HJZ1" s="536"/>
      <c r="HKA1" s="536"/>
      <c r="HKB1" s="536"/>
      <c r="HKC1" s="536"/>
      <c r="HKD1" s="536"/>
      <c r="HKE1" s="536"/>
      <c r="HKF1" s="536"/>
      <c r="HKG1" s="536"/>
      <c r="HKH1" s="536"/>
      <c r="HKI1" s="536"/>
      <c r="HKJ1" s="536"/>
      <c r="HKK1" s="536"/>
      <c r="HKL1" s="536"/>
      <c r="HKM1" s="536"/>
      <c r="HKN1" s="536"/>
      <c r="HKO1" s="536"/>
      <c r="HKP1" s="536"/>
      <c r="HKQ1" s="536"/>
      <c r="HKR1" s="536"/>
      <c r="HKS1" s="536"/>
      <c r="HKT1" s="536"/>
      <c r="HKU1" s="536"/>
      <c r="HKV1" s="536"/>
      <c r="HKW1" s="536"/>
      <c r="HKX1" s="536"/>
      <c r="HKY1" s="536"/>
      <c r="HKZ1" s="536"/>
      <c r="HLA1" s="536"/>
      <c r="HLB1" s="536"/>
      <c r="HLC1" s="536"/>
      <c r="HLD1" s="536"/>
      <c r="HLE1" s="536"/>
      <c r="HLF1" s="536"/>
      <c r="HLG1" s="536"/>
      <c r="HLH1" s="536"/>
      <c r="HLI1" s="536"/>
      <c r="HLJ1" s="536"/>
      <c r="HLK1" s="536"/>
      <c r="HLL1" s="536"/>
      <c r="HLM1" s="536"/>
      <c r="HLN1" s="536"/>
      <c r="HLO1" s="536"/>
      <c r="HLP1" s="536"/>
      <c r="HLQ1" s="536"/>
      <c r="HLR1" s="536"/>
      <c r="HLS1" s="536"/>
      <c r="HLT1" s="536"/>
      <c r="HLU1" s="536"/>
      <c r="HLV1" s="536"/>
      <c r="HLW1" s="536"/>
      <c r="HLX1" s="536"/>
      <c r="HLY1" s="536"/>
      <c r="HLZ1" s="536"/>
      <c r="HMA1" s="536"/>
      <c r="HMB1" s="536"/>
      <c r="HMC1" s="536"/>
      <c r="HMD1" s="536"/>
      <c r="HME1" s="536"/>
      <c r="HMF1" s="536"/>
      <c r="HMG1" s="536"/>
      <c r="HMH1" s="536"/>
      <c r="HMI1" s="536"/>
      <c r="HMJ1" s="536"/>
      <c r="HMK1" s="536"/>
      <c r="HML1" s="536"/>
      <c r="HMM1" s="536"/>
      <c r="HMN1" s="536"/>
      <c r="HMO1" s="536"/>
      <c r="HMP1" s="536"/>
      <c r="HMQ1" s="536"/>
      <c r="HMR1" s="536"/>
      <c r="HMS1" s="536"/>
      <c r="HMT1" s="536"/>
      <c r="HMU1" s="536"/>
      <c r="HMV1" s="536"/>
      <c r="HMW1" s="536"/>
      <c r="HMX1" s="536"/>
      <c r="HMY1" s="536"/>
      <c r="HMZ1" s="536"/>
      <c r="HNA1" s="536"/>
      <c r="HNB1" s="536"/>
      <c r="HNC1" s="536"/>
      <c r="HND1" s="536"/>
      <c r="HNE1" s="536"/>
      <c r="HNF1" s="536"/>
      <c r="HNG1" s="536"/>
      <c r="HNH1" s="536"/>
      <c r="HNI1" s="536"/>
      <c r="HNJ1" s="536"/>
      <c r="HNK1" s="536"/>
      <c r="HNL1" s="536"/>
      <c r="HNM1" s="536"/>
      <c r="HNN1" s="536"/>
      <c r="HNO1" s="536"/>
      <c r="HNP1" s="536"/>
      <c r="HNQ1" s="536"/>
      <c r="HNR1" s="536"/>
      <c r="HNS1" s="536"/>
      <c r="HNT1" s="536"/>
      <c r="HNU1" s="536"/>
      <c r="HNV1" s="536"/>
      <c r="HNW1" s="536"/>
      <c r="HNX1" s="536"/>
      <c r="HNY1" s="536"/>
      <c r="HNZ1" s="536"/>
      <c r="HOA1" s="536"/>
      <c r="HOB1" s="536"/>
      <c r="HOC1" s="536"/>
      <c r="HOD1" s="536"/>
      <c r="HOE1" s="536"/>
      <c r="HOF1" s="536"/>
      <c r="HOG1" s="536"/>
      <c r="HOH1" s="536"/>
      <c r="HOI1" s="536"/>
      <c r="HOJ1" s="536"/>
      <c r="HOK1" s="536"/>
      <c r="HOL1" s="536"/>
      <c r="HOM1" s="536"/>
      <c r="HON1" s="536"/>
      <c r="HOO1" s="536"/>
      <c r="HOP1" s="536"/>
      <c r="HOQ1" s="536"/>
      <c r="HOR1" s="536"/>
      <c r="HOS1" s="536"/>
      <c r="HOT1" s="536"/>
      <c r="HOU1" s="536"/>
      <c r="HOV1" s="536"/>
      <c r="HOW1" s="536"/>
      <c r="HOX1" s="536"/>
      <c r="HOY1" s="536"/>
      <c r="HOZ1" s="536"/>
      <c r="HPA1" s="536"/>
      <c r="HPB1" s="536"/>
      <c r="HPC1" s="536"/>
      <c r="HPD1" s="536"/>
      <c r="HPE1" s="536"/>
      <c r="HPF1" s="536"/>
      <c r="HPG1" s="536"/>
      <c r="HPH1" s="536"/>
      <c r="HPI1" s="536"/>
      <c r="HPJ1" s="536"/>
      <c r="HPK1" s="536"/>
      <c r="HPL1" s="536"/>
      <c r="HPM1" s="536"/>
      <c r="HPN1" s="536"/>
      <c r="HPO1" s="536"/>
      <c r="HPP1" s="536"/>
      <c r="HPQ1" s="536"/>
      <c r="HPR1" s="536"/>
      <c r="HPS1" s="536"/>
      <c r="HPT1" s="536"/>
      <c r="HPU1" s="536"/>
      <c r="HPV1" s="536"/>
      <c r="HPW1" s="536"/>
      <c r="HPX1" s="536"/>
      <c r="HPY1" s="536"/>
      <c r="HPZ1" s="536"/>
      <c r="HQA1" s="536"/>
      <c r="HQB1" s="536"/>
      <c r="HQC1" s="536"/>
      <c r="HQD1" s="536"/>
      <c r="HQE1" s="536"/>
      <c r="HQF1" s="536"/>
      <c r="HQG1" s="536"/>
      <c r="HQH1" s="536"/>
      <c r="HQI1" s="536"/>
      <c r="HQJ1" s="536"/>
      <c r="HQK1" s="536"/>
      <c r="HQL1" s="536"/>
      <c r="HQM1" s="536"/>
      <c r="HQN1" s="536"/>
      <c r="HQO1" s="536"/>
      <c r="HQP1" s="536"/>
      <c r="HQQ1" s="536"/>
      <c r="HQR1" s="536"/>
      <c r="HQS1" s="536"/>
      <c r="HQT1" s="536"/>
      <c r="HQU1" s="536"/>
      <c r="HQV1" s="536"/>
      <c r="HQW1" s="536"/>
      <c r="HQX1" s="536"/>
      <c r="HQY1" s="536"/>
      <c r="HQZ1" s="536"/>
      <c r="HRA1" s="536"/>
      <c r="HRB1" s="536"/>
      <c r="HRC1" s="536"/>
      <c r="HRD1" s="536"/>
      <c r="HRE1" s="536"/>
      <c r="HRF1" s="536"/>
      <c r="HRG1" s="536"/>
      <c r="HRH1" s="536"/>
      <c r="HRI1" s="536"/>
      <c r="HRJ1" s="536"/>
      <c r="HRK1" s="536"/>
      <c r="HRL1" s="536"/>
      <c r="HRM1" s="536"/>
      <c r="HRN1" s="536"/>
      <c r="HRO1" s="536"/>
      <c r="HRP1" s="536"/>
      <c r="HRQ1" s="536"/>
      <c r="HRR1" s="536"/>
      <c r="HRS1" s="536"/>
      <c r="HRT1" s="536"/>
      <c r="HRU1" s="536"/>
      <c r="HRV1" s="536"/>
      <c r="HRW1" s="536"/>
      <c r="HRX1" s="536"/>
      <c r="HRY1" s="536"/>
      <c r="HRZ1" s="536"/>
      <c r="HSA1" s="536"/>
      <c r="HSB1" s="536"/>
      <c r="HSC1" s="536"/>
      <c r="HSD1" s="536"/>
      <c r="HSE1" s="536"/>
      <c r="HSF1" s="536"/>
      <c r="HSG1" s="536"/>
      <c r="HSH1" s="536"/>
      <c r="HSI1" s="536"/>
      <c r="HSJ1" s="536"/>
      <c r="HSK1" s="536"/>
      <c r="HSL1" s="536"/>
      <c r="HSM1" s="536"/>
      <c r="HSN1" s="536"/>
      <c r="HSO1" s="536"/>
      <c r="HSP1" s="536"/>
      <c r="HSQ1" s="536"/>
      <c r="HSR1" s="536"/>
      <c r="HSS1" s="536"/>
      <c r="HST1" s="536"/>
      <c r="HSU1" s="536"/>
      <c r="HSV1" s="536"/>
      <c r="HSW1" s="536"/>
      <c r="HSX1" s="536"/>
      <c r="HSY1" s="536"/>
      <c r="HSZ1" s="536"/>
      <c r="HTA1" s="536"/>
      <c r="HTB1" s="536"/>
      <c r="HTC1" s="536"/>
      <c r="HTD1" s="536"/>
      <c r="HTE1" s="536"/>
      <c r="HTF1" s="536"/>
      <c r="HTG1" s="536"/>
      <c r="HTH1" s="536"/>
      <c r="HTI1" s="536"/>
      <c r="HTJ1" s="536"/>
      <c r="HTK1" s="536"/>
      <c r="HTL1" s="536"/>
      <c r="HTM1" s="536"/>
      <c r="HTN1" s="536"/>
      <c r="HTO1" s="536"/>
      <c r="HTP1" s="536"/>
      <c r="HTQ1" s="536"/>
      <c r="HTR1" s="536"/>
      <c r="HTS1" s="536"/>
      <c r="HTT1" s="536"/>
      <c r="HTU1" s="536"/>
      <c r="HTV1" s="536"/>
      <c r="HTW1" s="536"/>
      <c r="HTX1" s="536"/>
      <c r="HTY1" s="536"/>
      <c r="HTZ1" s="536"/>
      <c r="HUA1" s="536"/>
      <c r="HUB1" s="536"/>
      <c r="HUC1" s="536"/>
      <c r="HUD1" s="536"/>
      <c r="HUE1" s="536"/>
      <c r="HUF1" s="536"/>
      <c r="HUG1" s="536"/>
      <c r="HUH1" s="536"/>
      <c r="HUI1" s="536"/>
      <c r="HUJ1" s="536"/>
      <c r="HUK1" s="536"/>
      <c r="HUL1" s="536"/>
      <c r="HUM1" s="536"/>
      <c r="HUN1" s="536"/>
      <c r="HUO1" s="536"/>
      <c r="HUP1" s="536"/>
      <c r="HUQ1" s="536"/>
      <c r="HUR1" s="536"/>
      <c r="HUS1" s="536"/>
      <c r="HUT1" s="536"/>
      <c r="HUU1" s="536"/>
      <c r="HUV1" s="536"/>
      <c r="HUW1" s="536"/>
      <c r="HUX1" s="536"/>
      <c r="HUY1" s="536"/>
      <c r="HUZ1" s="536"/>
      <c r="HVA1" s="536"/>
      <c r="HVB1" s="536"/>
      <c r="HVC1" s="536"/>
      <c r="HVD1" s="536"/>
      <c r="HVE1" s="536"/>
      <c r="HVF1" s="536"/>
      <c r="HVG1" s="536"/>
      <c r="HVH1" s="536"/>
      <c r="HVI1" s="536"/>
      <c r="HVJ1" s="536"/>
      <c r="HVK1" s="536"/>
      <c r="HVL1" s="536"/>
      <c r="HVM1" s="536"/>
      <c r="HVN1" s="536"/>
      <c r="HVO1" s="536"/>
      <c r="HVP1" s="536"/>
      <c r="HVQ1" s="536"/>
      <c r="HVR1" s="536"/>
      <c r="HVS1" s="536"/>
      <c r="HVT1" s="536"/>
      <c r="HVU1" s="536"/>
      <c r="HVV1" s="536"/>
      <c r="HVW1" s="536"/>
      <c r="HVX1" s="536"/>
      <c r="HVY1" s="536"/>
      <c r="HVZ1" s="536"/>
      <c r="HWA1" s="536"/>
      <c r="HWB1" s="536"/>
      <c r="HWC1" s="536"/>
      <c r="HWD1" s="536"/>
      <c r="HWE1" s="536"/>
      <c r="HWF1" s="536"/>
      <c r="HWG1" s="536"/>
      <c r="HWH1" s="536"/>
      <c r="HWI1" s="536"/>
      <c r="HWJ1" s="536"/>
      <c r="HWK1" s="536"/>
      <c r="HWL1" s="536"/>
      <c r="HWM1" s="536"/>
      <c r="HWN1" s="536"/>
      <c r="HWO1" s="536"/>
      <c r="HWP1" s="536"/>
      <c r="HWQ1" s="536"/>
      <c r="HWR1" s="536"/>
      <c r="HWS1" s="536"/>
      <c r="HWT1" s="536"/>
      <c r="HWU1" s="536"/>
      <c r="HWV1" s="536"/>
      <c r="HWW1" s="536"/>
      <c r="HWX1" s="536"/>
      <c r="HWY1" s="536"/>
      <c r="HWZ1" s="536"/>
      <c r="HXA1" s="536"/>
      <c r="HXB1" s="536"/>
      <c r="HXC1" s="536"/>
      <c r="HXD1" s="536"/>
      <c r="HXE1" s="536"/>
      <c r="HXF1" s="536"/>
      <c r="HXG1" s="536"/>
      <c r="HXH1" s="536"/>
      <c r="HXI1" s="536"/>
      <c r="HXJ1" s="536"/>
      <c r="HXK1" s="536"/>
      <c r="HXL1" s="536"/>
      <c r="HXM1" s="536"/>
      <c r="HXN1" s="536"/>
      <c r="HXO1" s="536"/>
      <c r="HXP1" s="536"/>
      <c r="HXQ1" s="536"/>
      <c r="HXR1" s="536"/>
      <c r="HXS1" s="536"/>
      <c r="HXT1" s="536"/>
      <c r="HXU1" s="536"/>
      <c r="HXV1" s="536"/>
      <c r="HXW1" s="536"/>
      <c r="HXX1" s="536"/>
      <c r="HXY1" s="536"/>
      <c r="HXZ1" s="536"/>
      <c r="HYA1" s="536"/>
      <c r="HYB1" s="536"/>
      <c r="HYC1" s="536"/>
      <c r="HYD1" s="536"/>
      <c r="HYE1" s="536"/>
      <c r="HYF1" s="536"/>
      <c r="HYG1" s="536"/>
      <c r="HYH1" s="536"/>
      <c r="HYI1" s="536"/>
      <c r="HYJ1" s="536"/>
      <c r="HYK1" s="536"/>
      <c r="HYL1" s="536"/>
      <c r="HYM1" s="536"/>
      <c r="HYN1" s="536"/>
      <c r="HYO1" s="536"/>
      <c r="HYP1" s="536"/>
      <c r="HYQ1" s="536"/>
      <c r="HYR1" s="536"/>
      <c r="HYS1" s="536"/>
      <c r="HYT1" s="536"/>
      <c r="HYU1" s="536"/>
      <c r="HYV1" s="536"/>
      <c r="HYW1" s="536"/>
      <c r="HYX1" s="536"/>
      <c r="HYY1" s="536"/>
      <c r="HYZ1" s="536"/>
      <c r="HZA1" s="536"/>
      <c r="HZB1" s="536"/>
      <c r="HZC1" s="536"/>
      <c r="HZD1" s="536"/>
      <c r="HZE1" s="536"/>
      <c r="HZF1" s="536"/>
      <c r="HZG1" s="536"/>
      <c r="HZH1" s="536"/>
      <c r="HZI1" s="536"/>
      <c r="HZJ1" s="536"/>
      <c r="HZK1" s="536"/>
      <c r="HZL1" s="536"/>
      <c r="HZM1" s="536"/>
      <c r="HZN1" s="536"/>
      <c r="HZO1" s="536"/>
      <c r="HZP1" s="536"/>
      <c r="HZQ1" s="536"/>
      <c r="HZR1" s="536"/>
      <c r="HZS1" s="536"/>
      <c r="HZT1" s="536"/>
      <c r="HZU1" s="536"/>
      <c r="HZV1" s="536"/>
      <c r="HZW1" s="536"/>
      <c r="HZX1" s="536"/>
      <c r="HZY1" s="536"/>
      <c r="HZZ1" s="536"/>
      <c r="IAA1" s="536"/>
      <c r="IAB1" s="536"/>
      <c r="IAC1" s="536"/>
      <c r="IAD1" s="536"/>
      <c r="IAE1" s="536"/>
      <c r="IAF1" s="536"/>
      <c r="IAG1" s="536"/>
      <c r="IAH1" s="536"/>
      <c r="IAI1" s="536"/>
      <c r="IAJ1" s="536"/>
      <c r="IAK1" s="536"/>
      <c r="IAL1" s="536"/>
      <c r="IAM1" s="536"/>
      <c r="IAN1" s="536"/>
      <c r="IAO1" s="536"/>
      <c r="IAP1" s="536"/>
      <c r="IAQ1" s="536"/>
      <c r="IAR1" s="536"/>
      <c r="IAS1" s="536"/>
      <c r="IAT1" s="536"/>
      <c r="IAU1" s="536"/>
      <c r="IAV1" s="536"/>
      <c r="IAW1" s="536"/>
      <c r="IAX1" s="536"/>
      <c r="IAY1" s="536"/>
      <c r="IAZ1" s="536"/>
      <c r="IBA1" s="536"/>
      <c r="IBB1" s="536"/>
      <c r="IBC1" s="536"/>
      <c r="IBD1" s="536"/>
      <c r="IBE1" s="536"/>
      <c r="IBF1" s="536"/>
      <c r="IBG1" s="536"/>
      <c r="IBH1" s="536"/>
      <c r="IBI1" s="536"/>
      <c r="IBJ1" s="536"/>
      <c r="IBK1" s="536"/>
      <c r="IBL1" s="536"/>
      <c r="IBM1" s="536"/>
      <c r="IBN1" s="536"/>
      <c r="IBO1" s="536"/>
      <c r="IBP1" s="536"/>
      <c r="IBQ1" s="536"/>
      <c r="IBR1" s="536"/>
      <c r="IBS1" s="536"/>
      <c r="IBT1" s="536"/>
      <c r="IBU1" s="536"/>
      <c r="IBV1" s="536"/>
      <c r="IBW1" s="536"/>
      <c r="IBX1" s="536"/>
      <c r="IBY1" s="536"/>
      <c r="IBZ1" s="536"/>
      <c r="ICA1" s="536"/>
      <c r="ICB1" s="536"/>
      <c r="ICC1" s="536"/>
      <c r="ICD1" s="536"/>
      <c r="ICE1" s="536"/>
      <c r="ICF1" s="536"/>
      <c r="ICG1" s="536"/>
      <c r="ICH1" s="536"/>
      <c r="ICI1" s="536"/>
      <c r="ICJ1" s="536"/>
      <c r="ICK1" s="536"/>
      <c r="ICL1" s="536"/>
      <c r="ICM1" s="536"/>
      <c r="ICN1" s="536"/>
      <c r="ICO1" s="536"/>
      <c r="ICP1" s="536"/>
      <c r="ICQ1" s="536"/>
      <c r="ICR1" s="536"/>
      <c r="ICS1" s="536"/>
      <c r="ICT1" s="536"/>
      <c r="ICU1" s="536"/>
      <c r="ICV1" s="536"/>
      <c r="ICW1" s="536"/>
      <c r="ICX1" s="536"/>
      <c r="ICY1" s="536"/>
      <c r="ICZ1" s="536"/>
      <c r="IDA1" s="536"/>
      <c r="IDB1" s="536"/>
      <c r="IDC1" s="536"/>
      <c r="IDD1" s="536"/>
      <c r="IDE1" s="536"/>
      <c r="IDF1" s="536"/>
      <c r="IDG1" s="536"/>
      <c r="IDH1" s="536"/>
      <c r="IDI1" s="536"/>
      <c r="IDJ1" s="536"/>
      <c r="IDK1" s="536"/>
      <c r="IDL1" s="536"/>
      <c r="IDM1" s="536"/>
      <c r="IDN1" s="536"/>
      <c r="IDO1" s="536"/>
      <c r="IDP1" s="536"/>
      <c r="IDQ1" s="536"/>
      <c r="IDR1" s="536"/>
      <c r="IDS1" s="536"/>
      <c r="IDT1" s="536"/>
      <c r="IDU1" s="536"/>
      <c r="IDV1" s="536"/>
      <c r="IDW1" s="536"/>
      <c r="IDX1" s="536"/>
      <c r="IDY1" s="536"/>
      <c r="IDZ1" s="536"/>
      <c r="IEA1" s="536"/>
      <c r="IEB1" s="536"/>
      <c r="IEC1" s="536"/>
      <c r="IED1" s="536"/>
      <c r="IEE1" s="536"/>
      <c r="IEF1" s="536"/>
      <c r="IEG1" s="536"/>
      <c r="IEH1" s="536"/>
      <c r="IEI1" s="536"/>
      <c r="IEJ1" s="536"/>
      <c r="IEK1" s="536"/>
      <c r="IEL1" s="536"/>
      <c r="IEM1" s="536"/>
      <c r="IEN1" s="536"/>
      <c r="IEO1" s="536"/>
      <c r="IEP1" s="536"/>
      <c r="IEQ1" s="536"/>
      <c r="IER1" s="536"/>
      <c r="IES1" s="536"/>
      <c r="IET1" s="536"/>
      <c r="IEU1" s="536"/>
      <c r="IEV1" s="536"/>
      <c r="IEW1" s="536"/>
      <c r="IEX1" s="536"/>
      <c r="IEY1" s="536"/>
      <c r="IEZ1" s="536"/>
      <c r="IFA1" s="536"/>
      <c r="IFB1" s="536"/>
      <c r="IFC1" s="536"/>
      <c r="IFD1" s="536"/>
      <c r="IFE1" s="536"/>
      <c r="IFF1" s="536"/>
      <c r="IFG1" s="536"/>
      <c r="IFH1" s="536"/>
      <c r="IFI1" s="536"/>
      <c r="IFJ1" s="536"/>
      <c r="IFK1" s="536"/>
      <c r="IFL1" s="536"/>
      <c r="IFM1" s="536"/>
      <c r="IFN1" s="536"/>
      <c r="IFO1" s="536"/>
      <c r="IFP1" s="536"/>
      <c r="IFQ1" s="536"/>
      <c r="IFR1" s="536"/>
      <c r="IFS1" s="536"/>
      <c r="IFT1" s="536"/>
      <c r="IFU1" s="536"/>
      <c r="IFV1" s="536"/>
      <c r="IFW1" s="536"/>
      <c r="IFX1" s="536"/>
      <c r="IFY1" s="536"/>
      <c r="IFZ1" s="536"/>
      <c r="IGA1" s="536"/>
      <c r="IGB1" s="536"/>
      <c r="IGC1" s="536"/>
      <c r="IGD1" s="536"/>
      <c r="IGE1" s="536"/>
      <c r="IGF1" s="536"/>
      <c r="IGG1" s="536"/>
      <c r="IGH1" s="536"/>
      <c r="IGI1" s="536"/>
      <c r="IGJ1" s="536"/>
      <c r="IGK1" s="536"/>
      <c r="IGL1" s="536"/>
      <c r="IGM1" s="536"/>
      <c r="IGN1" s="536"/>
      <c r="IGO1" s="536"/>
      <c r="IGP1" s="536"/>
      <c r="IGQ1" s="536"/>
      <c r="IGR1" s="536"/>
      <c r="IGS1" s="536"/>
      <c r="IGT1" s="536"/>
      <c r="IGU1" s="536"/>
      <c r="IGV1" s="536"/>
      <c r="IGW1" s="536"/>
      <c r="IGX1" s="536"/>
      <c r="IGY1" s="536"/>
      <c r="IGZ1" s="536"/>
      <c r="IHA1" s="536"/>
      <c r="IHB1" s="536"/>
      <c r="IHC1" s="536"/>
      <c r="IHD1" s="536"/>
      <c r="IHE1" s="536"/>
      <c r="IHF1" s="536"/>
      <c r="IHG1" s="536"/>
      <c r="IHH1" s="536"/>
      <c r="IHI1" s="536"/>
      <c r="IHJ1" s="536"/>
      <c r="IHK1" s="536"/>
      <c r="IHL1" s="536"/>
      <c r="IHM1" s="536"/>
      <c r="IHN1" s="536"/>
      <c r="IHO1" s="536"/>
      <c r="IHP1" s="536"/>
      <c r="IHQ1" s="536"/>
      <c r="IHR1" s="536"/>
      <c r="IHS1" s="536"/>
      <c r="IHT1" s="536"/>
      <c r="IHU1" s="536"/>
      <c r="IHV1" s="536"/>
      <c r="IHW1" s="536"/>
      <c r="IHX1" s="536"/>
      <c r="IHY1" s="536"/>
      <c r="IHZ1" s="536"/>
      <c r="IIA1" s="536"/>
      <c r="IIB1" s="536"/>
      <c r="IIC1" s="536"/>
      <c r="IID1" s="536"/>
      <c r="IIE1" s="536"/>
      <c r="IIF1" s="536"/>
      <c r="IIG1" s="536"/>
      <c r="IIH1" s="536"/>
      <c r="III1" s="536"/>
      <c r="IIJ1" s="536"/>
      <c r="IIK1" s="536"/>
      <c r="IIL1" s="536"/>
      <c r="IIM1" s="536"/>
      <c r="IIN1" s="536"/>
      <c r="IIO1" s="536"/>
      <c r="IIP1" s="536"/>
      <c r="IIQ1" s="536"/>
      <c r="IIR1" s="536"/>
      <c r="IIS1" s="536"/>
      <c r="IIT1" s="536"/>
      <c r="IIU1" s="536"/>
      <c r="IIV1" s="536"/>
      <c r="IIW1" s="536"/>
      <c r="IIX1" s="536"/>
      <c r="IIY1" s="536"/>
      <c r="IIZ1" s="536"/>
      <c r="IJA1" s="536"/>
      <c r="IJB1" s="536"/>
      <c r="IJC1" s="536"/>
      <c r="IJD1" s="536"/>
      <c r="IJE1" s="536"/>
      <c r="IJF1" s="536"/>
      <c r="IJG1" s="536"/>
      <c r="IJH1" s="536"/>
      <c r="IJI1" s="536"/>
      <c r="IJJ1" s="536"/>
      <c r="IJK1" s="536"/>
      <c r="IJL1" s="536"/>
      <c r="IJM1" s="536"/>
      <c r="IJN1" s="536"/>
      <c r="IJO1" s="536"/>
      <c r="IJP1" s="536"/>
      <c r="IJQ1" s="536"/>
      <c r="IJR1" s="536"/>
      <c r="IJS1" s="536"/>
      <c r="IJT1" s="536"/>
      <c r="IJU1" s="536"/>
      <c r="IJV1" s="536"/>
      <c r="IJW1" s="536"/>
      <c r="IJX1" s="536"/>
      <c r="IJY1" s="536"/>
      <c r="IJZ1" s="536"/>
      <c r="IKA1" s="536"/>
      <c r="IKB1" s="536"/>
      <c r="IKC1" s="536"/>
      <c r="IKD1" s="536"/>
      <c r="IKE1" s="536"/>
      <c r="IKF1" s="536"/>
      <c r="IKG1" s="536"/>
      <c r="IKH1" s="536"/>
      <c r="IKI1" s="536"/>
      <c r="IKJ1" s="536"/>
      <c r="IKK1" s="536"/>
      <c r="IKL1" s="536"/>
      <c r="IKM1" s="536"/>
      <c r="IKN1" s="536"/>
      <c r="IKO1" s="536"/>
      <c r="IKP1" s="536"/>
      <c r="IKQ1" s="536"/>
      <c r="IKR1" s="536"/>
      <c r="IKS1" s="536"/>
      <c r="IKT1" s="536"/>
      <c r="IKU1" s="536"/>
      <c r="IKV1" s="536"/>
      <c r="IKW1" s="536"/>
      <c r="IKX1" s="536"/>
      <c r="IKY1" s="536"/>
      <c r="IKZ1" s="536"/>
      <c r="ILA1" s="536"/>
      <c r="ILB1" s="536"/>
      <c r="ILC1" s="536"/>
      <c r="ILD1" s="536"/>
      <c r="ILE1" s="536"/>
      <c r="ILF1" s="536"/>
      <c r="ILG1" s="536"/>
      <c r="ILH1" s="536"/>
      <c r="ILI1" s="536"/>
      <c r="ILJ1" s="536"/>
      <c r="ILK1" s="536"/>
      <c r="ILL1" s="536"/>
      <c r="ILM1" s="536"/>
      <c r="ILN1" s="536"/>
      <c r="ILO1" s="536"/>
      <c r="ILP1" s="536"/>
      <c r="ILQ1" s="536"/>
      <c r="ILR1" s="536"/>
      <c r="ILS1" s="536"/>
      <c r="ILT1" s="536"/>
      <c r="ILU1" s="536"/>
      <c r="ILV1" s="536"/>
      <c r="ILW1" s="536"/>
      <c r="ILX1" s="536"/>
      <c r="ILY1" s="536"/>
      <c r="ILZ1" s="536"/>
      <c r="IMA1" s="536"/>
      <c r="IMB1" s="536"/>
      <c r="IMC1" s="536"/>
      <c r="IMD1" s="536"/>
      <c r="IME1" s="536"/>
      <c r="IMF1" s="536"/>
      <c r="IMG1" s="536"/>
      <c r="IMH1" s="536"/>
      <c r="IMI1" s="536"/>
      <c r="IMJ1" s="536"/>
      <c r="IMK1" s="536"/>
      <c r="IML1" s="536"/>
      <c r="IMM1" s="536"/>
      <c r="IMN1" s="536"/>
      <c r="IMO1" s="536"/>
      <c r="IMP1" s="536"/>
      <c r="IMQ1" s="536"/>
      <c r="IMR1" s="536"/>
      <c r="IMS1" s="536"/>
      <c r="IMT1" s="536"/>
      <c r="IMU1" s="536"/>
      <c r="IMV1" s="536"/>
      <c r="IMW1" s="536"/>
      <c r="IMX1" s="536"/>
      <c r="IMY1" s="536"/>
      <c r="IMZ1" s="536"/>
      <c r="INA1" s="536"/>
      <c r="INB1" s="536"/>
      <c r="INC1" s="536"/>
      <c r="IND1" s="536"/>
      <c r="INE1" s="536"/>
      <c r="INF1" s="536"/>
      <c r="ING1" s="536"/>
      <c r="INH1" s="536"/>
      <c r="INI1" s="536"/>
      <c r="INJ1" s="536"/>
      <c r="INK1" s="536"/>
      <c r="INL1" s="536"/>
      <c r="INM1" s="536"/>
      <c r="INN1" s="536"/>
      <c r="INO1" s="536"/>
      <c r="INP1" s="536"/>
      <c r="INQ1" s="536"/>
      <c r="INR1" s="536"/>
      <c r="INS1" s="536"/>
      <c r="INT1" s="536"/>
      <c r="INU1" s="536"/>
      <c r="INV1" s="536"/>
      <c r="INW1" s="536"/>
      <c r="INX1" s="536"/>
      <c r="INY1" s="536"/>
      <c r="INZ1" s="536"/>
      <c r="IOA1" s="536"/>
      <c r="IOB1" s="536"/>
      <c r="IOC1" s="536"/>
      <c r="IOD1" s="536"/>
      <c r="IOE1" s="536"/>
      <c r="IOF1" s="536"/>
      <c r="IOG1" s="536"/>
      <c r="IOH1" s="536"/>
      <c r="IOI1" s="536"/>
      <c r="IOJ1" s="536"/>
      <c r="IOK1" s="536"/>
      <c r="IOL1" s="536"/>
      <c r="IOM1" s="536"/>
      <c r="ION1" s="536"/>
      <c r="IOO1" s="536"/>
      <c r="IOP1" s="536"/>
      <c r="IOQ1" s="536"/>
      <c r="IOR1" s="536"/>
      <c r="IOS1" s="536"/>
      <c r="IOT1" s="536"/>
      <c r="IOU1" s="536"/>
      <c r="IOV1" s="536"/>
      <c r="IOW1" s="536"/>
      <c r="IOX1" s="536"/>
      <c r="IOY1" s="536"/>
      <c r="IOZ1" s="536"/>
      <c r="IPA1" s="536"/>
      <c r="IPB1" s="536"/>
      <c r="IPC1" s="536"/>
      <c r="IPD1" s="536"/>
      <c r="IPE1" s="536"/>
      <c r="IPF1" s="536"/>
      <c r="IPG1" s="536"/>
      <c r="IPH1" s="536"/>
      <c r="IPI1" s="536"/>
      <c r="IPJ1" s="536"/>
      <c r="IPK1" s="536"/>
      <c r="IPL1" s="536"/>
      <c r="IPM1" s="536"/>
      <c r="IPN1" s="536"/>
      <c r="IPO1" s="536"/>
      <c r="IPP1" s="536"/>
      <c r="IPQ1" s="536"/>
      <c r="IPR1" s="536"/>
      <c r="IPS1" s="536"/>
      <c r="IPT1" s="536"/>
      <c r="IPU1" s="536"/>
      <c r="IPV1" s="536"/>
      <c r="IPW1" s="536"/>
      <c r="IPX1" s="536"/>
      <c r="IPY1" s="536"/>
      <c r="IPZ1" s="536"/>
      <c r="IQA1" s="536"/>
      <c r="IQB1" s="536"/>
      <c r="IQC1" s="536"/>
      <c r="IQD1" s="536"/>
      <c r="IQE1" s="536"/>
      <c r="IQF1" s="536"/>
      <c r="IQG1" s="536"/>
      <c r="IQH1" s="536"/>
      <c r="IQI1" s="536"/>
      <c r="IQJ1" s="536"/>
      <c r="IQK1" s="536"/>
      <c r="IQL1" s="536"/>
      <c r="IQM1" s="536"/>
      <c r="IQN1" s="536"/>
      <c r="IQO1" s="536"/>
      <c r="IQP1" s="536"/>
      <c r="IQQ1" s="536"/>
      <c r="IQR1" s="536"/>
      <c r="IQS1" s="536"/>
      <c r="IQT1" s="536"/>
      <c r="IQU1" s="536"/>
      <c r="IQV1" s="536"/>
      <c r="IQW1" s="536"/>
      <c r="IQX1" s="536"/>
      <c r="IQY1" s="536"/>
      <c r="IQZ1" s="536"/>
      <c r="IRA1" s="536"/>
      <c r="IRB1" s="536"/>
      <c r="IRC1" s="536"/>
      <c r="IRD1" s="536"/>
      <c r="IRE1" s="536"/>
      <c r="IRF1" s="536"/>
      <c r="IRG1" s="536"/>
      <c r="IRH1" s="536"/>
      <c r="IRI1" s="536"/>
      <c r="IRJ1" s="536"/>
      <c r="IRK1" s="536"/>
      <c r="IRL1" s="536"/>
      <c r="IRM1" s="536"/>
      <c r="IRN1" s="536"/>
      <c r="IRO1" s="536"/>
      <c r="IRP1" s="536"/>
      <c r="IRQ1" s="536"/>
      <c r="IRR1" s="536"/>
      <c r="IRS1" s="536"/>
      <c r="IRT1" s="536"/>
      <c r="IRU1" s="536"/>
      <c r="IRV1" s="536"/>
      <c r="IRW1" s="536"/>
      <c r="IRX1" s="536"/>
      <c r="IRY1" s="536"/>
      <c r="IRZ1" s="536"/>
      <c r="ISA1" s="536"/>
      <c r="ISB1" s="536"/>
      <c r="ISC1" s="536"/>
      <c r="ISD1" s="536"/>
      <c r="ISE1" s="536"/>
      <c r="ISF1" s="536"/>
      <c r="ISG1" s="536"/>
      <c r="ISH1" s="536"/>
      <c r="ISI1" s="536"/>
      <c r="ISJ1" s="536"/>
      <c r="ISK1" s="536"/>
      <c r="ISL1" s="536"/>
      <c r="ISM1" s="536"/>
      <c r="ISN1" s="536"/>
      <c r="ISO1" s="536"/>
      <c r="ISP1" s="536"/>
      <c r="ISQ1" s="536"/>
      <c r="ISR1" s="536"/>
      <c r="ISS1" s="536"/>
      <c r="IST1" s="536"/>
      <c r="ISU1" s="536"/>
      <c r="ISV1" s="536"/>
      <c r="ISW1" s="536"/>
      <c r="ISX1" s="536"/>
      <c r="ISY1" s="536"/>
      <c r="ISZ1" s="536"/>
      <c r="ITA1" s="536"/>
      <c r="ITB1" s="536"/>
      <c r="ITC1" s="536"/>
      <c r="ITD1" s="536"/>
      <c r="ITE1" s="536"/>
      <c r="ITF1" s="536"/>
      <c r="ITG1" s="536"/>
      <c r="ITH1" s="536"/>
      <c r="ITI1" s="536"/>
      <c r="ITJ1" s="536"/>
      <c r="ITK1" s="536"/>
      <c r="ITL1" s="536"/>
      <c r="ITM1" s="536"/>
      <c r="ITN1" s="536"/>
      <c r="ITO1" s="536"/>
      <c r="ITP1" s="536"/>
      <c r="ITQ1" s="536"/>
      <c r="ITR1" s="536"/>
      <c r="ITS1" s="536"/>
      <c r="ITT1" s="536"/>
      <c r="ITU1" s="536"/>
      <c r="ITV1" s="536"/>
      <c r="ITW1" s="536"/>
      <c r="ITX1" s="536"/>
      <c r="ITY1" s="536"/>
      <c r="ITZ1" s="536"/>
      <c r="IUA1" s="536"/>
      <c r="IUB1" s="536"/>
      <c r="IUC1" s="536"/>
      <c r="IUD1" s="536"/>
      <c r="IUE1" s="536"/>
      <c r="IUF1" s="536"/>
      <c r="IUG1" s="536"/>
      <c r="IUH1" s="536"/>
      <c r="IUI1" s="536"/>
      <c r="IUJ1" s="536"/>
      <c r="IUK1" s="536"/>
      <c r="IUL1" s="536"/>
      <c r="IUM1" s="536"/>
      <c r="IUN1" s="536"/>
      <c r="IUO1" s="536"/>
      <c r="IUP1" s="536"/>
      <c r="IUQ1" s="536"/>
      <c r="IUR1" s="536"/>
      <c r="IUS1" s="536"/>
      <c r="IUT1" s="536"/>
      <c r="IUU1" s="536"/>
      <c r="IUV1" s="536"/>
      <c r="IUW1" s="536"/>
      <c r="IUX1" s="536"/>
      <c r="IUY1" s="536"/>
      <c r="IUZ1" s="536"/>
      <c r="IVA1" s="536"/>
      <c r="IVB1" s="536"/>
      <c r="IVC1" s="536"/>
      <c r="IVD1" s="536"/>
      <c r="IVE1" s="536"/>
      <c r="IVF1" s="536"/>
      <c r="IVG1" s="536"/>
      <c r="IVH1" s="536"/>
      <c r="IVI1" s="536"/>
      <c r="IVJ1" s="536"/>
      <c r="IVK1" s="536"/>
      <c r="IVL1" s="536"/>
      <c r="IVM1" s="536"/>
      <c r="IVN1" s="536"/>
      <c r="IVO1" s="536"/>
      <c r="IVP1" s="536"/>
      <c r="IVQ1" s="536"/>
      <c r="IVR1" s="536"/>
      <c r="IVS1" s="536"/>
      <c r="IVT1" s="536"/>
      <c r="IVU1" s="536"/>
      <c r="IVV1" s="536"/>
      <c r="IVW1" s="536"/>
      <c r="IVX1" s="536"/>
      <c r="IVY1" s="536"/>
      <c r="IVZ1" s="536"/>
      <c r="IWA1" s="536"/>
      <c r="IWB1" s="536"/>
      <c r="IWC1" s="536"/>
      <c r="IWD1" s="536"/>
      <c r="IWE1" s="536"/>
      <c r="IWF1" s="536"/>
      <c r="IWG1" s="536"/>
      <c r="IWH1" s="536"/>
      <c r="IWI1" s="536"/>
      <c r="IWJ1" s="536"/>
      <c r="IWK1" s="536"/>
      <c r="IWL1" s="536"/>
      <c r="IWM1" s="536"/>
      <c r="IWN1" s="536"/>
      <c r="IWO1" s="536"/>
      <c r="IWP1" s="536"/>
      <c r="IWQ1" s="536"/>
      <c r="IWR1" s="536"/>
      <c r="IWS1" s="536"/>
      <c r="IWT1" s="536"/>
      <c r="IWU1" s="536"/>
      <c r="IWV1" s="536"/>
      <c r="IWW1" s="536"/>
      <c r="IWX1" s="536"/>
      <c r="IWY1" s="536"/>
      <c r="IWZ1" s="536"/>
      <c r="IXA1" s="536"/>
      <c r="IXB1" s="536"/>
      <c r="IXC1" s="536"/>
      <c r="IXD1" s="536"/>
      <c r="IXE1" s="536"/>
      <c r="IXF1" s="536"/>
      <c r="IXG1" s="536"/>
      <c r="IXH1" s="536"/>
      <c r="IXI1" s="536"/>
      <c r="IXJ1" s="536"/>
      <c r="IXK1" s="536"/>
      <c r="IXL1" s="536"/>
      <c r="IXM1" s="536"/>
      <c r="IXN1" s="536"/>
      <c r="IXO1" s="536"/>
      <c r="IXP1" s="536"/>
      <c r="IXQ1" s="536"/>
      <c r="IXR1" s="536"/>
      <c r="IXS1" s="536"/>
      <c r="IXT1" s="536"/>
      <c r="IXU1" s="536"/>
      <c r="IXV1" s="536"/>
      <c r="IXW1" s="536"/>
      <c r="IXX1" s="536"/>
      <c r="IXY1" s="536"/>
      <c r="IXZ1" s="536"/>
      <c r="IYA1" s="536"/>
      <c r="IYB1" s="536"/>
      <c r="IYC1" s="536"/>
      <c r="IYD1" s="536"/>
      <c r="IYE1" s="536"/>
      <c r="IYF1" s="536"/>
      <c r="IYG1" s="536"/>
      <c r="IYH1" s="536"/>
      <c r="IYI1" s="536"/>
      <c r="IYJ1" s="536"/>
      <c r="IYK1" s="536"/>
      <c r="IYL1" s="536"/>
      <c r="IYM1" s="536"/>
      <c r="IYN1" s="536"/>
      <c r="IYO1" s="536"/>
      <c r="IYP1" s="536"/>
      <c r="IYQ1" s="536"/>
      <c r="IYR1" s="536"/>
      <c r="IYS1" s="536"/>
      <c r="IYT1" s="536"/>
      <c r="IYU1" s="536"/>
      <c r="IYV1" s="536"/>
      <c r="IYW1" s="536"/>
      <c r="IYX1" s="536"/>
      <c r="IYY1" s="536"/>
      <c r="IYZ1" s="536"/>
      <c r="IZA1" s="536"/>
      <c r="IZB1" s="536"/>
      <c r="IZC1" s="536"/>
      <c r="IZD1" s="536"/>
      <c r="IZE1" s="536"/>
      <c r="IZF1" s="536"/>
      <c r="IZG1" s="536"/>
      <c r="IZH1" s="536"/>
      <c r="IZI1" s="536"/>
      <c r="IZJ1" s="536"/>
      <c r="IZK1" s="536"/>
      <c r="IZL1" s="536"/>
      <c r="IZM1" s="536"/>
      <c r="IZN1" s="536"/>
      <c r="IZO1" s="536"/>
      <c r="IZP1" s="536"/>
      <c r="IZQ1" s="536"/>
      <c r="IZR1" s="536"/>
      <c r="IZS1" s="536"/>
      <c r="IZT1" s="536"/>
      <c r="IZU1" s="536"/>
      <c r="IZV1" s="536"/>
      <c r="IZW1" s="536"/>
      <c r="IZX1" s="536"/>
      <c r="IZY1" s="536"/>
      <c r="IZZ1" s="536"/>
      <c r="JAA1" s="536"/>
      <c r="JAB1" s="536"/>
      <c r="JAC1" s="536"/>
      <c r="JAD1" s="536"/>
      <c r="JAE1" s="536"/>
      <c r="JAF1" s="536"/>
      <c r="JAG1" s="536"/>
      <c r="JAH1" s="536"/>
      <c r="JAI1" s="536"/>
      <c r="JAJ1" s="536"/>
      <c r="JAK1" s="536"/>
      <c r="JAL1" s="536"/>
      <c r="JAM1" s="536"/>
      <c r="JAN1" s="536"/>
      <c r="JAO1" s="536"/>
      <c r="JAP1" s="536"/>
      <c r="JAQ1" s="536"/>
      <c r="JAR1" s="536"/>
      <c r="JAS1" s="536"/>
      <c r="JAT1" s="536"/>
      <c r="JAU1" s="536"/>
      <c r="JAV1" s="536"/>
      <c r="JAW1" s="536"/>
      <c r="JAX1" s="536"/>
      <c r="JAY1" s="536"/>
      <c r="JAZ1" s="536"/>
      <c r="JBA1" s="536"/>
      <c r="JBB1" s="536"/>
      <c r="JBC1" s="536"/>
      <c r="JBD1" s="536"/>
      <c r="JBE1" s="536"/>
      <c r="JBF1" s="536"/>
      <c r="JBG1" s="536"/>
      <c r="JBH1" s="536"/>
      <c r="JBI1" s="536"/>
      <c r="JBJ1" s="536"/>
      <c r="JBK1" s="536"/>
      <c r="JBL1" s="536"/>
      <c r="JBM1" s="536"/>
      <c r="JBN1" s="536"/>
      <c r="JBO1" s="536"/>
      <c r="JBP1" s="536"/>
      <c r="JBQ1" s="536"/>
      <c r="JBR1" s="536"/>
      <c r="JBS1" s="536"/>
      <c r="JBT1" s="536"/>
      <c r="JBU1" s="536"/>
      <c r="JBV1" s="536"/>
      <c r="JBW1" s="536"/>
      <c r="JBX1" s="536"/>
      <c r="JBY1" s="536"/>
      <c r="JBZ1" s="536"/>
      <c r="JCA1" s="536"/>
      <c r="JCB1" s="536"/>
      <c r="JCC1" s="536"/>
      <c r="JCD1" s="536"/>
      <c r="JCE1" s="536"/>
      <c r="JCF1" s="536"/>
      <c r="JCG1" s="536"/>
      <c r="JCH1" s="536"/>
      <c r="JCI1" s="536"/>
      <c r="JCJ1" s="536"/>
      <c r="JCK1" s="536"/>
      <c r="JCL1" s="536"/>
      <c r="JCM1" s="536"/>
      <c r="JCN1" s="536"/>
      <c r="JCO1" s="536"/>
      <c r="JCP1" s="536"/>
      <c r="JCQ1" s="536"/>
      <c r="JCR1" s="536"/>
      <c r="JCS1" s="536"/>
      <c r="JCT1" s="536"/>
      <c r="JCU1" s="536"/>
      <c r="JCV1" s="536"/>
      <c r="JCW1" s="536"/>
      <c r="JCX1" s="536"/>
      <c r="JCY1" s="536"/>
      <c r="JCZ1" s="536"/>
      <c r="JDA1" s="536"/>
      <c r="JDB1" s="536"/>
      <c r="JDC1" s="536"/>
      <c r="JDD1" s="536"/>
      <c r="JDE1" s="536"/>
      <c r="JDF1" s="536"/>
      <c r="JDG1" s="536"/>
      <c r="JDH1" s="536"/>
      <c r="JDI1" s="536"/>
      <c r="JDJ1" s="536"/>
      <c r="JDK1" s="536"/>
      <c r="JDL1" s="536"/>
      <c r="JDM1" s="536"/>
      <c r="JDN1" s="536"/>
      <c r="JDO1" s="536"/>
      <c r="JDP1" s="536"/>
      <c r="JDQ1" s="536"/>
      <c r="JDR1" s="536"/>
      <c r="JDS1" s="536"/>
      <c r="JDT1" s="536"/>
      <c r="JDU1" s="536"/>
      <c r="JDV1" s="536"/>
      <c r="JDW1" s="536"/>
      <c r="JDX1" s="536"/>
      <c r="JDY1" s="536"/>
      <c r="JDZ1" s="536"/>
      <c r="JEA1" s="536"/>
      <c r="JEB1" s="536"/>
      <c r="JEC1" s="536"/>
      <c r="JED1" s="536"/>
      <c r="JEE1" s="536"/>
      <c r="JEF1" s="536"/>
      <c r="JEG1" s="536"/>
      <c r="JEH1" s="536"/>
      <c r="JEI1" s="536"/>
      <c r="JEJ1" s="536"/>
      <c r="JEK1" s="536"/>
      <c r="JEL1" s="536"/>
      <c r="JEM1" s="536"/>
      <c r="JEN1" s="536"/>
      <c r="JEO1" s="536"/>
      <c r="JEP1" s="536"/>
      <c r="JEQ1" s="536"/>
      <c r="JER1" s="536"/>
      <c r="JES1" s="536"/>
      <c r="JET1" s="536"/>
      <c r="JEU1" s="536"/>
      <c r="JEV1" s="536"/>
      <c r="JEW1" s="536"/>
      <c r="JEX1" s="536"/>
      <c r="JEY1" s="536"/>
      <c r="JEZ1" s="536"/>
      <c r="JFA1" s="536"/>
      <c r="JFB1" s="536"/>
      <c r="JFC1" s="536"/>
      <c r="JFD1" s="536"/>
      <c r="JFE1" s="536"/>
      <c r="JFF1" s="536"/>
      <c r="JFG1" s="536"/>
      <c r="JFH1" s="536"/>
      <c r="JFI1" s="536"/>
      <c r="JFJ1" s="536"/>
      <c r="JFK1" s="536"/>
      <c r="JFL1" s="536"/>
      <c r="JFM1" s="536"/>
      <c r="JFN1" s="536"/>
      <c r="JFO1" s="536"/>
      <c r="JFP1" s="536"/>
      <c r="JFQ1" s="536"/>
      <c r="JFR1" s="536"/>
      <c r="JFS1" s="536"/>
      <c r="JFT1" s="536"/>
      <c r="JFU1" s="536"/>
      <c r="JFV1" s="536"/>
      <c r="JFW1" s="536"/>
      <c r="JFX1" s="536"/>
      <c r="JFY1" s="536"/>
      <c r="JFZ1" s="536"/>
      <c r="JGA1" s="536"/>
      <c r="JGB1" s="536"/>
      <c r="JGC1" s="536"/>
      <c r="JGD1" s="536"/>
      <c r="JGE1" s="536"/>
      <c r="JGF1" s="536"/>
      <c r="JGG1" s="536"/>
      <c r="JGH1" s="536"/>
      <c r="JGI1" s="536"/>
      <c r="JGJ1" s="536"/>
      <c r="JGK1" s="536"/>
      <c r="JGL1" s="536"/>
      <c r="JGM1" s="536"/>
      <c r="JGN1" s="536"/>
      <c r="JGO1" s="536"/>
      <c r="JGP1" s="536"/>
      <c r="JGQ1" s="536"/>
      <c r="JGR1" s="536"/>
      <c r="JGS1" s="536"/>
      <c r="JGT1" s="536"/>
      <c r="JGU1" s="536"/>
      <c r="JGV1" s="536"/>
      <c r="JGW1" s="536"/>
      <c r="JGX1" s="536"/>
      <c r="JGY1" s="536"/>
      <c r="JGZ1" s="536"/>
      <c r="JHA1" s="536"/>
      <c r="JHB1" s="536"/>
      <c r="JHC1" s="536"/>
      <c r="JHD1" s="536"/>
      <c r="JHE1" s="536"/>
      <c r="JHF1" s="536"/>
      <c r="JHG1" s="536"/>
      <c r="JHH1" s="536"/>
      <c r="JHI1" s="536"/>
      <c r="JHJ1" s="536"/>
      <c r="JHK1" s="536"/>
      <c r="JHL1" s="536"/>
      <c r="JHM1" s="536"/>
      <c r="JHN1" s="536"/>
      <c r="JHO1" s="536"/>
      <c r="JHP1" s="536"/>
      <c r="JHQ1" s="536"/>
      <c r="JHR1" s="536"/>
      <c r="JHS1" s="536"/>
      <c r="JHT1" s="536"/>
      <c r="JHU1" s="536"/>
      <c r="JHV1" s="536"/>
      <c r="JHW1" s="536"/>
      <c r="JHX1" s="536"/>
      <c r="JHY1" s="536"/>
      <c r="JHZ1" s="536"/>
      <c r="JIA1" s="536"/>
      <c r="JIB1" s="536"/>
      <c r="JIC1" s="536"/>
      <c r="JID1" s="536"/>
      <c r="JIE1" s="536"/>
      <c r="JIF1" s="536"/>
      <c r="JIG1" s="536"/>
      <c r="JIH1" s="536"/>
      <c r="JII1" s="536"/>
      <c r="JIJ1" s="536"/>
      <c r="JIK1" s="536"/>
      <c r="JIL1" s="536"/>
      <c r="JIM1" s="536"/>
      <c r="JIN1" s="536"/>
      <c r="JIO1" s="536"/>
      <c r="JIP1" s="536"/>
      <c r="JIQ1" s="536"/>
      <c r="JIR1" s="536"/>
      <c r="JIS1" s="536"/>
      <c r="JIT1" s="536"/>
      <c r="JIU1" s="536"/>
      <c r="JIV1" s="536"/>
      <c r="JIW1" s="536"/>
      <c r="JIX1" s="536"/>
      <c r="JIY1" s="536"/>
      <c r="JIZ1" s="536"/>
      <c r="JJA1" s="536"/>
      <c r="JJB1" s="536"/>
      <c r="JJC1" s="536"/>
      <c r="JJD1" s="536"/>
      <c r="JJE1" s="536"/>
      <c r="JJF1" s="536"/>
      <c r="JJG1" s="536"/>
      <c r="JJH1" s="536"/>
      <c r="JJI1" s="536"/>
      <c r="JJJ1" s="536"/>
      <c r="JJK1" s="536"/>
      <c r="JJL1" s="536"/>
      <c r="JJM1" s="536"/>
      <c r="JJN1" s="536"/>
      <c r="JJO1" s="536"/>
      <c r="JJP1" s="536"/>
      <c r="JJQ1" s="536"/>
      <c r="JJR1" s="536"/>
      <c r="JJS1" s="536"/>
      <c r="JJT1" s="536"/>
      <c r="JJU1" s="536"/>
      <c r="JJV1" s="536"/>
      <c r="JJW1" s="536"/>
      <c r="JJX1" s="536"/>
      <c r="JJY1" s="536"/>
      <c r="JJZ1" s="536"/>
      <c r="JKA1" s="536"/>
      <c r="JKB1" s="536"/>
      <c r="JKC1" s="536"/>
      <c r="JKD1" s="536"/>
      <c r="JKE1" s="536"/>
      <c r="JKF1" s="536"/>
      <c r="JKG1" s="536"/>
      <c r="JKH1" s="536"/>
      <c r="JKI1" s="536"/>
      <c r="JKJ1" s="536"/>
      <c r="JKK1" s="536"/>
      <c r="JKL1" s="536"/>
      <c r="JKM1" s="536"/>
      <c r="JKN1" s="536"/>
      <c r="JKO1" s="536"/>
      <c r="JKP1" s="536"/>
      <c r="JKQ1" s="536"/>
      <c r="JKR1" s="536"/>
      <c r="JKS1" s="536"/>
      <c r="JKT1" s="536"/>
      <c r="JKU1" s="536"/>
      <c r="JKV1" s="536"/>
      <c r="JKW1" s="536"/>
      <c r="JKX1" s="536"/>
      <c r="JKY1" s="536"/>
      <c r="JKZ1" s="536"/>
      <c r="JLA1" s="536"/>
      <c r="JLB1" s="536"/>
      <c r="JLC1" s="536"/>
      <c r="JLD1" s="536"/>
      <c r="JLE1" s="536"/>
      <c r="JLF1" s="536"/>
      <c r="JLG1" s="536"/>
      <c r="JLH1" s="536"/>
      <c r="JLI1" s="536"/>
      <c r="JLJ1" s="536"/>
      <c r="JLK1" s="536"/>
      <c r="JLL1" s="536"/>
      <c r="JLM1" s="536"/>
      <c r="JLN1" s="536"/>
      <c r="JLO1" s="536"/>
      <c r="JLP1" s="536"/>
      <c r="JLQ1" s="536"/>
      <c r="JLR1" s="536"/>
      <c r="JLS1" s="536"/>
      <c r="JLT1" s="536"/>
      <c r="JLU1" s="536"/>
      <c r="JLV1" s="536"/>
      <c r="JLW1" s="536"/>
      <c r="JLX1" s="536"/>
      <c r="JLY1" s="536"/>
      <c r="JLZ1" s="536"/>
      <c r="JMA1" s="536"/>
      <c r="JMB1" s="536"/>
      <c r="JMC1" s="536"/>
      <c r="JMD1" s="536"/>
      <c r="JME1" s="536"/>
      <c r="JMF1" s="536"/>
      <c r="JMG1" s="536"/>
      <c r="JMH1" s="536"/>
      <c r="JMI1" s="536"/>
      <c r="JMJ1" s="536"/>
      <c r="JMK1" s="536"/>
      <c r="JML1" s="536"/>
      <c r="JMM1" s="536"/>
      <c r="JMN1" s="536"/>
      <c r="JMO1" s="536"/>
      <c r="JMP1" s="536"/>
      <c r="JMQ1" s="536"/>
      <c r="JMR1" s="536"/>
      <c r="JMS1" s="536"/>
      <c r="JMT1" s="536"/>
      <c r="JMU1" s="536"/>
      <c r="JMV1" s="536"/>
      <c r="JMW1" s="536"/>
      <c r="JMX1" s="536"/>
      <c r="JMY1" s="536"/>
      <c r="JMZ1" s="536"/>
      <c r="JNA1" s="536"/>
      <c r="JNB1" s="536"/>
      <c r="JNC1" s="536"/>
      <c r="JND1" s="536"/>
      <c r="JNE1" s="536"/>
      <c r="JNF1" s="536"/>
      <c r="JNG1" s="536"/>
      <c r="JNH1" s="536"/>
      <c r="JNI1" s="536"/>
      <c r="JNJ1" s="536"/>
      <c r="JNK1" s="536"/>
      <c r="JNL1" s="536"/>
      <c r="JNM1" s="536"/>
      <c r="JNN1" s="536"/>
      <c r="JNO1" s="536"/>
      <c r="JNP1" s="536"/>
      <c r="JNQ1" s="536"/>
      <c r="JNR1" s="536"/>
      <c r="JNS1" s="536"/>
      <c r="JNT1" s="536"/>
      <c r="JNU1" s="536"/>
      <c r="JNV1" s="536"/>
      <c r="JNW1" s="536"/>
      <c r="JNX1" s="536"/>
      <c r="JNY1" s="536"/>
      <c r="JNZ1" s="536"/>
      <c r="JOA1" s="536"/>
      <c r="JOB1" s="536"/>
      <c r="JOC1" s="536"/>
      <c r="JOD1" s="536"/>
      <c r="JOE1" s="536"/>
      <c r="JOF1" s="536"/>
      <c r="JOG1" s="536"/>
      <c r="JOH1" s="536"/>
      <c r="JOI1" s="536"/>
      <c r="JOJ1" s="536"/>
      <c r="JOK1" s="536"/>
      <c r="JOL1" s="536"/>
      <c r="JOM1" s="536"/>
      <c r="JON1" s="536"/>
      <c r="JOO1" s="536"/>
      <c r="JOP1" s="536"/>
      <c r="JOQ1" s="536"/>
      <c r="JOR1" s="536"/>
      <c r="JOS1" s="536"/>
      <c r="JOT1" s="536"/>
      <c r="JOU1" s="536"/>
      <c r="JOV1" s="536"/>
      <c r="JOW1" s="536"/>
      <c r="JOX1" s="536"/>
      <c r="JOY1" s="536"/>
      <c r="JOZ1" s="536"/>
      <c r="JPA1" s="536"/>
      <c r="JPB1" s="536"/>
      <c r="JPC1" s="536"/>
      <c r="JPD1" s="536"/>
      <c r="JPE1" s="536"/>
      <c r="JPF1" s="536"/>
      <c r="JPG1" s="536"/>
      <c r="JPH1" s="536"/>
      <c r="JPI1" s="536"/>
      <c r="JPJ1" s="536"/>
      <c r="JPK1" s="536"/>
      <c r="JPL1" s="536"/>
      <c r="JPM1" s="536"/>
      <c r="JPN1" s="536"/>
      <c r="JPO1" s="536"/>
      <c r="JPP1" s="536"/>
      <c r="JPQ1" s="536"/>
      <c r="JPR1" s="536"/>
      <c r="JPS1" s="536"/>
      <c r="JPT1" s="536"/>
      <c r="JPU1" s="536"/>
      <c r="JPV1" s="536"/>
      <c r="JPW1" s="536"/>
      <c r="JPX1" s="536"/>
      <c r="JPY1" s="536"/>
      <c r="JPZ1" s="536"/>
      <c r="JQA1" s="536"/>
      <c r="JQB1" s="536"/>
      <c r="JQC1" s="536"/>
      <c r="JQD1" s="536"/>
      <c r="JQE1" s="536"/>
      <c r="JQF1" s="536"/>
      <c r="JQG1" s="536"/>
      <c r="JQH1" s="536"/>
      <c r="JQI1" s="536"/>
      <c r="JQJ1" s="536"/>
      <c r="JQK1" s="536"/>
      <c r="JQL1" s="536"/>
      <c r="JQM1" s="536"/>
      <c r="JQN1" s="536"/>
      <c r="JQO1" s="536"/>
      <c r="JQP1" s="536"/>
      <c r="JQQ1" s="536"/>
      <c r="JQR1" s="536"/>
      <c r="JQS1" s="536"/>
      <c r="JQT1" s="536"/>
      <c r="JQU1" s="536"/>
      <c r="JQV1" s="536"/>
      <c r="JQW1" s="536"/>
      <c r="JQX1" s="536"/>
      <c r="JQY1" s="536"/>
      <c r="JQZ1" s="536"/>
      <c r="JRA1" s="536"/>
      <c r="JRB1" s="536"/>
      <c r="JRC1" s="536"/>
      <c r="JRD1" s="536"/>
      <c r="JRE1" s="536"/>
      <c r="JRF1" s="536"/>
      <c r="JRG1" s="536"/>
      <c r="JRH1" s="536"/>
      <c r="JRI1" s="536"/>
      <c r="JRJ1" s="536"/>
      <c r="JRK1" s="536"/>
      <c r="JRL1" s="536"/>
      <c r="JRM1" s="536"/>
      <c r="JRN1" s="536"/>
      <c r="JRO1" s="536"/>
      <c r="JRP1" s="536"/>
      <c r="JRQ1" s="536"/>
      <c r="JRR1" s="536"/>
      <c r="JRS1" s="536"/>
      <c r="JRT1" s="536"/>
      <c r="JRU1" s="536"/>
      <c r="JRV1" s="536"/>
      <c r="JRW1" s="536"/>
      <c r="JRX1" s="536"/>
      <c r="JRY1" s="536"/>
      <c r="JRZ1" s="536"/>
      <c r="JSA1" s="536"/>
      <c r="JSB1" s="536"/>
      <c r="JSC1" s="536"/>
      <c r="JSD1" s="536"/>
      <c r="JSE1" s="536"/>
      <c r="JSF1" s="536"/>
      <c r="JSG1" s="536"/>
      <c r="JSH1" s="536"/>
      <c r="JSI1" s="536"/>
      <c r="JSJ1" s="536"/>
      <c r="JSK1" s="536"/>
      <c r="JSL1" s="536"/>
      <c r="JSM1" s="536"/>
      <c r="JSN1" s="536"/>
      <c r="JSO1" s="536"/>
      <c r="JSP1" s="536"/>
      <c r="JSQ1" s="536"/>
      <c r="JSR1" s="536"/>
      <c r="JSS1" s="536"/>
      <c r="JST1" s="536"/>
      <c r="JSU1" s="536"/>
      <c r="JSV1" s="536"/>
      <c r="JSW1" s="536"/>
      <c r="JSX1" s="536"/>
      <c r="JSY1" s="536"/>
      <c r="JSZ1" s="536"/>
      <c r="JTA1" s="536"/>
      <c r="JTB1" s="536"/>
      <c r="JTC1" s="536"/>
      <c r="JTD1" s="536"/>
      <c r="JTE1" s="536"/>
      <c r="JTF1" s="536"/>
      <c r="JTG1" s="536"/>
      <c r="JTH1" s="536"/>
      <c r="JTI1" s="536"/>
      <c r="JTJ1" s="536"/>
      <c r="JTK1" s="536"/>
      <c r="JTL1" s="536"/>
      <c r="JTM1" s="536"/>
      <c r="JTN1" s="536"/>
      <c r="JTO1" s="536"/>
      <c r="JTP1" s="536"/>
      <c r="JTQ1" s="536"/>
      <c r="JTR1" s="536"/>
      <c r="JTS1" s="536"/>
      <c r="JTT1" s="536"/>
      <c r="JTU1" s="536"/>
      <c r="JTV1" s="536"/>
      <c r="JTW1" s="536"/>
      <c r="JTX1" s="536"/>
      <c r="JTY1" s="536"/>
      <c r="JTZ1" s="536"/>
      <c r="JUA1" s="536"/>
      <c r="JUB1" s="536"/>
      <c r="JUC1" s="536"/>
      <c r="JUD1" s="536"/>
      <c r="JUE1" s="536"/>
      <c r="JUF1" s="536"/>
      <c r="JUG1" s="536"/>
      <c r="JUH1" s="536"/>
      <c r="JUI1" s="536"/>
      <c r="JUJ1" s="536"/>
      <c r="JUK1" s="536"/>
      <c r="JUL1" s="536"/>
      <c r="JUM1" s="536"/>
      <c r="JUN1" s="536"/>
      <c r="JUO1" s="536"/>
      <c r="JUP1" s="536"/>
      <c r="JUQ1" s="536"/>
      <c r="JUR1" s="536"/>
      <c r="JUS1" s="536"/>
      <c r="JUT1" s="536"/>
      <c r="JUU1" s="536"/>
      <c r="JUV1" s="536"/>
      <c r="JUW1" s="536"/>
      <c r="JUX1" s="536"/>
      <c r="JUY1" s="536"/>
      <c r="JUZ1" s="536"/>
      <c r="JVA1" s="536"/>
      <c r="JVB1" s="536"/>
      <c r="JVC1" s="536"/>
      <c r="JVD1" s="536"/>
      <c r="JVE1" s="536"/>
      <c r="JVF1" s="536"/>
      <c r="JVG1" s="536"/>
      <c r="JVH1" s="536"/>
      <c r="JVI1" s="536"/>
      <c r="JVJ1" s="536"/>
      <c r="JVK1" s="536"/>
      <c r="JVL1" s="536"/>
      <c r="JVM1" s="536"/>
      <c r="JVN1" s="536"/>
      <c r="JVO1" s="536"/>
      <c r="JVP1" s="536"/>
      <c r="JVQ1" s="536"/>
      <c r="JVR1" s="536"/>
      <c r="JVS1" s="536"/>
      <c r="JVT1" s="536"/>
      <c r="JVU1" s="536"/>
      <c r="JVV1" s="536"/>
      <c r="JVW1" s="536"/>
      <c r="JVX1" s="536"/>
      <c r="JVY1" s="536"/>
      <c r="JVZ1" s="536"/>
      <c r="JWA1" s="536"/>
      <c r="JWB1" s="536"/>
      <c r="JWC1" s="536"/>
      <c r="JWD1" s="536"/>
      <c r="JWE1" s="536"/>
      <c r="JWF1" s="536"/>
      <c r="JWG1" s="536"/>
      <c r="JWH1" s="536"/>
      <c r="JWI1" s="536"/>
      <c r="JWJ1" s="536"/>
      <c r="JWK1" s="536"/>
      <c r="JWL1" s="536"/>
      <c r="JWM1" s="536"/>
      <c r="JWN1" s="536"/>
      <c r="JWO1" s="536"/>
      <c r="JWP1" s="536"/>
      <c r="JWQ1" s="536"/>
      <c r="JWR1" s="536"/>
      <c r="JWS1" s="536"/>
      <c r="JWT1" s="536"/>
      <c r="JWU1" s="536"/>
      <c r="JWV1" s="536"/>
      <c r="JWW1" s="536"/>
      <c r="JWX1" s="536"/>
      <c r="JWY1" s="536"/>
      <c r="JWZ1" s="536"/>
      <c r="JXA1" s="536"/>
      <c r="JXB1" s="536"/>
      <c r="JXC1" s="536"/>
      <c r="JXD1" s="536"/>
      <c r="JXE1" s="536"/>
      <c r="JXF1" s="536"/>
      <c r="JXG1" s="536"/>
      <c r="JXH1" s="536"/>
      <c r="JXI1" s="536"/>
      <c r="JXJ1" s="536"/>
      <c r="JXK1" s="536"/>
      <c r="JXL1" s="536"/>
      <c r="JXM1" s="536"/>
      <c r="JXN1" s="536"/>
      <c r="JXO1" s="536"/>
      <c r="JXP1" s="536"/>
      <c r="JXQ1" s="536"/>
      <c r="JXR1" s="536"/>
      <c r="JXS1" s="536"/>
      <c r="JXT1" s="536"/>
      <c r="JXU1" s="536"/>
      <c r="JXV1" s="536"/>
      <c r="JXW1" s="536"/>
      <c r="JXX1" s="536"/>
      <c r="JXY1" s="536"/>
      <c r="JXZ1" s="536"/>
      <c r="JYA1" s="536"/>
      <c r="JYB1" s="536"/>
      <c r="JYC1" s="536"/>
      <c r="JYD1" s="536"/>
      <c r="JYE1" s="536"/>
      <c r="JYF1" s="536"/>
      <c r="JYG1" s="536"/>
      <c r="JYH1" s="536"/>
      <c r="JYI1" s="536"/>
      <c r="JYJ1" s="536"/>
      <c r="JYK1" s="536"/>
      <c r="JYL1" s="536"/>
      <c r="JYM1" s="536"/>
      <c r="JYN1" s="536"/>
      <c r="JYO1" s="536"/>
      <c r="JYP1" s="536"/>
      <c r="JYQ1" s="536"/>
      <c r="JYR1" s="536"/>
      <c r="JYS1" s="536"/>
      <c r="JYT1" s="536"/>
      <c r="JYU1" s="536"/>
      <c r="JYV1" s="536"/>
      <c r="JYW1" s="536"/>
      <c r="JYX1" s="536"/>
      <c r="JYY1" s="536"/>
      <c r="JYZ1" s="536"/>
      <c r="JZA1" s="536"/>
      <c r="JZB1" s="536"/>
      <c r="JZC1" s="536"/>
      <c r="JZD1" s="536"/>
      <c r="JZE1" s="536"/>
      <c r="JZF1" s="536"/>
      <c r="JZG1" s="536"/>
      <c r="JZH1" s="536"/>
      <c r="JZI1" s="536"/>
      <c r="JZJ1" s="536"/>
      <c r="JZK1" s="536"/>
      <c r="JZL1" s="536"/>
      <c r="JZM1" s="536"/>
      <c r="JZN1" s="536"/>
      <c r="JZO1" s="536"/>
      <c r="JZP1" s="536"/>
      <c r="JZQ1" s="536"/>
      <c r="JZR1" s="536"/>
      <c r="JZS1" s="536"/>
      <c r="JZT1" s="536"/>
      <c r="JZU1" s="536"/>
      <c r="JZV1" s="536"/>
      <c r="JZW1" s="536"/>
      <c r="JZX1" s="536"/>
      <c r="JZY1" s="536"/>
      <c r="JZZ1" s="536"/>
      <c r="KAA1" s="536"/>
      <c r="KAB1" s="536"/>
      <c r="KAC1" s="536"/>
      <c r="KAD1" s="536"/>
      <c r="KAE1" s="536"/>
      <c r="KAF1" s="536"/>
      <c r="KAG1" s="536"/>
      <c r="KAH1" s="536"/>
      <c r="KAI1" s="536"/>
      <c r="KAJ1" s="536"/>
      <c r="KAK1" s="536"/>
      <c r="KAL1" s="536"/>
      <c r="KAM1" s="536"/>
      <c r="KAN1" s="536"/>
      <c r="KAO1" s="536"/>
      <c r="KAP1" s="536"/>
      <c r="KAQ1" s="536"/>
      <c r="KAR1" s="536"/>
      <c r="KAS1" s="536"/>
      <c r="KAT1" s="536"/>
      <c r="KAU1" s="536"/>
      <c r="KAV1" s="536"/>
      <c r="KAW1" s="536"/>
      <c r="KAX1" s="536"/>
      <c r="KAY1" s="536"/>
      <c r="KAZ1" s="536"/>
      <c r="KBA1" s="536"/>
      <c r="KBB1" s="536"/>
      <c r="KBC1" s="536"/>
      <c r="KBD1" s="536"/>
      <c r="KBE1" s="536"/>
      <c r="KBF1" s="536"/>
      <c r="KBG1" s="536"/>
      <c r="KBH1" s="536"/>
      <c r="KBI1" s="536"/>
      <c r="KBJ1" s="536"/>
      <c r="KBK1" s="536"/>
      <c r="KBL1" s="536"/>
      <c r="KBM1" s="536"/>
      <c r="KBN1" s="536"/>
      <c r="KBO1" s="536"/>
      <c r="KBP1" s="536"/>
      <c r="KBQ1" s="536"/>
      <c r="KBR1" s="536"/>
      <c r="KBS1" s="536"/>
      <c r="KBT1" s="536"/>
      <c r="KBU1" s="536"/>
      <c r="KBV1" s="536"/>
      <c r="KBW1" s="536"/>
      <c r="KBX1" s="536"/>
      <c r="KBY1" s="536"/>
      <c r="KBZ1" s="536"/>
      <c r="KCA1" s="536"/>
      <c r="KCB1" s="536"/>
      <c r="KCC1" s="536"/>
      <c r="KCD1" s="536"/>
      <c r="KCE1" s="536"/>
      <c r="KCF1" s="536"/>
      <c r="KCG1" s="536"/>
      <c r="KCH1" s="536"/>
      <c r="KCI1" s="536"/>
      <c r="KCJ1" s="536"/>
      <c r="KCK1" s="536"/>
      <c r="KCL1" s="536"/>
      <c r="KCM1" s="536"/>
      <c r="KCN1" s="536"/>
      <c r="KCO1" s="536"/>
      <c r="KCP1" s="536"/>
      <c r="KCQ1" s="536"/>
      <c r="KCR1" s="536"/>
      <c r="KCS1" s="536"/>
      <c r="KCT1" s="536"/>
      <c r="KCU1" s="536"/>
      <c r="KCV1" s="536"/>
      <c r="KCW1" s="536"/>
      <c r="KCX1" s="536"/>
      <c r="KCY1" s="536"/>
      <c r="KCZ1" s="536"/>
      <c r="KDA1" s="536"/>
      <c r="KDB1" s="536"/>
      <c r="KDC1" s="536"/>
      <c r="KDD1" s="536"/>
      <c r="KDE1" s="536"/>
      <c r="KDF1" s="536"/>
      <c r="KDG1" s="536"/>
      <c r="KDH1" s="536"/>
      <c r="KDI1" s="536"/>
      <c r="KDJ1" s="536"/>
      <c r="KDK1" s="536"/>
      <c r="KDL1" s="536"/>
      <c r="KDM1" s="536"/>
      <c r="KDN1" s="536"/>
      <c r="KDO1" s="536"/>
      <c r="KDP1" s="536"/>
      <c r="KDQ1" s="536"/>
      <c r="KDR1" s="536"/>
      <c r="KDS1" s="536"/>
      <c r="KDT1" s="536"/>
      <c r="KDU1" s="536"/>
      <c r="KDV1" s="536"/>
      <c r="KDW1" s="536"/>
      <c r="KDX1" s="536"/>
      <c r="KDY1" s="536"/>
      <c r="KDZ1" s="536"/>
      <c r="KEA1" s="536"/>
      <c r="KEB1" s="536"/>
      <c r="KEC1" s="536"/>
      <c r="KED1" s="536"/>
      <c r="KEE1" s="536"/>
      <c r="KEF1" s="536"/>
      <c r="KEG1" s="536"/>
      <c r="KEH1" s="536"/>
      <c r="KEI1" s="536"/>
      <c r="KEJ1" s="536"/>
      <c r="KEK1" s="536"/>
      <c r="KEL1" s="536"/>
      <c r="KEM1" s="536"/>
      <c r="KEN1" s="536"/>
      <c r="KEO1" s="536"/>
      <c r="KEP1" s="536"/>
      <c r="KEQ1" s="536"/>
      <c r="KER1" s="536"/>
      <c r="KES1" s="536"/>
      <c r="KET1" s="536"/>
      <c r="KEU1" s="536"/>
      <c r="KEV1" s="536"/>
      <c r="KEW1" s="536"/>
      <c r="KEX1" s="536"/>
      <c r="KEY1" s="536"/>
      <c r="KEZ1" s="536"/>
      <c r="KFA1" s="536"/>
      <c r="KFB1" s="536"/>
      <c r="KFC1" s="536"/>
      <c r="KFD1" s="536"/>
      <c r="KFE1" s="536"/>
      <c r="KFF1" s="536"/>
      <c r="KFG1" s="536"/>
      <c r="KFH1" s="536"/>
      <c r="KFI1" s="536"/>
      <c r="KFJ1" s="536"/>
      <c r="KFK1" s="536"/>
      <c r="KFL1" s="536"/>
      <c r="KFM1" s="536"/>
      <c r="KFN1" s="536"/>
      <c r="KFO1" s="536"/>
      <c r="KFP1" s="536"/>
      <c r="KFQ1" s="536"/>
      <c r="KFR1" s="536"/>
      <c r="KFS1" s="536"/>
      <c r="KFT1" s="536"/>
      <c r="KFU1" s="536"/>
      <c r="KFV1" s="536"/>
      <c r="KFW1" s="536"/>
      <c r="KFX1" s="536"/>
      <c r="KFY1" s="536"/>
      <c r="KFZ1" s="536"/>
      <c r="KGA1" s="536"/>
      <c r="KGB1" s="536"/>
      <c r="KGC1" s="536"/>
      <c r="KGD1" s="536"/>
      <c r="KGE1" s="536"/>
      <c r="KGF1" s="536"/>
      <c r="KGG1" s="536"/>
      <c r="KGH1" s="536"/>
      <c r="KGI1" s="536"/>
      <c r="KGJ1" s="536"/>
      <c r="KGK1" s="536"/>
      <c r="KGL1" s="536"/>
      <c r="KGM1" s="536"/>
      <c r="KGN1" s="536"/>
      <c r="KGO1" s="536"/>
      <c r="KGP1" s="536"/>
      <c r="KGQ1" s="536"/>
      <c r="KGR1" s="536"/>
      <c r="KGS1" s="536"/>
      <c r="KGT1" s="536"/>
      <c r="KGU1" s="536"/>
      <c r="KGV1" s="536"/>
      <c r="KGW1" s="536"/>
      <c r="KGX1" s="536"/>
      <c r="KGY1" s="536"/>
      <c r="KGZ1" s="536"/>
      <c r="KHA1" s="536"/>
      <c r="KHB1" s="536"/>
      <c r="KHC1" s="536"/>
      <c r="KHD1" s="536"/>
      <c r="KHE1" s="536"/>
      <c r="KHF1" s="536"/>
      <c r="KHG1" s="536"/>
      <c r="KHH1" s="536"/>
      <c r="KHI1" s="536"/>
      <c r="KHJ1" s="536"/>
      <c r="KHK1" s="536"/>
      <c r="KHL1" s="536"/>
      <c r="KHM1" s="536"/>
      <c r="KHN1" s="536"/>
      <c r="KHO1" s="536"/>
      <c r="KHP1" s="536"/>
      <c r="KHQ1" s="536"/>
      <c r="KHR1" s="536"/>
      <c r="KHS1" s="536"/>
      <c r="KHT1" s="536"/>
      <c r="KHU1" s="536"/>
      <c r="KHV1" s="536"/>
      <c r="KHW1" s="536"/>
      <c r="KHX1" s="536"/>
      <c r="KHY1" s="536"/>
      <c r="KHZ1" s="536"/>
      <c r="KIA1" s="536"/>
      <c r="KIB1" s="536"/>
      <c r="KIC1" s="536"/>
      <c r="KID1" s="536"/>
      <c r="KIE1" s="536"/>
      <c r="KIF1" s="536"/>
      <c r="KIG1" s="536"/>
      <c r="KIH1" s="536"/>
      <c r="KII1" s="536"/>
      <c r="KIJ1" s="536"/>
      <c r="KIK1" s="536"/>
      <c r="KIL1" s="536"/>
      <c r="KIM1" s="536"/>
      <c r="KIN1" s="536"/>
      <c r="KIO1" s="536"/>
      <c r="KIP1" s="536"/>
      <c r="KIQ1" s="536"/>
      <c r="KIR1" s="536"/>
      <c r="KIS1" s="536"/>
      <c r="KIT1" s="536"/>
      <c r="KIU1" s="536"/>
      <c r="KIV1" s="536"/>
      <c r="KIW1" s="536"/>
      <c r="KIX1" s="536"/>
      <c r="KIY1" s="536"/>
      <c r="KIZ1" s="536"/>
      <c r="KJA1" s="536"/>
      <c r="KJB1" s="536"/>
      <c r="KJC1" s="536"/>
      <c r="KJD1" s="536"/>
      <c r="KJE1" s="536"/>
      <c r="KJF1" s="536"/>
      <c r="KJG1" s="536"/>
      <c r="KJH1" s="536"/>
      <c r="KJI1" s="536"/>
      <c r="KJJ1" s="536"/>
      <c r="KJK1" s="536"/>
      <c r="KJL1" s="536"/>
      <c r="KJM1" s="536"/>
      <c r="KJN1" s="536"/>
      <c r="KJO1" s="536"/>
      <c r="KJP1" s="536"/>
      <c r="KJQ1" s="536"/>
      <c r="KJR1" s="536"/>
      <c r="KJS1" s="536"/>
      <c r="KJT1" s="536"/>
      <c r="KJU1" s="536"/>
      <c r="KJV1" s="536"/>
      <c r="KJW1" s="536"/>
      <c r="KJX1" s="536"/>
      <c r="KJY1" s="536"/>
      <c r="KJZ1" s="536"/>
      <c r="KKA1" s="536"/>
      <c r="KKB1" s="536"/>
      <c r="KKC1" s="536"/>
      <c r="KKD1" s="536"/>
      <c r="KKE1" s="536"/>
      <c r="KKF1" s="536"/>
      <c r="KKG1" s="536"/>
      <c r="KKH1" s="536"/>
      <c r="KKI1" s="536"/>
      <c r="KKJ1" s="536"/>
      <c r="KKK1" s="536"/>
      <c r="KKL1" s="536"/>
      <c r="KKM1" s="536"/>
      <c r="KKN1" s="536"/>
      <c r="KKO1" s="536"/>
      <c r="KKP1" s="536"/>
      <c r="KKQ1" s="536"/>
      <c r="KKR1" s="536"/>
      <c r="KKS1" s="536"/>
      <c r="KKT1" s="536"/>
      <c r="KKU1" s="536"/>
      <c r="KKV1" s="536"/>
      <c r="KKW1" s="536"/>
      <c r="KKX1" s="536"/>
      <c r="KKY1" s="536"/>
      <c r="KKZ1" s="536"/>
      <c r="KLA1" s="536"/>
      <c r="KLB1" s="536"/>
      <c r="KLC1" s="536"/>
      <c r="KLD1" s="536"/>
      <c r="KLE1" s="536"/>
      <c r="KLF1" s="536"/>
      <c r="KLG1" s="536"/>
      <c r="KLH1" s="536"/>
      <c r="KLI1" s="536"/>
      <c r="KLJ1" s="536"/>
      <c r="KLK1" s="536"/>
      <c r="KLL1" s="536"/>
      <c r="KLM1" s="536"/>
      <c r="KLN1" s="536"/>
      <c r="KLO1" s="536"/>
      <c r="KLP1" s="536"/>
      <c r="KLQ1" s="536"/>
      <c r="KLR1" s="536"/>
      <c r="KLS1" s="536"/>
      <c r="KLT1" s="536"/>
      <c r="KLU1" s="536"/>
      <c r="KLV1" s="536"/>
      <c r="KLW1" s="536"/>
      <c r="KLX1" s="536"/>
      <c r="KLY1" s="536"/>
      <c r="KLZ1" s="536"/>
      <c r="KMA1" s="536"/>
      <c r="KMB1" s="536"/>
      <c r="KMC1" s="536"/>
      <c r="KMD1" s="536"/>
      <c r="KME1" s="536"/>
      <c r="KMF1" s="536"/>
      <c r="KMG1" s="536"/>
      <c r="KMH1" s="536"/>
      <c r="KMI1" s="536"/>
      <c r="KMJ1" s="536"/>
      <c r="KMK1" s="536"/>
      <c r="KML1" s="536"/>
      <c r="KMM1" s="536"/>
      <c r="KMN1" s="536"/>
      <c r="KMO1" s="536"/>
      <c r="KMP1" s="536"/>
      <c r="KMQ1" s="536"/>
      <c r="KMR1" s="536"/>
      <c r="KMS1" s="536"/>
      <c r="KMT1" s="536"/>
      <c r="KMU1" s="536"/>
      <c r="KMV1" s="536"/>
      <c r="KMW1" s="536"/>
      <c r="KMX1" s="536"/>
      <c r="KMY1" s="536"/>
      <c r="KMZ1" s="536"/>
      <c r="KNA1" s="536"/>
      <c r="KNB1" s="536"/>
      <c r="KNC1" s="536"/>
      <c r="KND1" s="536"/>
      <c r="KNE1" s="536"/>
      <c r="KNF1" s="536"/>
      <c r="KNG1" s="536"/>
      <c r="KNH1" s="536"/>
      <c r="KNI1" s="536"/>
      <c r="KNJ1" s="536"/>
      <c r="KNK1" s="536"/>
      <c r="KNL1" s="536"/>
      <c r="KNM1" s="536"/>
      <c r="KNN1" s="536"/>
      <c r="KNO1" s="536"/>
      <c r="KNP1" s="536"/>
      <c r="KNQ1" s="536"/>
      <c r="KNR1" s="536"/>
      <c r="KNS1" s="536"/>
      <c r="KNT1" s="536"/>
      <c r="KNU1" s="536"/>
      <c r="KNV1" s="536"/>
      <c r="KNW1" s="536"/>
      <c r="KNX1" s="536"/>
      <c r="KNY1" s="536"/>
      <c r="KNZ1" s="536"/>
      <c r="KOA1" s="536"/>
      <c r="KOB1" s="536"/>
      <c r="KOC1" s="536"/>
      <c r="KOD1" s="536"/>
      <c r="KOE1" s="536"/>
      <c r="KOF1" s="536"/>
      <c r="KOG1" s="536"/>
      <c r="KOH1" s="536"/>
      <c r="KOI1" s="536"/>
      <c r="KOJ1" s="536"/>
      <c r="KOK1" s="536"/>
      <c r="KOL1" s="536"/>
      <c r="KOM1" s="536"/>
      <c r="KON1" s="536"/>
      <c r="KOO1" s="536"/>
      <c r="KOP1" s="536"/>
      <c r="KOQ1" s="536"/>
      <c r="KOR1" s="536"/>
      <c r="KOS1" s="536"/>
      <c r="KOT1" s="536"/>
      <c r="KOU1" s="536"/>
      <c r="KOV1" s="536"/>
      <c r="KOW1" s="536"/>
      <c r="KOX1" s="536"/>
      <c r="KOY1" s="536"/>
      <c r="KOZ1" s="536"/>
      <c r="KPA1" s="536"/>
      <c r="KPB1" s="536"/>
      <c r="KPC1" s="536"/>
      <c r="KPD1" s="536"/>
      <c r="KPE1" s="536"/>
      <c r="KPF1" s="536"/>
      <c r="KPG1" s="536"/>
      <c r="KPH1" s="536"/>
      <c r="KPI1" s="536"/>
      <c r="KPJ1" s="536"/>
      <c r="KPK1" s="536"/>
      <c r="KPL1" s="536"/>
      <c r="KPM1" s="536"/>
      <c r="KPN1" s="536"/>
      <c r="KPO1" s="536"/>
      <c r="KPP1" s="536"/>
      <c r="KPQ1" s="536"/>
      <c r="KPR1" s="536"/>
      <c r="KPS1" s="536"/>
      <c r="KPT1" s="536"/>
      <c r="KPU1" s="536"/>
      <c r="KPV1" s="536"/>
      <c r="KPW1" s="536"/>
      <c r="KPX1" s="536"/>
      <c r="KPY1" s="536"/>
      <c r="KPZ1" s="536"/>
      <c r="KQA1" s="536"/>
      <c r="KQB1" s="536"/>
      <c r="KQC1" s="536"/>
      <c r="KQD1" s="536"/>
      <c r="KQE1" s="536"/>
      <c r="KQF1" s="536"/>
      <c r="KQG1" s="536"/>
      <c r="KQH1" s="536"/>
      <c r="KQI1" s="536"/>
      <c r="KQJ1" s="536"/>
      <c r="KQK1" s="536"/>
      <c r="KQL1" s="536"/>
      <c r="KQM1" s="536"/>
      <c r="KQN1" s="536"/>
      <c r="KQO1" s="536"/>
      <c r="KQP1" s="536"/>
      <c r="KQQ1" s="536"/>
      <c r="KQR1" s="536"/>
      <c r="KQS1" s="536"/>
      <c r="KQT1" s="536"/>
      <c r="KQU1" s="536"/>
      <c r="KQV1" s="536"/>
      <c r="KQW1" s="536"/>
      <c r="KQX1" s="536"/>
      <c r="KQY1" s="536"/>
      <c r="KQZ1" s="536"/>
      <c r="KRA1" s="536"/>
      <c r="KRB1" s="536"/>
      <c r="KRC1" s="536"/>
      <c r="KRD1" s="536"/>
      <c r="KRE1" s="536"/>
      <c r="KRF1" s="536"/>
      <c r="KRG1" s="536"/>
      <c r="KRH1" s="536"/>
      <c r="KRI1" s="536"/>
      <c r="KRJ1" s="536"/>
      <c r="KRK1" s="536"/>
      <c r="KRL1" s="536"/>
      <c r="KRM1" s="536"/>
      <c r="KRN1" s="536"/>
      <c r="KRO1" s="536"/>
      <c r="KRP1" s="536"/>
      <c r="KRQ1" s="536"/>
      <c r="KRR1" s="536"/>
      <c r="KRS1" s="536"/>
      <c r="KRT1" s="536"/>
      <c r="KRU1" s="536"/>
      <c r="KRV1" s="536"/>
      <c r="KRW1" s="536"/>
      <c r="KRX1" s="536"/>
      <c r="KRY1" s="536"/>
      <c r="KRZ1" s="536"/>
      <c r="KSA1" s="536"/>
      <c r="KSB1" s="536"/>
      <c r="KSC1" s="536"/>
      <c r="KSD1" s="536"/>
      <c r="KSE1" s="536"/>
      <c r="KSF1" s="536"/>
      <c r="KSG1" s="536"/>
      <c r="KSH1" s="536"/>
      <c r="KSI1" s="536"/>
      <c r="KSJ1" s="536"/>
      <c r="KSK1" s="536"/>
      <c r="KSL1" s="536"/>
      <c r="KSM1" s="536"/>
      <c r="KSN1" s="536"/>
      <c r="KSO1" s="536"/>
      <c r="KSP1" s="536"/>
      <c r="KSQ1" s="536"/>
      <c r="KSR1" s="536"/>
      <c r="KSS1" s="536"/>
      <c r="KST1" s="536"/>
      <c r="KSU1" s="536"/>
      <c r="KSV1" s="536"/>
      <c r="KSW1" s="536"/>
      <c r="KSX1" s="536"/>
      <c r="KSY1" s="536"/>
      <c r="KSZ1" s="536"/>
      <c r="KTA1" s="536"/>
      <c r="KTB1" s="536"/>
      <c r="KTC1" s="536"/>
      <c r="KTD1" s="536"/>
      <c r="KTE1" s="536"/>
      <c r="KTF1" s="536"/>
      <c r="KTG1" s="536"/>
      <c r="KTH1" s="536"/>
      <c r="KTI1" s="536"/>
      <c r="KTJ1" s="536"/>
      <c r="KTK1" s="536"/>
      <c r="KTL1" s="536"/>
      <c r="KTM1" s="536"/>
      <c r="KTN1" s="536"/>
      <c r="KTO1" s="536"/>
      <c r="KTP1" s="536"/>
      <c r="KTQ1" s="536"/>
      <c r="KTR1" s="536"/>
      <c r="KTS1" s="536"/>
      <c r="KTT1" s="536"/>
      <c r="KTU1" s="536"/>
      <c r="KTV1" s="536"/>
      <c r="KTW1" s="536"/>
      <c r="KTX1" s="536"/>
      <c r="KTY1" s="536"/>
      <c r="KTZ1" s="536"/>
      <c r="KUA1" s="536"/>
      <c r="KUB1" s="536"/>
      <c r="KUC1" s="536"/>
      <c r="KUD1" s="536"/>
      <c r="KUE1" s="536"/>
      <c r="KUF1" s="536"/>
      <c r="KUG1" s="536"/>
      <c r="KUH1" s="536"/>
      <c r="KUI1" s="536"/>
      <c r="KUJ1" s="536"/>
      <c r="KUK1" s="536"/>
      <c r="KUL1" s="536"/>
      <c r="KUM1" s="536"/>
      <c r="KUN1" s="536"/>
      <c r="KUO1" s="536"/>
      <c r="KUP1" s="536"/>
      <c r="KUQ1" s="536"/>
      <c r="KUR1" s="536"/>
      <c r="KUS1" s="536"/>
      <c r="KUT1" s="536"/>
      <c r="KUU1" s="536"/>
      <c r="KUV1" s="536"/>
      <c r="KUW1" s="536"/>
      <c r="KUX1" s="536"/>
      <c r="KUY1" s="536"/>
      <c r="KUZ1" s="536"/>
      <c r="KVA1" s="536"/>
      <c r="KVB1" s="536"/>
      <c r="KVC1" s="536"/>
      <c r="KVD1" s="536"/>
      <c r="KVE1" s="536"/>
      <c r="KVF1" s="536"/>
      <c r="KVG1" s="536"/>
      <c r="KVH1" s="536"/>
      <c r="KVI1" s="536"/>
      <c r="KVJ1" s="536"/>
      <c r="KVK1" s="536"/>
      <c r="KVL1" s="536"/>
      <c r="KVM1" s="536"/>
      <c r="KVN1" s="536"/>
      <c r="KVO1" s="536"/>
      <c r="KVP1" s="536"/>
      <c r="KVQ1" s="536"/>
      <c r="KVR1" s="536"/>
      <c r="KVS1" s="536"/>
      <c r="KVT1" s="536"/>
      <c r="KVU1" s="536"/>
      <c r="KVV1" s="536"/>
      <c r="KVW1" s="536"/>
      <c r="KVX1" s="536"/>
      <c r="KVY1" s="536"/>
      <c r="KVZ1" s="536"/>
      <c r="KWA1" s="536"/>
      <c r="KWB1" s="536"/>
      <c r="KWC1" s="536"/>
      <c r="KWD1" s="536"/>
      <c r="KWE1" s="536"/>
      <c r="KWF1" s="536"/>
      <c r="KWG1" s="536"/>
      <c r="KWH1" s="536"/>
      <c r="KWI1" s="536"/>
      <c r="KWJ1" s="536"/>
      <c r="KWK1" s="536"/>
      <c r="KWL1" s="536"/>
      <c r="KWM1" s="536"/>
      <c r="KWN1" s="536"/>
      <c r="KWO1" s="536"/>
      <c r="KWP1" s="536"/>
      <c r="KWQ1" s="536"/>
      <c r="KWR1" s="536"/>
      <c r="KWS1" s="536"/>
      <c r="KWT1" s="536"/>
      <c r="KWU1" s="536"/>
      <c r="KWV1" s="536"/>
      <c r="KWW1" s="536"/>
      <c r="KWX1" s="536"/>
      <c r="KWY1" s="536"/>
      <c r="KWZ1" s="536"/>
      <c r="KXA1" s="536"/>
      <c r="KXB1" s="536"/>
      <c r="KXC1" s="536"/>
      <c r="KXD1" s="536"/>
      <c r="KXE1" s="536"/>
      <c r="KXF1" s="536"/>
      <c r="KXG1" s="536"/>
      <c r="KXH1" s="536"/>
      <c r="KXI1" s="536"/>
      <c r="KXJ1" s="536"/>
      <c r="KXK1" s="536"/>
      <c r="KXL1" s="536"/>
      <c r="KXM1" s="536"/>
      <c r="KXN1" s="536"/>
      <c r="KXO1" s="536"/>
      <c r="KXP1" s="536"/>
      <c r="KXQ1" s="536"/>
      <c r="KXR1" s="536"/>
      <c r="KXS1" s="536"/>
      <c r="KXT1" s="536"/>
      <c r="KXU1" s="536"/>
      <c r="KXV1" s="536"/>
      <c r="KXW1" s="536"/>
      <c r="KXX1" s="536"/>
      <c r="KXY1" s="536"/>
      <c r="KXZ1" s="536"/>
      <c r="KYA1" s="536"/>
      <c r="KYB1" s="536"/>
      <c r="KYC1" s="536"/>
      <c r="KYD1" s="536"/>
      <c r="KYE1" s="536"/>
      <c r="KYF1" s="536"/>
      <c r="KYG1" s="536"/>
      <c r="KYH1" s="536"/>
      <c r="KYI1" s="536"/>
      <c r="KYJ1" s="536"/>
      <c r="KYK1" s="536"/>
      <c r="KYL1" s="536"/>
      <c r="KYM1" s="536"/>
      <c r="KYN1" s="536"/>
      <c r="KYO1" s="536"/>
      <c r="KYP1" s="536"/>
      <c r="KYQ1" s="536"/>
      <c r="KYR1" s="536"/>
      <c r="KYS1" s="536"/>
      <c r="KYT1" s="536"/>
      <c r="KYU1" s="536"/>
      <c r="KYV1" s="536"/>
      <c r="KYW1" s="536"/>
      <c r="KYX1" s="536"/>
      <c r="KYY1" s="536"/>
      <c r="KYZ1" s="536"/>
      <c r="KZA1" s="536"/>
      <c r="KZB1" s="536"/>
      <c r="KZC1" s="536"/>
      <c r="KZD1" s="536"/>
      <c r="KZE1" s="536"/>
      <c r="KZF1" s="536"/>
      <c r="KZG1" s="536"/>
      <c r="KZH1" s="536"/>
      <c r="KZI1" s="536"/>
      <c r="KZJ1" s="536"/>
      <c r="KZK1" s="536"/>
      <c r="KZL1" s="536"/>
      <c r="KZM1" s="536"/>
      <c r="KZN1" s="536"/>
      <c r="KZO1" s="536"/>
      <c r="KZP1" s="536"/>
      <c r="KZQ1" s="536"/>
      <c r="KZR1" s="536"/>
      <c r="KZS1" s="536"/>
      <c r="KZT1" s="536"/>
      <c r="KZU1" s="536"/>
      <c r="KZV1" s="536"/>
      <c r="KZW1" s="536"/>
      <c r="KZX1" s="536"/>
      <c r="KZY1" s="536"/>
      <c r="KZZ1" s="536"/>
      <c r="LAA1" s="536"/>
      <c r="LAB1" s="536"/>
      <c r="LAC1" s="536"/>
      <c r="LAD1" s="536"/>
      <c r="LAE1" s="536"/>
      <c r="LAF1" s="536"/>
      <c r="LAG1" s="536"/>
      <c r="LAH1" s="536"/>
      <c r="LAI1" s="536"/>
      <c r="LAJ1" s="536"/>
      <c r="LAK1" s="536"/>
      <c r="LAL1" s="536"/>
      <c r="LAM1" s="536"/>
      <c r="LAN1" s="536"/>
      <c r="LAO1" s="536"/>
      <c r="LAP1" s="536"/>
      <c r="LAQ1" s="536"/>
      <c r="LAR1" s="536"/>
      <c r="LAS1" s="536"/>
      <c r="LAT1" s="536"/>
      <c r="LAU1" s="536"/>
      <c r="LAV1" s="536"/>
      <c r="LAW1" s="536"/>
      <c r="LAX1" s="536"/>
      <c r="LAY1" s="536"/>
      <c r="LAZ1" s="536"/>
      <c r="LBA1" s="536"/>
      <c r="LBB1" s="536"/>
      <c r="LBC1" s="536"/>
      <c r="LBD1" s="536"/>
      <c r="LBE1" s="536"/>
      <c r="LBF1" s="536"/>
      <c r="LBG1" s="536"/>
      <c r="LBH1" s="536"/>
      <c r="LBI1" s="536"/>
      <c r="LBJ1" s="536"/>
      <c r="LBK1" s="536"/>
      <c r="LBL1" s="536"/>
      <c r="LBM1" s="536"/>
      <c r="LBN1" s="536"/>
      <c r="LBO1" s="536"/>
      <c r="LBP1" s="536"/>
      <c r="LBQ1" s="536"/>
      <c r="LBR1" s="536"/>
      <c r="LBS1" s="536"/>
      <c r="LBT1" s="536"/>
      <c r="LBU1" s="536"/>
      <c r="LBV1" s="536"/>
      <c r="LBW1" s="536"/>
      <c r="LBX1" s="536"/>
      <c r="LBY1" s="536"/>
      <c r="LBZ1" s="536"/>
      <c r="LCA1" s="536"/>
      <c r="LCB1" s="536"/>
      <c r="LCC1" s="536"/>
      <c r="LCD1" s="536"/>
      <c r="LCE1" s="536"/>
      <c r="LCF1" s="536"/>
      <c r="LCG1" s="536"/>
      <c r="LCH1" s="536"/>
      <c r="LCI1" s="536"/>
      <c r="LCJ1" s="536"/>
      <c r="LCK1" s="536"/>
      <c r="LCL1" s="536"/>
      <c r="LCM1" s="536"/>
      <c r="LCN1" s="536"/>
      <c r="LCO1" s="536"/>
      <c r="LCP1" s="536"/>
      <c r="LCQ1" s="536"/>
      <c r="LCR1" s="536"/>
      <c r="LCS1" s="536"/>
      <c r="LCT1" s="536"/>
      <c r="LCU1" s="536"/>
      <c r="LCV1" s="536"/>
      <c r="LCW1" s="536"/>
      <c r="LCX1" s="536"/>
      <c r="LCY1" s="536"/>
      <c r="LCZ1" s="536"/>
      <c r="LDA1" s="536"/>
      <c r="LDB1" s="536"/>
      <c r="LDC1" s="536"/>
      <c r="LDD1" s="536"/>
      <c r="LDE1" s="536"/>
      <c r="LDF1" s="536"/>
      <c r="LDG1" s="536"/>
      <c r="LDH1" s="536"/>
      <c r="LDI1" s="536"/>
      <c r="LDJ1" s="536"/>
      <c r="LDK1" s="536"/>
      <c r="LDL1" s="536"/>
      <c r="LDM1" s="536"/>
      <c r="LDN1" s="536"/>
      <c r="LDO1" s="536"/>
      <c r="LDP1" s="536"/>
      <c r="LDQ1" s="536"/>
      <c r="LDR1" s="536"/>
      <c r="LDS1" s="536"/>
      <c r="LDT1" s="536"/>
      <c r="LDU1" s="536"/>
      <c r="LDV1" s="536"/>
      <c r="LDW1" s="536"/>
      <c r="LDX1" s="536"/>
      <c r="LDY1" s="536"/>
      <c r="LDZ1" s="536"/>
      <c r="LEA1" s="536"/>
      <c r="LEB1" s="536"/>
      <c r="LEC1" s="536"/>
      <c r="LED1" s="536"/>
      <c r="LEE1" s="536"/>
      <c r="LEF1" s="536"/>
      <c r="LEG1" s="536"/>
      <c r="LEH1" s="536"/>
      <c r="LEI1" s="536"/>
      <c r="LEJ1" s="536"/>
      <c r="LEK1" s="536"/>
      <c r="LEL1" s="536"/>
      <c r="LEM1" s="536"/>
      <c r="LEN1" s="536"/>
      <c r="LEO1" s="536"/>
      <c r="LEP1" s="536"/>
      <c r="LEQ1" s="536"/>
      <c r="LER1" s="536"/>
      <c r="LES1" s="536"/>
      <c r="LET1" s="536"/>
      <c r="LEU1" s="536"/>
      <c r="LEV1" s="536"/>
      <c r="LEW1" s="536"/>
      <c r="LEX1" s="536"/>
      <c r="LEY1" s="536"/>
      <c r="LEZ1" s="536"/>
      <c r="LFA1" s="536"/>
      <c r="LFB1" s="536"/>
      <c r="LFC1" s="536"/>
      <c r="LFD1" s="536"/>
      <c r="LFE1" s="536"/>
      <c r="LFF1" s="536"/>
      <c r="LFG1" s="536"/>
      <c r="LFH1" s="536"/>
      <c r="LFI1" s="536"/>
      <c r="LFJ1" s="536"/>
      <c r="LFK1" s="536"/>
      <c r="LFL1" s="536"/>
      <c r="LFM1" s="536"/>
      <c r="LFN1" s="536"/>
      <c r="LFO1" s="536"/>
      <c r="LFP1" s="536"/>
      <c r="LFQ1" s="536"/>
      <c r="LFR1" s="536"/>
      <c r="LFS1" s="536"/>
      <c r="LFT1" s="536"/>
      <c r="LFU1" s="536"/>
      <c r="LFV1" s="536"/>
      <c r="LFW1" s="536"/>
      <c r="LFX1" s="536"/>
      <c r="LFY1" s="536"/>
      <c r="LFZ1" s="536"/>
      <c r="LGA1" s="536"/>
      <c r="LGB1" s="536"/>
      <c r="LGC1" s="536"/>
      <c r="LGD1" s="536"/>
      <c r="LGE1" s="536"/>
      <c r="LGF1" s="536"/>
      <c r="LGG1" s="536"/>
      <c r="LGH1" s="536"/>
      <c r="LGI1" s="536"/>
      <c r="LGJ1" s="536"/>
      <c r="LGK1" s="536"/>
      <c r="LGL1" s="536"/>
      <c r="LGM1" s="536"/>
      <c r="LGN1" s="536"/>
      <c r="LGO1" s="536"/>
      <c r="LGP1" s="536"/>
      <c r="LGQ1" s="536"/>
      <c r="LGR1" s="536"/>
      <c r="LGS1" s="536"/>
      <c r="LGT1" s="536"/>
      <c r="LGU1" s="536"/>
      <c r="LGV1" s="536"/>
      <c r="LGW1" s="536"/>
      <c r="LGX1" s="536"/>
      <c r="LGY1" s="536"/>
      <c r="LGZ1" s="536"/>
      <c r="LHA1" s="536"/>
      <c r="LHB1" s="536"/>
      <c r="LHC1" s="536"/>
      <c r="LHD1" s="536"/>
      <c r="LHE1" s="536"/>
      <c r="LHF1" s="536"/>
      <c r="LHG1" s="536"/>
      <c r="LHH1" s="536"/>
      <c r="LHI1" s="536"/>
      <c r="LHJ1" s="536"/>
      <c r="LHK1" s="536"/>
      <c r="LHL1" s="536"/>
      <c r="LHM1" s="536"/>
      <c r="LHN1" s="536"/>
      <c r="LHO1" s="536"/>
      <c r="LHP1" s="536"/>
      <c r="LHQ1" s="536"/>
      <c r="LHR1" s="536"/>
      <c r="LHS1" s="536"/>
      <c r="LHT1" s="536"/>
      <c r="LHU1" s="536"/>
      <c r="LHV1" s="536"/>
      <c r="LHW1" s="536"/>
      <c r="LHX1" s="536"/>
      <c r="LHY1" s="536"/>
      <c r="LHZ1" s="536"/>
      <c r="LIA1" s="536"/>
      <c r="LIB1" s="536"/>
      <c r="LIC1" s="536"/>
      <c r="LID1" s="536"/>
      <c r="LIE1" s="536"/>
      <c r="LIF1" s="536"/>
      <c r="LIG1" s="536"/>
      <c r="LIH1" s="536"/>
      <c r="LII1" s="536"/>
      <c r="LIJ1" s="536"/>
      <c r="LIK1" s="536"/>
      <c r="LIL1" s="536"/>
      <c r="LIM1" s="536"/>
      <c r="LIN1" s="536"/>
      <c r="LIO1" s="536"/>
      <c r="LIP1" s="536"/>
      <c r="LIQ1" s="536"/>
      <c r="LIR1" s="536"/>
      <c r="LIS1" s="536"/>
      <c r="LIT1" s="536"/>
      <c r="LIU1" s="536"/>
      <c r="LIV1" s="536"/>
      <c r="LIW1" s="536"/>
      <c r="LIX1" s="536"/>
      <c r="LIY1" s="536"/>
      <c r="LIZ1" s="536"/>
      <c r="LJA1" s="536"/>
      <c r="LJB1" s="536"/>
      <c r="LJC1" s="536"/>
      <c r="LJD1" s="536"/>
      <c r="LJE1" s="536"/>
      <c r="LJF1" s="536"/>
      <c r="LJG1" s="536"/>
      <c r="LJH1" s="536"/>
      <c r="LJI1" s="536"/>
      <c r="LJJ1" s="536"/>
      <c r="LJK1" s="536"/>
      <c r="LJL1" s="536"/>
      <c r="LJM1" s="536"/>
      <c r="LJN1" s="536"/>
      <c r="LJO1" s="536"/>
      <c r="LJP1" s="536"/>
      <c r="LJQ1" s="536"/>
      <c r="LJR1" s="536"/>
      <c r="LJS1" s="536"/>
      <c r="LJT1" s="536"/>
      <c r="LJU1" s="536"/>
      <c r="LJV1" s="536"/>
      <c r="LJW1" s="536"/>
      <c r="LJX1" s="536"/>
      <c r="LJY1" s="536"/>
      <c r="LJZ1" s="536"/>
      <c r="LKA1" s="536"/>
      <c r="LKB1" s="536"/>
      <c r="LKC1" s="536"/>
      <c r="LKD1" s="536"/>
      <c r="LKE1" s="536"/>
      <c r="LKF1" s="536"/>
      <c r="LKG1" s="536"/>
      <c r="LKH1" s="536"/>
      <c r="LKI1" s="536"/>
      <c r="LKJ1" s="536"/>
      <c r="LKK1" s="536"/>
      <c r="LKL1" s="536"/>
      <c r="LKM1" s="536"/>
      <c r="LKN1" s="536"/>
      <c r="LKO1" s="536"/>
      <c r="LKP1" s="536"/>
      <c r="LKQ1" s="536"/>
      <c r="LKR1" s="536"/>
      <c r="LKS1" s="536"/>
      <c r="LKT1" s="536"/>
      <c r="LKU1" s="536"/>
      <c r="LKV1" s="536"/>
      <c r="LKW1" s="536"/>
      <c r="LKX1" s="536"/>
      <c r="LKY1" s="536"/>
      <c r="LKZ1" s="536"/>
      <c r="LLA1" s="536"/>
      <c r="LLB1" s="536"/>
      <c r="LLC1" s="536"/>
      <c r="LLD1" s="536"/>
      <c r="LLE1" s="536"/>
      <c r="LLF1" s="536"/>
      <c r="LLG1" s="536"/>
      <c r="LLH1" s="536"/>
      <c r="LLI1" s="536"/>
      <c r="LLJ1" s="536"/>
      <c r="LLK1" s="536"/>
      <c r="LLL1" s="536"/>
      <c r="LLM1" s="536"/>
      <c r="LLN1" s="536"/>
      <c r="LLO1" s="536"/>
      <c r="LLP1" s="536"/>
      <c r="LLQ1" s="536"/>
      <c r="LLR1" s="536"/>
      <c r="LLS1" s="536"/>
      <c r="LLT1" s="536"/>
      <c r="LLU1" s="536"/>
      <c r="LLV1" s="536"/>
      <c r="LLW1" s="536"/>
      <c r="LLX1" s="536"/>
      <c r="LLY1" s="536"/>
      <c r="LLZ1" s="536"/>
      <c r="LMA1" s="536"/>
      <c r="LMB1" s="536"/>
      <c r="LMC1" s="536"/>
      <c r="LMD1" s="536"/>
      <c r="LME1" s="536"/>
      <c r="LMF1" s="536"/>
      <c r="LMG1" s="536"/>
      <c r="LMH1" s="536"/>
      <c r="LMI1" s="536"/>
      <c r="LMJ1" s="536"/>
      <c r="LMK1" s="536"/>
      <c r="LML1" s="536"/>
      <c r="LMM1" s="536"/>
      <c r="LMN1" s="536"/>
      <c r="LMO1" s="536"/>
      <c r="LMP1" s="536"/>
      <c r="LMQ1" s="536"/>
      <c r="LMR1" s="536"/>
      <c r="LMS1" s="536"/>
      <c r="LMT1" s="536"/>
      <c r="LMU1" s="536"/>
      <c r="LMV1" s="536"/>
      <c r="LMW1" s="536"/>
      <c r="LMX1" s="536"/>
      <c r="LMY1" s="536"/>
      <c r="LMZ1" s="536"/>
      <c r="LNA1" s="536"/>
      <c r="LNB1" s="536"/>
      <c r="LNC1" s="536"/>
      <c r="LND1" s="536"/>
      <c r="LNE1" s="536"/>
      <c r="LNF1" s="536"/>
      <c r="LNG1" s="536"/>
      <c r="LNH1" s="536"/>
      <c r="LNI1" s="536"/>
      <c r="LNJ1" s="536"/>
      <c r="LNK1" s="536"/>
      <c r="LNL1" s="536"/>
      <c r="LNM1" s="536"/>
      <c r="LNN1" s="536"/>
      <c r="LNO1" s="536"/>
      <c r="LNP1" s="536"/>
      <c r="LNQ1" s="536"/>
      <c r="LNR1" s="536"/>
      <c r="LNS1" s="536"/>
      <c r="LNT1" s="536"/>
      <c r="LNU1" s="536"/>
      <c r="LNV1" s="536"/>
      <c r="LNW1" s="536"/>
      <c r="LNX1" s="536"/>
      <c r="LNY1" s="536"/>
      <c r="LNZ1" s="536"/>
      <c r="LOA1" s="536"/>
      <c r="LOB1" s="536"/>
      <c r="LOC1" s="536"/>
      <c r="LOD1" s="536"/>
      <c r="LOE1" s="536"/>
      <c r="LOF1" s="536"/>
      <c r="LOG1" s="536"/>
      <c r="LOH1" s="536"/>
      <c r="LOI1" s="536"/>
      <c r="LOJ1" s="536"/>
      <c r="LOK1" s="536"/>
      <c r="LOL1" s="536"/>
      <c r="LOM1" s="536"/>
      <c r="LON1" s="536"/>
      <c r="LOO1" s="536"/>
      <c r="LOP1" s="536"/>
      <c r="LOQ1" s="536"/>
      <c r="LOR1" s="536"/>
      <c r="LOS1" s="536"/>
      <c r="LOT1" s="536"/>
      <c r="LOU1" s="536"/>
      <c r="LOV1" s="536"/>
      <c r="LOW1" s="536"/>
      <c r="LOX1" s="536"/>
      <c r="LOY1" s="536"/>
      <c r="LOZ1" s="536"/>
      <c r="LPA1" s="536"/>
      <c r="LPB1" s="536"/>
      <c r="LPC1" s="536"/>
      <c r="LPD1" s="536"/>
      <c r="LPE1" s="536"/>
      <c r="LPF1" s="536"/>
      <c r="LPG1" s="536"/>
      <c r="LPH1" s="536"/>
      <c r="LPI1" s="536"/>
      <c r="LPJ1" s="536"/>
      <c r="LPK1" s="536"/>
      <c r="LPL1" s="536"/>
      <c r="LPM1" s="536"/>
      <c r="LPN1" s="536"/>
      <c r="LPO1" s="536"/>
      <c r="LPP1" s="536"/>
      <c r="LPQ1" s="536"/>
      <c r="LPR1" s="536"/>
      <c r="LPS1" s="536"/>
      <c r="LPT1" s="536"/>
      <c r="LPU1" s="536"/>
      <c r="LPV1" s="536"/>
      <c r="LPW1" s="536"/>
      <c r="LPX1" s="536"/>
      <c r="LPY1" s="536"/>
      <c r="LPZ1" s="536"/>
      <c r="LQA1" s="536"/>
      <c r="LQB1" s="536"/>
      <c r="LQC1" s="536"/>
      <c r="LQD1" s="536"/>
      <c r="LQE1" s="536"/>
      <c r="LQF1" s="536"/>
      <c r="LQG1" s="536"/>
      <c r="LQH1" s="536"/>
      <c r="LQI1" s="536"/>
      <c r="LQJ1" s="536"/>
      <c r="LQK1" s="536"/>
      <c r="LQL1" s="536"/>
      <c r="LQM1" s="536"/>
      <c r="LQN1" s="536"/>
      <c r="LQO1" s="536"/>
      <c r="LQP1" s="536"/>
      <c r="LQQ1" s="536"/>
      <c r="LQR1" s="536"/>
      <c r="LQS1" s="536"/>
      <c r="LQT1" s="536"/>
      <c r="LQU1" s="536"/>
      <c r="LQV1" s="536"/>
      <c r="LQW1" s="536"/>
      <c r="LQX1" s="536"/>
      <c r="LQY1" s="536"/>
      <c r="LQZ1" s="536"/>
      <c r="LRA1" s="536"/>
      <c r="LRB1" s="536"/>
      <c r="LRC1" s="536"/>
      <c r="LRD1" s="536"/>
      <c r="LRE1" s="536"/>
      <c r="LRF1" s="536"/>
      <c r="LRG1" s="536"/>
      <c r="LRH1" s="536"/>
      <c r="LRI1" s="536"/>
      <c r="LRJ1" s="536"/>
      <c r="LRK1" s="536"/>
      <c r="LRL1" s="536"/>
      <c r="LRM1" s="536"/>
      <c r="LRN1" s="536"/>
      <c r="LRO1" s="536"/>
      <c r="LRP1" s="536"/>
      <c r="LRQ1" s="536"/>
      <c r="LRR1" s="536"/>
      <c r="LRS1" s="536"/>
      <c r="LRT1" s="536"/>
      <c r="LRU1" s="536"/>
      <c r="LRV1" s="536"/>
      <c r="LRW1" s="536"/>
      <c r="LRX1" s="536"/>
      <c r="LRY1" s="536"/>
      <c r="LRZ1" s="536"/>
      <c r="LSA1" s="536"/>
      <c r="LSB1" s="536"/>
      <c r="LSC1" s="536"/>
      <c r="LSD1" s="536"/>
      <c r="LSE1" s="536"/>
      <c r="LSF1" s="536"/>
      <c r="LSG1" s="536"/>
      <c r="LSH1" s="536"/>
      <c r="LSI1" s="536"/>
      <c r="LSJ1" s="536"/>
      <c r="LSK1" s="536"/>
      <c r="LSL1" s="536"/>
      <c r="LSM1" s="536"/>
      <c r="LSN1" s="536"/>
      <c r="LSO1" s="536"/>
      <c r="LSP1" s="536"/>
      <c r="LSQ1" s="536"/>
      <c r="LSR1" s="536"/>
      <c r="LSS1" s="536"/>
      <c r="LST1" s="536"/>
      <c r="LSU1" s="536"/>
      <c r="LSV1" s="536"/>
      <c r="LSW1" s="536"/>
      <c r="LSX1" s="536"/>
      <c r="LSY1" s="536"/>
      <c r="LSZ1" s="536"/>
      <c r="LTA1" s="536"/>
      <c r="LTB1" s="536"/>
      <c r="LTC1" s="536"/>
      <c r="LTD1" s="536"/>
      <c r="LTE1" s="536"/>
      <c r="LTF1" s="536"/>
      <c r="LTG1" s="536"/>
      <c r="LTH1" s="536"/>
      <c r="LTI1" s="536"/>
      <c r="LTJ1" s="536"/>
      <c r="LTK1" s="536"/>
      <c r="LTL1" s="536"/>
      <c r="LTM1" s="536"/>
      <c r="LTN1" s="536"/>
      <c r="LTO1" s="536"/>
      <c r="LTP1" s="536"/>
      <c r="LTQ1" s="536"/>
      <c r="LTR1" s="536"/>
      <c r="LTS1" s="536"/>
      <c r="LTT1" s="536"/>
      <c r="LTU1" s="536"/>
      <c r="LTV1" s="536"/>
      <c r="LTW1" s="536"/>
      <c r="LTX1" s="536"/>
      <c r="LTY1" s="536"/>
      <c r="LTZ1" s="536"/>
      <c r="LUA1" s="536"/>
      <c r="LUB1" s="536"/>
      <c r="LUC1" s="536"/>
      <c r="LUD1" s="536"/>
      <c r="LUE1" s="536"/>
      <c r="LUF1" s="536"/>
      <c r="LUG1" s="536"/>
      <c r="LUH1" s="536"/>
      <c r="LUI1" s="536"/>
      <c r="LUJ1" s="536"/>
      <c r="LUK1" s="536"/>
      <c r="LUL1" s="536"/>
      <c r="LUM1" s="536"/>
      <c r="LUN1" s="536"/>
      <c r="LUO1" s="536"/>
      <c r="LUP1" s="536"/>
      <c r="LUQ1" s="536"/>
      <c r="LUR1" s="536"/>
      <c r="LUS1" s="536"/>
      <c r="LUT1" s="536"/>
      <c r="LUU1" s="536"/>
      <c r="LUV1" s="536"/>
      <c r="LUW1" s="536"/>
      <c r="LUX1" s="536"/>
      <c r="LUY1" s="536"/>
      <c r="LUZ1" s="536"/>
      <c r="LVA1" s="536"/>
      <c r="LVB1" s="536"/>
      <c r="LVC1" s="536"/>
      <c r="LVD1" s="536"/>
      <c r="LVE1" s="536"/>
      <c r="LVF1" s="536"/>
      <c r="LVG1" s="536"/>
      <c r="LVH1" s="536"/>
      <c r="LVI1" s="536"/>
      <c r="LVJ1" s="536"/>
      <c r="LVK1" s="536"/>
      <c r="LVL1" s="536"/>
      <c r="LVM1" s="536"/>
      <c r="LVN1" s="536"/>
      <c r="LVO1" s="536"/>
      <c r="LVP1" s="536"/>
      <c r="LVQ1" s="536"/>
      <c r="LVR1" s="536"/>
      <c r="LVS1" s="536"/>
      <c r="LVT1" s="536"/>
      <c r="LVU1" s="536"/>
      <c r="LVV1" s="536"/>
      <c r="LVW1" s="536"/>
      <c r="LVX1" s="536"/>
      <c r="LVY1" s="536"/>
      <c r="LVZ1" s="536"/>
      <c r="LWA1" s="536"/>
      <c r="LWB1" s="536"/>
      <c r="LWC1" s="536"/>
      <c r="LWD1" s="536"/>
      <c r="LWE1" s="536"/>
      <c r="LWF1" s="536"/>
      <c r="LWG1" s="536"/>
      <c r="LWH1" s="536"/>
      <c r="LWI1" s="536"/>
      <c r="LWJ1" s="536"/>
      <c r="LWK1" s="536"/>
      <c r="LWL1" s="536"/>
      <c r="LWM1" s="536"/>
      <c r="LWN1" s="536"/>
      <c r="LWO1" s="536"/>
      <c r="LWP1" s="536"/>
      <c r="LWQ1" s="536"/>
      <c r="LWR1" s="536"/>
      <c r="LWS1" s="536"/>
      <c r="LWT1" s="536"/>
      <c r="LWU1" s="536"/>
      <c r="LWV1" s="536"/>
      <c r="LWW1" s="536"/>
      <c r="LWX1" s="536"/>
      <c r="LWY1" s="536"/>
      <c r="LWZ1" s="536"/>
      <c r="LXA1" s="536"/>
      <c r="LXB1" s="536"/>
      <c r="LXC1" s="536"/>
      <c r="LXD1" s="536"/>
      <c r="LXE1" s="536"/>
      <c r="LXF1" s="536"/>
      <c r="LXG1" s="536"/>
      <c r="LXH1" s="536"/>
      <c r="LXI1" s="536"/>
      <c r="LXJ1" s="536"/>
      <c r="LXK1" s="536"/>
      <c r="LXL1" s="536"/>
      <c r="LXM1" s="536"/>
      <c r="LXN1" s="536"/>
      <c r="LXO1" s="536"/>
      <c r="LXP1" s="536"/>
      <c r="LXQ1" s="536"/>
      <c r="LXR1" s="536"/>
      <c r="LXS1" s="536"/>
      <c r="LXT1" s="536"/>
      <c r="LXU1" s="536"/>
      <c r="LXV1" s="536"/>
      <c r="LXW1" s="536"/>
      <c r="LXX1" s="536"/>
      <c r="LXY1" s="536"/>
      <c r="LXZ1" s="536"/>
      <c r="LYA1" s="536"/>
      <c r="LYB1" s="536"/>
      <c r="LYC1" s="536"/>
      <c r="LYD1" s="536"/>
      <c r="LYE1" s="536"/>
      <c r="LYF1" s="536"/>
      <c r="LYG1" s="536"/>
      <c r="LYH1" s="536"/>
      <c r="LYI1" s="536"/>
      <c r="LYJ1" s="536"/>
      <c r="LYK1" s="536"/>
      <c r="LYL1" s="536"/>
      <c r="LYM1" s="536"/>
      <c r="LYN1" s="536"/>
      <c r="LYO1" s="536"/>
      <c r="LYP1" s="536"/>
      <c r="LYQ1" s="536"/>
      <c r="LYR1" s="536"/>
      <c r="LYS1" s="536"/>
      <c r="LYT1" s="536"/>
      <c r="LYU1" s="536"/>
      <c r="LYV1" s="536"/>
      <c r="LYW1" s="536"/>
      <c r="LYX1" s="536"/>
      <c r="LYY1" s="536"/>
      <c r="LYZ1" s="536"/>
      <c r="LZA1" s="536"/>
      <c r="LZB1" s="536"/>
      <c r="LZC1" s="536"/>
      <c r="LZD1" s="536"/>
      <c r="LZE1" s="536"/>
      <c r="LZF1" s="536"/>
      <c r="LZG1" s="536"/>
      <c r="LZH1" s="536"/>
      <c r="LZI1" s="536"/>
      <c r="LZJ1" s="536"/>
      <c r="LZK1" s="536"/>
      <c r="LZL1" s="536"/>
      <c r="LZM1" s="536"/>
      <c r="LZN1" s="536"/>
      <c r="LZO1" s="536"/>
      <c r="LZP1" s="536"/>
      <c r="LZQ1" s="536"/>
      <c r="LZR1" s="536"/>
      <c r="LZS1" s="536"/>
      <c r="LZT1" s="536"/>
      <c r="LZU1" s="536"/>
      <c r="LZV1" s="536"/>
      <c r="LZW1" s="536"/>
      <c r="LZX1" s="536"/>
      <c r="LZY1" s="536"/>
      <c r="LZZ1" s="536"/>
      <c r="MAA1" s="536"/>
      <c r="MAB1" s="536"/>
      <c r="MAC1" s="536"/>
      <c r="MAD1" s="536"/>
      <c r="MAE1" s="536"/>
      <c r="MAF1" s="536"/>
      <c r="MAG1" s="536"/>
      <c r="MAH1" s="536"/>
      <c r="MAI1" s="536"/>
      <c r="MAJ1" s="536"/>
      <c r="MAK1" s="536"/>
      <c r="MAL1" s="536"/>
      <c r="MAM1" s="536"/>
      <c r="MAN1" s="536"/>
      <c r="MAO1" s="536"/>
      <c r="MAP1" s="536"/>
      <c r="MAQ1" s="536"/>
      <c r="MAR1" s="536"/>
      <c r="MAS1" s="536"/>
      <c r="MAT1" s="536"/>
      <c r="MAU1" s="536"/>
      <c r="MAV1" s="536"/>
      <c r="MAW1" s="536"/>
      <c r="MAX1" s="536"/>
      <c r="MAY1" s="536"/>
      <c r="MAZ1" s="536"/>
      <c r="MBA1" s="536"/>
      <c r="MBB1" s="536"/>
      <c r="MBC1" s="536"/>
      <c r="MBD1" s="536"/>
      <c r="MBE1" s="536"/>
      <c r="MBF1" s="536"/>
      <c r="MBG1" s="536"/>
      <c r="MBH1" s="536"/>
      <c r="MBI1" s="536"/>
      <c r="MBJ1" s="536"/>
      <c r="MBK1" s="536"/>
      <c r="MBL1" s="536"/>
      <c r="MBM1" s="536"/>
      <c r="MBN1" s="536"/>
      <c r="MBO1" s="536"/>
      <c r="MBP1" s="536"/>
      <c r="MBQ1" s="536"/>
      <c r="MBR1" s="536"/>
      <c r="MBS1" s="536"/>
      <c r="MBT1" s="536"/>
      <c r="MBU1" s="536"/>
      <c r="MBV1" s="536"/>
      <c r="MBW1" s="536"/>
      <c r="MBX1" s="536"/>
      <c r="MBY1" s="536"/>
      <c r="MBZ1" s="536"/>
      <c r="MCA1" s="536"/>
      <c r="MCB1" s="536"/>
      <c r="MCC1" s="536"/>
      <c r="MCD1" s="536"/>
      <c r="MCE1" s="536"/>
      <c r="MCF1" s="536"/>
      <c r="MCG1" s="536"/>
      <c r="MCH1" s="536"/>
      <c r="MCI1" s="536"/>
      <c r="MCJ1" s="536"/>
      <c r="MCK1" s="536"/>
      <c r="MCL1" s="536"/>
      <c r="MCM1" s="536"/>
      <c r="MCN1" s="536"/>
      <c r="MCO1" s="536"/>
      <c r="MCP1" s="536"/>
      <c r="MCQ1" s="536"/>
      <c r="MCR1" s="536"/>
      <c r="MCS1" s="536"/>
      <c r="MCT1" s="536"/>
      <c r="MCU1" s="536"/>
      <c r="MCV1" s="536"/>
      <c r="MCW1" s="536"/>
      <c r="MCX1" s="536"/>
      <c r="MCY1" s="536"/>
      <c r="MCZ1" s="536"/>
      <c r="MDA1" s="536"/>
      <c r="MDB1" s="536"/>
      <c r="MDC1" s="536"/>
      <c r="MDD1" s="536"/>
      <c r="MDE1" s="536"/>
      <c r="MDF1" s="536"/>
      <c r="MDG1" s="536"/>
      <c r="MDH1" s="536"/>
      <c r="MDI1" s="536"/>
      <c r="MDJ1" s="536"/>
      <c r="MDK1" s="536"/>
      <c r="MDL1" s="536"/>
      <c r="MDM1" s="536"/>
      <c r="MDN1" s="536"/>
      <c r="MDO1" s="536"/>
      <c r="MDP1" s="536"/>
      <c r="MDQ1" s="536"/>
      <c r="MDR1" s="536"/>
      <c r="MDS1" s="536"/>
      <c r="MDT1" s="536"/>
      <c r="MDU1" s="536"/>
      <c r="MDV1" s="536"/>
      <c r="MDW1" s="536"/>
      <c r="MDX1" s="536"/>
      <c r="MDY1" s="536"/>
      <c r="MDZ1" s="536"/>
      <c r="MEA1" s="536"/>
      <c r="MEB1" s="536"/>
      <c r="MEC1" s="536"/>
      <c r="MED1" s="536"/>
      <c r="MEE1" s="536"/>
      <c r="MEF1" s="536"/>
      <c r="MEG1" s="536"/>
      <c r="MEH1" s="536"/>
      <c r="MEI1" s="536"/>
      <c r="MEJ1" s="536"/>
      <c r="MEK1" s="536"/>
      <c r="MEL1" s="536"/>
      <c r="MEM1" s="536"/>
      <c r="MEN1" s="536"/>
      <c r="MEO1" s="536"/>
      <c r="MEP1" s="536"/>
      <c r="MEQ1" s="536"/>
      <c r="MER1" s="536"/>
      <c r="MES1" s="536"/>
      <c r="MET1" s="536"/>
      <c r="MEU1" s="536"/>
      <c r="MEV1" s="536"/>
      <c r="MEW1" s="536"/>
      <c r="MEX1" s="536"/>
      <c r="MEY1" s="536"/>
      <c r="MEZ1" s="536"/>
      <c r="MFA1" s="536"/>
      <c r="MFB1" s="536"/>
      <c r="MFC1" s="536"/>
      <c r="MFD1" s="536"/>
      <c r="MFE1" s="536"/>
      <c r="MFF1" s="536"/>
      <c r="MFG1" s="536"/>
      <c r="MFH1" s="536"/>
      <c r="MFI1" s="536"/>
      <c r="MFJ1" s="536"/>
      <c r="MFK1" s="536"/>
      <c r="MFL1" s="536"/>
      <c r="MFM1" s="536"/>
      <c r="MFN1" s="536"/>
      <c r="MFO1" s="536"/>
      <c r="MFP1" s="536"/>
      <c r="MFQ1" s="536"/>
      <c r="MFR1" s="536"/>
      <c r="MFS1" s="536"/>
      <c r="MFT1" s="536"/>
      <c r="MFU1" s="536"/>
      <c r="MFV1" s="536"/>
      <c r="MFW1" s="536"/>
      <c r="MFX1" s="536"/>
      <c r="MFY1" s="536"/>
      <c r="MFZ1" s="536"/>
      <c r="MGA1" s="536"/>
      <c r="MGB1" s="536"/>
      <c r="MGC1" s="536"/>
      <c r="MGD1" s="536"/>
      <c r="MGE1" s="536"/>
      <c r="MGF1" s="536"/>
      <c r="MGG1" s="536"/>
      <c r="MGH1" s="536"/>
      <c r="MGI1" s="536"/>
      <c r="MGJ1" s="536"/>
      <c r="MGK1" s="536"/>
      <c r="MGL1" s="536"/>
      <c r="MGM1" s="536"/>
      <c r="MGN1" s="536"/>
      <c r="MGO1" s="536"/>
      <c r="MGP1" s="536"/>
      <c r="MGQ1" s="536"/>
      <c r="MGR1" s="536"/>
      <c r="MGS1" s="536"/>
      <c r="MGT1" s="536"/>
      <c r="MGU1" s="536"/>
      <c r="MGV1" s="536"/>
      <c r="MGW1" s="536"/>
      <c r="MGX1" s="536"/>
      <c r="MGY1" s="536"/>
      <c r="MGZ1" s="536"/>
      <c r="MHA1" s="536"/>
      <c r="MHB1" s="536"/>
      <c r="MHC1" s="536"/>
      <c r="MHD1" s="536"/>
      <c r="MHE1" s="536"/>
      <c r="MHF1" s="536"/>
      <c r="MHG1" s="536"/>
      <c r="MHH1" s="536"/>
      <c r="MHI1" s="536"/>
      <c r="MHJ1" s="536"/>
      <c r="MHK1" s="536"/>
      <c r="MHL1" s="536"/>
      <c r="MHM1" s="536"/>
      <c r="MHN1" s="536"/>
      <c r="MHO1" s="536"/>
      <c r="MHP1" s="536"/>
      <c r="MHQ1" s="536"/>
      <c r="MHR1" s="536"/>
      <c r="MHS1" s="536"/>
      <c r="MHT1" s="536"/>
      <c r="MHU1" s="536"/>
      <c r="MHV1" s="536"/>
      <c r="MHW1" s="536"/>
      <c r="MHX1" s="536"/>
      <c r="MHY1" s="536"/>
      <c r="MHZ1" s="536"/>
      <c r="MIA1" s="536"/>
      <c r="MIB1" s="536"/>
      <c r="MIC1" s="536"/>
      <c r="MID1" s="536"/>
      <c r="MIE1" s="536"/>
      <c r="MIF1" s="536"/>
      <c r="MIG1" s="536"/>
      <c r="MIH1" s="536"/>
      <c r="MII1" s="536"/>
      <c r="MIJ1" s="536"/>
      <c r="MIK1" s="536"/>
      <c r="MIL1" s="536"/>
      <c r="MIM1" s="536"/>
      <c r="MIN1" s="536"/>
      <c r="MIO1" s="536"/>
      <c r="MIP1" s="536"/>
      <c r="MIQ1" s="536"/>
      <c r="MIR1" s="536"/>
      <c r="MIS1" s="536"/>
      <c r="MIT1" s="536"/>
      <c r="MIU1" s="536"/>
      <c r="MIV1" s="536"/>
      <c r="MIW1" s="536"/>
      <c r="MIX1" s="536"/>
      <c r="MIY1" s="536"/>
      <c r="MIZ1" s="536"/>
      <c r="MJA1" s="536"/>
      <c r="MJB1" s="536"/>
      <c r="MJC1" s="536"/>
      <c r="MJD1" s="536"/>
      <c r="MJE1" s="536"/>
      <c r="MJF1" s="536"/>
      <c r="MJG1" s="536"/>
      <c r="MJH1" s="536"/>
      <c r="MJI1" s="536"/>
      <c r="MJJ1" s="536"/>
      <c r="MJK1" s="536"/>
      <c r="MJL1" s="536"/>
      <c r="MJM1" s="536"/>
      <c r="MJN1" s="536"/>
      <c r="MJO1" s="536"/>
      <c r="MJP1" s="536"/>
      <c r="MJQ1" s="536"/>
      <c r="MJR1" s="536"/>
      <c r="MJS1" s="536"/>
      <c r="MJT1" s="536"/>
      <c r="MJU1" s="536"/>
      <c r="MJV1" s="536"/>
      <c r="MJW1" s="536"/>
      <c r="MJX1" s="536"/>
      <c r="MJY1" s="536"/>
      <c r="MJZ1" s="536"/>
      <c r="MKA1" s="536"/>
      <c r="MKB1" s="536"/>
      <c r="MKC1" s="536"/>
      <c r="MKD1" s="536"/>
      <c r="MKE1" s="536"/>
      <c r="MKF1" s="536"/>
      <c r="MKG1" s="536"/>
      <c r="MKH1" s="536"/>
      <c r="MKI1" s="536"/>
      <c r="MKJ1" s="536"/>
      <c r="MKK1" s="536"/>
      <c r="MKL1" s="536"/>
      <c r="MKM1" s="536"/>
      <c r="MKN1" s="536"/>
      <c r="MKO1" s="536"/>
      <c r="MKP1" s="536"/>
      <c r="MKQ1" s="536"/>
      <c r="MKR1" s="536"/>
      <c r="MKS1" s="536"/>
      <c r="MKT1" s="536"/>
      <c r="MKU1" s="536"/>
      <c r="MKV1" s="536"/>
      <c r="MKW1" s="536"/>
      <c r="MKX1" s="536"/>
      <c r="MKY1" s="536"/>
      <c r="MKZ1" s="536"/>
      <c r="MLA1" s="536"/>
      <c r="MLB1" s="536"/>
      <c r="MLC1" s="536"/>
      <c r="MLD1" s="536"/>
      <c r="MLE1" s="536"/>
      <c r="MLF1" s="536"/>
      <c r="MLG1" s="536"/>
      <c r="MLH1" s="536"/>
      <c r="MLI1" s="536"/>
      <c r="MLJ1" s="536"/>
      <c r="MLK1" s="536"/>
      <c r="MLL1" s="536"/>
      <c r="MLM1" s="536"/>
      <c r="MLN1" s="536"/>
      <c r="MLO1" s="536"/>
      <c r="MLP1" s="536"/>
      <c r="MLQ1" s="536"/>
      <c r="MLR1" s="536"/>
      <c r="MLS1" s="536"/>
      <c r="MLT1" s="536"/>
      <c r="MLU1" s="536"/>
      <c r="MLV1" s="536"/>
      <c r="MLW1" s="536"/>
      <c r="MLX1" s="536"/>
      <c r="MLY1" s="536"/>
      <c r="MLZ1" s="536"/>
      <c r="MMA1" s="536"/>
      <c r="MMB1" s="536"/>
      <c r="MMC1" s="536"/>
      <c r="MMD1" s="536"/>
      <c r="MME1" s="536"/>
      <c r="MMF1" s="536"/>
      <c r="MMG1" s="536"/>
      <c r="MMH1" s="536"/>
      <c r="MMI1" s="536"/>
      <c r="MMJ1" s="536"/>
      <c r="MMK1" s="536"/>
      <c r="MML1" s="536"/>
      <c r="MMM1" s="536"/>
      <c r="MMN1" s="536"/>
      <c r="MMO1" s="536"/>
      <c r="MMP1" s="536"/>
      <c r="MMQ1" s="536"/>
      <c r="MMR1" s="536"/>
      <c r="MMS1" s="536"/>
      <c r="MMT1" s="536"/>
      <c r="MMU1" s="536"/>
      <c r="MMV1" s="536"/>
      <c r="MMW1" s="536"/>
      <c r="MMX1" s="536"/>
      <c r="MMY1" s="536"/>
      <c r="MMZ1" s="536"/>
      <c r="MNA1" s="536"/>
      <c r="MNB1" s="536"/>
      <c r="MNC1" s="536"/>
      <c r="MND1" s="536"/>
      <c r="MNE1" s="536"/>
      <c r="MNF1" s="536"/>
      <c r="MNG1" s="536"/>
      <c r="MNH1" s="536"/>
      <c r="MNI1" s="536"/>
      <c r="MNJ1" s="536"/>
      <c r="MNK1" s="536"/>
      <c r="MNL1" s="536"/>
      <c r="MNM1" s="536"/>
      <c r="MNN1" s="536"/>
      <c r="MNO1" s="536"/>
      <c r="MNP1" s="536"/>
      <c r="MNQ1" s="536"/>
      <c r="MNR1" s="536"/>
      <c r="MNS1" s="536"/>
      <c r="MNT1" s="536"/>
      <c r="MNU1" s="536"/>
      <c r="MNV1" s="536"/>
      <c r="MNW1" s="536"/>
      <c r="MNX1" s="536"/>
      <c r="MNY1" s="536"/>
      <c r="MNZ1" s="536"/>
      <c r="MOA1" s="536"/>
      <c r="MOB1" s="536"/>
      <c r="MOC1" s="536"/>
      <c r="MOD1" s="536"/>
      <c r="MOE1" s="536"/>
      <c r="MOF1" s="536"/>
      <c r="MOG1" s="536"/>
      <c r="MOH1" s="536"/>
      <c r="MOI1" s="536"/>
      <c r="MOJ1" s="536"/>
      <c r="MOK1" s="536"/>
      <c r="MOL1" s="536"/>
      <c r="MOM1" s="536"/>
      <c r="MON1" s="536"/>
      <c r="MOO1" s="536"/>
      <c r="MOP1" s="536"/>
      <c r="MOQ1" s="536"/>
      <c r="MOR1" s="536"/>
      <c r="MOS1" s="536"/>
      <c r="MOT1" s="536"/>
      <c r="MOU1" s="536"/>
      <c r="MOV1" s="536"/>
      <c r="MOW1" s="536"/>
      <c r="MOX1" s="536"/>
      <c r="MOY1" s="536"/>
      <c r="MOZ1" s="536"/>
      <c r="MPA1" s="536"/>
      <c r="MPB1" s="536"/>
      <c r="MPC1" s="536"/>
      <c r="MPD1" s="536"/>
      <c r="MPE1" s="536"/>
      <c r="MPF1" s="536"/>
      <c r="MPG1" s="536"/>
      <c r="MPH1" s="536"/>
      <c r="MPI1" s="536"/>
      <c r="MPJ1" s="536"/>
      <c r="MPK1" s="536"/>
      <c r="MPL1" s="536"/>
      <c r="MPM1" s="536"/>
      <c r="MPN1" s="536"/>
      <c r="MPO1" s="536"/>
      <c r="MPP1" s="536"/>
      <c r="MPQ1" s="536"/>
      <c r="MPR1" s="536"/>
      <c r="MPS1" s="536"/>
      <c r="MPT1" s="536"/>
      <c r="MPU1" s="536"/>
      <c r="MPV1" s="536"/>
      <c r="MPW1" s="536"/>
      <c r="MPX1" s="536"/>
      <c r="MPY1" s="536"/>
      <c r="MPZ1" s="536"/>
      <c r="MQA1" s="536"/>
      <c r="MQB1" s="536"/>
      <c r="MQC1" s="536"/>
      <c r="MQD1" s="536"/>
      <c r="MQE1" s="536"/>
      <c r="MQF1" s="536"/>
      <c r="MQG1" s="536"/>
      <c r="MQH1" s="536"/>
      <c r="MQI1" s="536"/>
      <c r="MQJ1" s="536"/>
      <c r="MQK1" s="536"/>
      <c r="MQL1" s="536"/>
      <c r="MQM1" s="536"/>
      <c r="MQN1" s="536"/>
      <c r="MQO1" s="536"/>
      <c r="MQP1" s="536"/>
      <c r="MQQ1" s="536"/>
      <c r="MQR1" s="536"/>
      <c r="MQS1" s="536"/>
      <c r="MQT1" s="536"/>
      <c r="MQU1" s="536"/>
      <c r="MQV1" s="536"/>
      <c r="MQW1" s="536"/>
      <c r="MQX1" s="536"/>
      <c r="MQY1" s="536"/>
      <c r="MQZ1" s="536"/>
      <c r="MRA1" s="536"/>
      <c r="MRB1" s="536"/>
      <c r="MRC1" s="536"/>
      <c r="MRD1" s="536"/>
      <c r="MRE1" s="536"/>
      <c r="MRF1" s="536"/>
      <c r="MRG1" s="536"/>
      <c r="MRH1" s="536"/>
      <c r="MRI1" s="536"/>
      <c r="MRJ1" s="536"/>
      <c r="MRK1" s="536"/>
      <c r="MRL1" s="536"/>
      <c r="MRM1" s="536"/>
      <c r="MRN1" s="536"/>
      <c r="MRO1" s="536"/>
      <c r="MRP1" s="536"/>
      <c r="MRQ1" s="536"/>
      <c r="MRR1" s="536"/>
      <c r="MRS1" s="536"/>
      <c r="MRT1" s="536"/>
      <c r="MRU1" s="536"/>
      <c r="MRV1" s="536"/>
      <c r="MRW1" s="536"/>
      <c r="MRX1" s="536"/>
      <c r="MRY1" s="536"/>
      <c r="MRZ1" s="536"/>
      <c r="MSA1" s="536"/>
      <c r="MSB1" s="536"/>
      <c r="MSC1" s="536"/>
      <c r="MSD1" s="536"/>
      <c r="MSE1" s="536"/>
      <c r="MSF1" s="536"/>
      <c r="MSG1" s="536"/>
      <c r="MSH1" s="536"/>
      <c r="MSI1" s="536"/>
      <c r="MSJ1" s="536"/>
      <c r="MSK1" s="536"/>
      <c r="MSL1" s="536"/>
      <c r="MSM1" s="536"/>
      <c r="MSN1" s="536"/>
      <c r="MSO1" s="536"/>
      <c r="MSP1" s="536"/>
      <c r="MSQ1" s="536"/>
      <c r="MSR1" s="536"/>
      <c r="MSS1" s="536"/>
      <c r="MST1" s="536"/>
      <c r="MSU1" s="536"/>
      <c r="MSV1" s="536"/>
      <c r="MSW1" s="536"/>
      <c r="MSX1" s="536"/>
      <c r="MSY1" s="536"/>
      <c r="MSZ1" s="536"/>
      <c r="MTA1" s="536"/>
      <c r="MTB1" s="536"/>
      <c r="MTC1" s="536"/>
      <c r="MTD1" s="536"/>
      <c r="MTE1" s="536"/>
      <c r="MTF1" s="536"/>
      <c r="MTG1" s="536"/>
      <c r="MTH1" s="536"/>
      <c r="MTI1" s="536"/>
      <c r="MTJ1" s="536"/>
      <c r="MTK1" s="536"/>
      <c r="MTL1" s="536"/>
      <c r="MTM1" s="536"/>
      <c r="MTN1" s="536"/>
      <c r="MTO1" s="536"/>
      <c r="MTP1" s="536"/>
      <c r="MTQ1" s="536"/>
      <c r="MTR1" s="536"/>
      <c r="MTS1" s="536"/>
      <c r="MTT1" s="536"/>
      <c r="MTU1" s="536"/>
      <c r="MTV1" s="536"/>
      <c r="MTW1" s="536"/>
      <c r="MTX1" s="536"/>
      <c r="MTY1" s="536"/>
      <c r="MTZ1" s="536"/>
      <c r="MUA1" s="536"/>
      <c r="MUB1" s="536"/>
      <c r="MUC1" s="536"/>
      <c r="MUD1" s="536"/>
      <c r="MUE1" s="536"/>
      <c r="MUF1" s="536"/>
      <c r="MUG1" s="536"/>
      <c r="MUH1" s="536"/>
      <c r="MUI1" s="536"/>
      <c r="MUJ1" s="536"/>
      <c r="MUK1" s="536"/>
      <c r="MUL1" s="536"/>
      <c r="MUM1" s="536"/>
      <c r="MUN1" s="536"/>
      <c r="MUO1" s="536"/>
      <c r="MUP1" s="536"/>
      <c r="MUQ1" s="536"/>
      <c r="MUR1" s="536"/>
      <c r="MUS1" s="536"/>
      <c r="MUT1" s="536"/>
      <c r="MUU1" s="536"/>
      <c r="MUV1" s="536"/>
      <c r="MUW1" s="536"/>
      <c r="MUX1" s="536"/>
      <c r="MUY1" s="536"/>
      <c r="MUZ1" s="536"/>
      <c r="MVA1" s="536"/>
      <c r="MVB1" s="536"/>
      <c r="MVC1" s="536"/>
      <c r="MVD1" s="536"/>
      <c r="MVE1" s="536"/>
      <c r="MVF1" s="536"/>
      <c r="MVG1" s="536"/>
      <c r="MVH1" s="536"/>
      <c r="MVI1" s="536"/>
      <c r="MVJ1" s="536"/>
      <c r="MVK1" s="536"/>
      <c r="MVL1" s="536"/>
      <c r="MVM1" s="536"/>
      <c r="MVN1" s="536"/>
      <c r="MVO1" s="536"/>
      <c r="MVP1" s="536"/>
      <c r="MVQ1" s="536"/>
      <c r="MVR1" s="536"/>
      <c r="MVS1" s="536"/>
      <c r="MVT1" s="536"/>
      <c r="MVU1" s="536"/>
      <c r="MVV1" s="536"/>
      <c r="MVW1" s="536"/>
      <c r="MVX1" s="536"/>
      <c r="MVY1" s="536"/>
      <c r="MVZ1" s="536"/>
      <c r="MWA1" s="536"/>
      <c r="MWB1" s="536"/>
      <c r="MWC1" s="536"/>
      <c r="MWD1" s="536"/>
      <c r="MWE1" s="536"/>
      <c r="MWF1" s="536"/>
      <c r="MWG1" s="536"/>
      <c r="MWH1" s="536"/>
      <c r="MWI1" s="536"/>
      <c r="MWJ1" s="536"/>
      <c r="MWK1" s="536"/>
      <c r="MWL1" s="536"/>
      <c r="MWM1" s="536"/>
      <c r="MWN1" s="536"/>
      <c r="MWO1" s="536"/>
      <c r="MWP1" s="536"/>
      <c r="MWQ1" s="536"/>
      <c r="MWR1" s="536"/>
      <c r="MWS1" s="536"/>
      <c r="MWT1" s="536"/>
      <c r="MWU1" s="536"/>
      <c r="MWV1" s="536"/>
      <c r="MWW1" s="536"/>
      <c r="MWX1" s="536"/>
      <c r="MWY1" s="536"/>
      <c r="MWZ1" s="536"/>
      <c r="MXA1" s="536"/>
      <c r="MXB1" s="536"/>
      <c r="MXC1" s="536"/>
      <c r="MXD1" s="536"/>
      <c r="MXE1" s="536"/>
      <c r="MXF1" s="536"/>
      <c r="MXG1" s="536"/>
      <c r="MXH1" s="536"/>
      <c r="MXI1" s="536"/>
      <c r="MXJ1" s="536"/>
      <c r="MXK1" s="536"/>
      <c r="MXL1" s="536"/>
      <c r="MXM1" s="536"/>
      <c r="MXN1" s="536"/>
      <c r="MXO1" s="536"/>
      <c r="MXP1" s="536"/>
      <c r="MXQ1" s="536"/>
      <c r="MXR1" s="536"/>
      <c r="MXS1" s="536"/>
      <c r="MXT1" s="536"/>
      <c r="MXU1" s="536"/>
      <c r="MXV1" s="536"/>
      <c r="MXW1" s="536"/>
      <c r="MXX1" s="536"/>
      <c r="MXY1" s="536"/>
      <c r="MXZ1" s="536"/>
      <c r="MYA1" s="536"/>
      <c r="MYB1" s="536"/>
      <c r="MYC1" s="536"/>
      <c r="MYD1" s="536"/>
      <c r="MYE1" s="536"/>
      <c r="MYF1" s="536"/>
      <c r="MYG1" s="536"/>
      <c r="MYH1" s="536"/>
      <c r="MYI1" s="536"/>
      <c r="MYJ1" s="536"/>
      <c r="MYK1" s="536"/>
      <c r="MYL1" s="536"/>
      <c r="MYM1" s="536"/>
      <c r="MYN1" s="536"/>
      <c r="MYO1" s="536"/>
      <c r="MYP1" s="536"/>
      <c r="MYQ1" s="536"/>
      <c r="MYR1" s="536"/>
      <c r="MYS1" s="536"/>
      <c r="MYT1" s="536"/>
      <c r="MYU1" s="536"/>
      <c r="MYV1" s="536"/>
      <c r="MYW1" s="536"/>
      <c r="MYX1" s="536"/>
      <c r="MYY1" s="536"/>
      <c r="MYZ1" s="536"/>
      <c r="MZA1" s="536"/>
      <c r="MZB1" s="536"/>
      <c r="MZC1" s="536"/>
      <c r="MZD1" s="536"/>
      <c r="MZE1" s="536"/>
      <c r="MZF1" s="536"/>
      <c r="MZG1" s="536"/>
      <c r="MZH1" s="536"/>
      <c r="MZI1" s="536"/>
      <c r="MZJ1" s="536"/>
      <c r="MZK1" s="536"/>
      <c r="MZL1" s="536"/>
      <c r="MZM1" s="536"/>
      <c r="MZN1" s="536"/>
      <c r="MZO1" s="536"/>
      <c r="MZP1" s="536"/>
      <c r="MZQ1" s="536"/>
      <c r="MZR1" s="536"/>
      <c r="MZS1" s="536"/>
      <c r="MZT1" s="536"/>
      <c r="MZU1" s="536"/>
      <c r="MZV1" s="536"/>
      <c r="MZW1" s="536"/>
      <c r="MZX1" s="536"/>
      <c r="MZY1" s="536"/>
      <c r="MZZ1" s="536"/>
      <c r="NAA1" s="536"/>
      <c r="NAB1" s="536"/>
      <c r="NAC1" s="536"/>
      <c r="NAD1" s="536"/>
      <c r="NAE1" s="536"/>
      <c r="NAF1" s="536"/>
      <c r="NAG1" s="536"/>
      <c r="NAH1" s="536"/>
      <c r="NAI1" s="536"/>
      <c r="NAJ1" s="536"/>
      <c r="NAK1" s="536"/>
      <c r="NAL1" s="536"/>
      <c r="NAM1" s="536"/>
      <c r="NAN1" s="536"/>
      <c r="NAO1" s="536"/>
      <c r="NAP1" s="536"/>
      <c r="NAQ1" s="536"/>
      <c r="NAR1" s="536"/>
      <c r="NAS1" s="536"/>
      <c r="NAT1" s="536"/>
      <c r="NAU1" s="536"/>
      <c r="NAV1" s="536"/>
      <c r="NAW1" s="536"/>
      <c r="NAX1" s="536"/>
      <c r="NAY1" s="536"/>
      <c r="NAZ1" s="536"/>
      <c r="NBA1" s="536"/>
      <c r="NBB1" s="536"/>
      <c r="NBC1" s="536"/>
      <c r="NBD1" s="536"/>
      <c r="NBE1" s="536"/>
      <c r="NBF1" s="536"/>
      <c r="NBG1" s="536"/>
      <c r="NBH1" s="536"/>
      <c r="NBI1" s="536"/>
      <c r="NBJ1" s="536"/>
      <c r="NBK1" s="536"/>
      <c r="NBL1" s="536"/>
      <c r="NBM1" s="536"/>
      <c r="NBN1" s="536"/>
      <c r="NBO1" s="536"/>
      <c r="NBP1" s="536"/>
      <c r="NBQ1" s="536"/>
      <c r="NBR1" s="536"/>
      <c r="NBS1" s="536"/>
      <c r="NBT1" s="536"/>
      <c r="NBU1" s="536"/>
      <c r="NBV1" s="536"/>
      <c r="NBW1" s="536"/>
      <c r="NBX1" s="536"/>
      <c r="NBY1" s="536"/>
      <c r="NBZ1" s="536"/>
      <c r="NCA1" s="536"/>
      <c r="NCB1" s="536"/>
      <c r="NCC1" s="536"/>
      <c r="NCD1" s="536"/>
      <c r="NCE1" s="536"/>
      <c r="NCF1" s="536"/>
      <c r="NCG1" s="536"/>
      <c r="NCH1" s="536"/>
      <c r="NCI1" s="536"/>
      <c r="NCJ1" s="536"/>
      <c r="NCK1" s="536"/>
      <c r="NCL1" s="536"/>
      <c r="NCM1" s="536"/>
      <c r="NCN1" s="536"/>
      <c r="NCO1" s="536"/>
      <c r="NCP1" s="536"/>
      <c r="NCQ1" s="536"/>
      <c r="NCR1" s="536"/>
      <c r="NCS1" s="536"/>
      <c r="NCT1" s="536"/>
      <c r="NCU1" s="536"/>
      <c r="NCV1" s="536"/>
      <c r="NCW1" s="536"/>
      <c r="NCX1" s="536"/>
      <c r="NCY1" s="536"/>
      <c r="NCZ1" s="536"/>
      <c r="NDA1" s="536"/>
      <c r="NDB1" s="536"/>
      <c r="NDC1" s="536"/>
      <c r="NDD1" s="536"/>
      <c r="NDE1" s="536"/>
      <c r="NDF1" s="536"/>
      <c r="NDG1" s="536"/>
      <c r="NDH1" s="536"/>
      <c r="NDI1" s="536"/>
      <c r="NDJ1" s="536"/>
      <c r="NDK1" s="536"/>
      <c r="NDL1" s="536"/>
      <c r="NDM1" s="536"/>
      <c r="NDN1" s="536"/>
      <c r="NDO1" s="536"/>
      <c r="NDP1" s="536"/>
      <c r="NDQ1" s="536"/>
      <c r="NDR1" s="536"/>
      <c r="NDS1" s="536"/>
      <c r="NDT1" s="536"/>
      <c r="NDU1" s="536"/>
      <c r="NDV1" s="536"/>
      <c r="NDW1" s="536"/>
      <c r="NDX1" s="536"/>
      <c r="NDY1" s="536"/>
      <c r="NDZ1" s="536"/>
      <c r="NEA1" s="536"/>
      <c r="NEB1" s="536"/>
      <c r="NEC1" s="536"/>
      <c r="NED1" s="536"/>
      <c r="NEE1" s="536"/>
      <c r="NEF1" s="536"/>
      <c r="NEG1" s="536"/>
      <c r="NEH1" s="536"/>
      <c r="NEI1" s="536"/>
      <c r="NEJ1" s="536"/>
      <c r="NEK1" s="536"/>
      <c r="NEL1" s="536"/>
      <c r="NEM1" s="536"/>
      <c r="NEN1" s="536"/>
      <c r="NEO1" s="536"/>
      <c r="NEP1" s="536"/>
      <c r="NEQ1" s="536"/>
      <c r="NER1" s="536"/>
      <c r="NES1" s="536"/>
      <c r="NET1" s="536"/>
      <c r="NEU1" s="536"/>
      <c r="NEV1" s="536"/>
      <c r="NEW1" s="536"/>
      <c r="NEX1" s="536"/>
      <c r="NEY1" s="536"/>
      <c r="NEZ1" s="536"/>
      <c r="NFA1" s="536"/>
      <c r="NFB1" s="536"/>
      <c r="NFC1" s="536"/>
      <c r="NFD1" s="536"/>
      <c r="NFE1" s="536"/>
      <c r="NFF1" s="536"/>
      <c r="NFG1" s="536"/>
      <c r="NFH1" s="536"/>
      <c r="NFI1" s="536"/>
      <c r="NFJ1" s="536"/>
      <c r="NFK1" s="536"/>
      <c r="NFL1" s="536"/>
      <c r="NFM1" s="536"/>
      <c r="NFN1" s="536"/>
      <c r="NFO1" s="536"/>
      <c r="NFP1" s="536"/>
      <c r="NFQ1" s="536"/>
      <c r="NFR1" s="536"/>
      <c r="NFS1" s="536"/>
      <c r="NFT1" s="536"/>
      <c r="NFU1" s="536"/>
      <c r="NFV1" s="536"/>
      <c r="NFW1" s="536"/>
      <c r="NFX1" s="536"/>
      <c r="NFY1" s="536"/>
      <c r="NFZ1" s="536"/>
      <c r="NGA1" s="536"/>
      <c r="NGB1" s="536"/>
      <c r="NGC1" s="536"/>
      <c r="NGD1" s="536"/>
      <c r="NGE1" s="536"/>
      <c r="NGF1" s="536"/>
      <c r="NGG1" s="536"/>
      <c r="NGH1" s="536"/>
      <c r="NGI1" s="536"/>
      <c r="NGJ1" s="536"/>
      <c r="NGK1" s="536"/>
      <c r="NGL1" s="536"/>
      <c r="NGM1" s="536"/>
      <c r="NGN1" s="536"/>
      <c r="NGO1" s="536"/>
      <c r="NGP1" s="536"/>
      <c r="NGQ1" s="536"/>
      <c r="NGR1" s="536"/>
      <c r="NGS1" s="536"/>
      <c r="NGT1" s="536"/>
      <c r="NGU1" s="536"/>
      <c r="NGV1" s="536"/>
      <c r="NGW1" s="536"/>
      <c r="NGX1" s="536"/>
      <c r="NGY1" s="536"/>
      <c r="NGZ1" s="536"/>
      <c r="NHA1" s="536"/>
      <c r="NHB1" s="536"/>
      <c r="NHC1" s="536"/>
      <c r="NHD1" s="536"/>
      <c r="NHE1" s="536"/>
      <c r="NHF1" s="536"/>
      <c r="NHG1" s="536"/>
      <c r="NHH1" s="536"/>
      <c r="NHI1" s="536"/>
      <c r="NHJ1" s="536"/>
      <c r="NHK1" s="536"/>
      <c r="NHL1" s="536"/>
      <c r="NHM1" s="536"/>
      <c r="NHN1" s="536"/>
      <c r="NHO1" s="536"/>
      <c r="NHP1" s="536"/>
      <c r="NHQ1" s="536"/>
      <c r="NHR1" s="536"/>
      <c r="NHS1" s="536"/>
      <c r="NHT1" s="536"/>
      <c r="NHU1" s="536"/>
      <c r="NHV1" s="536"/>
      <c r="NHW1" s="536"/>
      <c r="NHX1" s="536"/>
      <c r="NHY1" s="536"/>
      <c r="NHZ1" s="536"/>
      <c r="NIA1" s="536"/>
      <c r="NIB1" s="536"/>
      <c r="NIC1" s="536"/>
      <c r="NID1" s="536"/>
      <c r="NIE1" s="536"/>
      <c r="NIF1" s="536"/>
      <c r="NIG1" s="536"/>
      <c r="NIH1" s="536"/>
      <c r="NII1" s="536"/>
      <c r="NIJ1" s="536"/>
      <c r="NIK1" s="536"/>
      <c r="NIL1" s="536"/>
      <c r="NIM1" s="536"/>
      <c r="NIN1" s="536"/>
      <c r="NIO1" s="536"/>
      <c r="NIP1" s="536"/>
      <c r="NIQ1" s="536"/>
      <c r="NIR1" s="536"/>
      <c r="NIS1" s="536"/>
      <c r="NIT1" s="536"/>
      <c r="NIU1" s="536"/>
      <c r="NIV1" s="536"/>
      <c r="NIW1" s="536"/>
      <c r="NIX1" s="536"/>
      <c r="NIY1" s="536"/>
      <c r="NIZ1" s="536"/>
      <c r="NJA1" s="536"/>
      <c r="NJB1" s="536"/>
      <c r="NJC1" s="536"/>
      <c r="NJD1" s="536"/>
      <c r="NJE1" s="536"/>
      <c r="NJF1" s="536"/>
      <c r="NJG1" s="536"/>
      <c r="NJH1" s="536"/>
      <c r="NJI1" s="536"/>
      <c r="NJJ1" s="536"/>
      <c r="NJK1" s="536"/>
      <c r="NJL1" s="536"/>
      <c r="NJM1" s="536"/>
      <c r="NJN1" s="536"/>
      <c r="NJO1" s="536"/>
      <c r="NJP1" s="536"/>
      <c r="NJQ1" s="536"/>
      <c r="NJR1" s="536"/>
      <c r="NJS1" s="536"/>
      <c r="NJT1" s="536"/>
      <c r="NJU1" s="536"/>
      <c r="NJV1" s="536"/>
      <c r="NJW1" s="536"/>
      <c r="NJX1" s="536"/>
      <c r="NJY1" s="536"/>
      <c r="NJZ1" s="536"/>
      <c r="NKA1" s="536"/>
      <c r="NKB1" s="536"/>
      <c r="NKC1" s="536"/>
      <c r="NKD1" s="536"/>
      <c r="NKE1" s="536"/>
      <c r="NKF1" s="536"/>
      <c r="NKG1" s="536"/>
      <c r="NKH1" s="536"/>
      <c r="NKI1" s="536"/>
      <c r="NKJ1" s="536"/>
      <c r="NKK1" s="536"/>
      <c r="NKL1" s="536"/>
      <c r="NKM1" s="536"/>
      <c r="NKN1" s="536"/>
      <c r="NKO1" s="536"/>
      <c r="NKP1" s="536"/>
      <c r="NKQ1" s="536"/>
      <c r="NKR1" s="536"/>
      <c r="NKS1" s="536"/>
      <c r="NKT1" s="536"/>
      <c r="NKU1" s="536"/>
      <c r="NKV1" s="536"/>
      <c r="NKW1" s="536"/>
      <c r="NKX1" s="536"/>
      <c r="NKY1" s="536"/>
      <c r="NKZ1" s="536"/>
      <c r="NLA1" s="536"/>
      <c r="NLB1" s="536"/>
      <c r="NLC1" s="536"/>
      <c r="NLD1" s="536"/>
      <c r="NLE1" s="536"/>
      <c r="NLF1" s="536"/>
      <c r="NLG1" s="536"/>
      <c r="NLH1" s="536"/>
      <c r="NLI1" s="536"/>
      <c r="NLJ1" s="536"/>
      <c r="NLK1" s="536"/>
      <c r="NLL1" s="536"/>
      <c r="NLM1" s="536"/>
      <c r="NLN1" s="536"/>
      <c r="NLO1" s="536"/>
      <c r="NLP1" s="536"/>
      <c r="NLQ1" s="536"/>
      <c r="NLR1" s="536"/>
      <c r="NLS1" s="536"/>
      <c r="NLT1" s="536"/>
      <c r="NLU1" s="536"/>
      <c r="NLV1" s="536"/>
      <c r="NLW1" s="536"/>
      <c r="NLX1" s="536"/>
      <c r="NLY1" s="536"/>
      <c r="NLZ1" s="536"/>
      <c r="NMA1" s="536"/>
      <c r="NMB1" s="536"/>
      <c r="NMC1" s="536"/>
      <c r="NMD1" s="536"/>
      <c r="NME1" s="536"/>
      <c r="NMF1" s="536"/>
      <c r="NMG1" s="536"/>
      <c r="NMH1" s="536"/>
      <c r="NMI1" s="536"/>
      <c r="NMJ1" s="536"/>
      <c r="NMK1" s="536"/>
      <c r="NML1" s="536"/>
      <c r="NMM1" s="536"/>
      <c r="NMN1" s="536"/>
      <c r="NMO1" s="536"/>
      <c r="NMP1" s="536"/>
      <c r="NMQ1" s="536"/>
      <c r="NMR1" s="536"/>
      <c r="NMS1" s="536"/>
      <c r="NMT1" s="536"/>
      <c r="NMU1" s="536"/>
      <c r="NMV1" s="536"/>
      <c r="NMW1" s="536"/>
      <c r="NMX1" s="536"/>
      <c r="NMY1" s="536"/>
      <c r="NMZ1" s="536"/>
      <c r="NNA1" s="536"/>
      <c r="NNB1" s="536"/>
      <c r="NNC1" s="536"/>
      <c r="NND1" s="536"/>
      <c r="NNE1" s="536"/>
      <c r="NNF1" s="536"/>
      <c r="NNG1" s="536"/>
      <c r="NNH1" s="536"/>
      <c r="NNI1" s="536"/>
      <c r="NNJ1" s="536"/>
      <c r="NNK1" s="536"/>
      <c r="NNL1" s="536"/>
      <c r="NNM1" s="536"/>
      <c r="NNN1" s="536"/>
      <c r="NNO1" s="536"/>
      <c r="NNP1" s="536"/>
      <c r="NNQ1" s="536"/>
      <c r="NNR1" s="536"/>
      <c r="NNS1" s="536"/>
      <c r="NNT1" s="536"/>
      <c r="NNU1" s="536"/>
      <c r="NNV1" s="536"/>
      <c r="NNW1" s="536"/>
      <c r="NNX1" s="536"/>
      <c r="NNY1" s="536"/>
      <c r="NNZ1" s="536"/>
      <c r="NOA1" s="536"/>
      <c r="NOB1" s="536"/>
      <c r="NOC1" s="536"/>
      <c r="NOD1" s="536"/>
      <c r="NOE1" s="536"/>
      <c r="NOF1" s="536"/>
      <c r="NOG1" s="536"/>
      <c r="NOH1" s="536"/>
      <c r="NOI1" s="536"/>
      <c r="NOJ1" s="536"/>
      <c r="NOK1" s="536"/>
      <c r="NOL1" s="536"/>
      <c r="NOM1" s="536"/>
      <c r="NON1" s="536"/>
      <c r="NOO1" s="536"/>
      <c r="NOP1" s="536"/>
      <c r="NOQ1" s="536"/>
      <c r="NOR1" s="536"/>
      <c r="NOS1" s="536"/>
      <c r="NOT1" s="536"/>
      <c r="NOU1" s="536"/>
      <c r="NOV1" s="536"/>
      <c r="NOW1" s="536"/>
      <c r="NOX1" s="536"/>
      <c r="NOY1" s="536"/>
      <c r="NOZ1" s="536"/>
      <c r="NPA1" s="536"/>
      <c r="NPB1" s="536"/>
      <c r="NPC1" s="536"/>
      <c r="NPD1" s="536"/>
      <c r="NPE1" s="536"/>
      <c r="NPF1" s="536"/>
      <c r="NPG1" s="536"/>
      <c r="NPH1" s="536"/>
      <c r="NPI1" s="536"/>
      <c r="NPJ1" s="536"/>
      <c r="NPK1" s="536"/>
      <c r="NPL1" s="536"/>
      <c r="NPM1" s="536"/>
      <c r="NPN1" s="536"/>
      <c r="NPO1" s="536"/>
      <c r="NPP1" s="536"/>
      <c r="NPQ1" s="536"/>
      <c r="NPR1" s="536"/>
      <c r="NPS1" s="536"/>
      <c r="NPT1" s="536"/>
      <c r="NPU1" s="536"/>
      <c r="NPV1" s="536"/>
      <c r="NPW1" s="536"/>
      <c r="NPX1" s="536"/>
      <c r="NPY1" s="536"/>
      <c r="NPZ1" s="536"/>
      <c r="NQA1" s="536"/>
      <c r="NQB1" s="536"/>
      <c r="NQC1" s="536"/>
      <c r="NQD1" s="536"/>
      <c r="NQE1" s="536"/>
      <c r="NQF1" s="536"/>
      <c r="NQG1" s="536"/>
      <c r="NQH1" s="536"/>
      <c r="NQI1" s="536"/>
      <c r="NQJ1" s="536"/>
      <c r="NQK1" s="536"/>
      <c r="NQL1" s="536"/>
      <c r="NQM1" s="536"/>
      <c r="NQN1" s="536"/>
      <c r="NQO1" s="536"/>
      <c r="NQP1" s="536"/>
      <c r="NQQ1" s="536"/>
      <c r="NQR1" s="536"/>
      <c r="NQS1" s="536"/>
      <c r="NQT1" s="536"/>
      <c r="NQU1" s="536"/>
      <c r="NQV1" s="536"/>
      <c r="NQW1" s="536"/>
      <c r="NQX1" s="536"/>
      <c r="NQY1" s="536"/>
      <c r="NQZ1" s="536"/>
      <c r="NRA1" s="536"/>
      <c r="NRB1" s="536"/>
      <c r="NRC1" s="536"/>
      <c r="NRD1" s="536"/>
      <c r="NRE1" s="536"/>
      <c r="NRF1" s="536"/>
      <c r="NRG1" s="536"/>
      <c r="NRH1" s="536"/>
      <c r="NRI1" s="536"/>
      <c r="NRJ1" s="536"/>
      <c r="NRK1" s="536"/>
      <c r="NRL1" s="536"/>
      <c r="NRM1" s="536"/>
      <c r="NRN1" s="536"/>
      <c r="NRO1" s="536"/>
      <c r="NRP1" s="536"/>
      <c r="NRQ1" s="536"/>
      <c r="NRR1" s="536"/>
      <c r="NRS1" s="536"/>
      <c r="NRT1" s="536"/>
      <c r="NRU1" s="536"/>
      <c r="NRV1" s="536"/>
      <c r="NRW1" s="536"/>
      <c r="NRX1" s="536"/>
      <c r="NRY1" s="536"/>
      <c r="NRZ1" s="536"/>
      <c r="NSA1" s="536"/>
      <c r="NSB1" s="536"/>
      <c r="NSC1" s="536"/>
      <c r="NSD1" s="536"/>
      <c r="NSE1" s="536"/>
      <c r="NSF1" s="536"/>
      <c r="NSG1" s="536"/>
      <c r="NSH1" s="536"/>
      <c r="NSI1" s="536"/>
      <c r="NSJ1" s="536"/>
      <c r="NSK1" s="536"/>
      <c r="NSL1" s="536"/>
      <c r="NSM1" s="536"/>
      <c r="NSN1" s="536"/>
      <c r="NSO1" s="536"/>
      <c r="NSP1" s="536"/>
      <c r="NSQ1" s="536"/>
      <c r="NSR1" s="536"/>
      <c r="NSS1" s="536"/>
      <c r="NST1" s="536"/>
      <c r="NSU1" s="536"/>
      <c r="NSV1" s="536"/>
      <c r="NSW1" s="536"/>
      <c r="NSX1" s="536"/>
      <c r="NSY1" s="536"/>
      <c r="NSZ1" s="536"/>
      <c r="NTA1" s="536"/>
      <c r="NTB1" s="536"/>
      <c r="NTC1" s="536"/>
      <c r="NTD1" s="536"/>
      <c r="NTE1" s="536"/>
      <c r="NTF1" s="536"/>
      <c r="NTG1" s="536"/>
      <c r="NTH1" s="536"/>
      <c r="NTI1" s="536"/>
      <c r="NTJ1" s="536"/>
      <c r="NTK1" s="536"/>
      <c r="NTL1" s="536"/>
      <c r="NTM1" s="536"/>
      <c r="NTN1" s="536"/>
      <c r="NTO1" s="536"/>
      <c r="NTP1" s="536"/>
      <c r="NTQ1" s="536"/>
      <c r="NTR1" s="536"/>
      <c r="NTS1" s="536"/>
      <c r="NTT1" s="536"/>
      <c r="NTU1" s="536"/>
      <c r="NTV1" s="536"/>
      <c r="NTW1" s="536"/>
      <c r="NTX1" s="536"/>
      <c r="NTY1" s="536"/>
      <c r="NTZ1" s="536"/>
      <c r="NUA1" s="536"/>
      <c r="NUB1" s="536"/>
      <c r="NUC1" s="536"/>
      <c r="NUD1" s="536"/>
      <c r="NUE1" s="536"/>
      <c r="NUF1" s="536"/>
      <c r="NUG1" s="536"/>
      <c r="NUH1" s="536"/>
      <c r="NUI1" s="536"/>
      <c r="NUJ1" s="536"/>
      <c r="NUK1" s="536"/>
      <c r="NUL1" s="536"/>
      <c r="NUM1" s="536"/>
      <c r="NUN1" s="536"/>
      <c r="NUO1" s="536"/>
      <c r="NUP1" s="536"/>
      <c r="NUQ1" s="536"/>
      <c r="NUR1" s="536"/>
      <c r="NUS1" s="536"/>
      <c r="NUT1" s="536"/>
      <c r="NUU1" s="536"/>
      <c r="NUV1" s="536"/>
      <c r="NUW1" s="536"/>
      <c r="NUX1" s="536"/>
      <c r="NUY1" s="536"/>
      <c r="NUZ1" s="536"/>
      <c r="NVA1" s="536"/>
      <c r="NVB1" s="536"/>
      <c r="NVC1" s="536"/>
      <c r="NVD1" s="536"/>
      <c r="NVE1" s="536"/>
      <c r="NVF1" s="536"/>
      <c r="NVG1" s="536"/>
      <c r="NVH1" s="536"/>
      <c r="NVI1" s="536"/>
      <c r="NVJ1" s="536"/>
      <c r="NVK1" s="536"/>
      <c r="NVL1" s="536"/>
      <c r="NVM1" s="536"/>
      <c r="NVN1" s="536"/>
      <c r="NVO1" s="536"/>
      <c r="NVP1" s="536"/>
      <c r="NVQ1" s="536"/>
      <c r="NVR1" s="536"/>
      <c r="NVS1" s="536"/>
      <c r="NVT1" s="536"/>
      <c r="NVU1" s="536"/>
      <c r="NVV1" s="536"/>
      <c r="NVW1" s="536"/>
      <c r="NVX1" s="536"/>
      <c r="NVY1" s="536"/>
      <c r="NVZ1" s="536"/>
      <c r="NWA1" s="536"/>
      <c r="NWB1" s="536"/>
      <c r="NWC1" s="536"/>
      <c r="NWD1" s="536"/>
      <c r="NWE1" s="536"/>
      <c r="NWF1" s="536"/>
      <c r="NWG1" s="536"/>
      <c r="NWH1" s="536"/>
      <c r="NWI1" s="536"/>
      <c r="NWJ1" s="536"/>
      <c r="NWK1" s="536"/>
      <c r="NWL1" s="536"/>
      <c r="NWM1" s="536"/>
      <c r="NWN1" s="536"/>
      <c r="NWO1" s="536"/>
      <c r="NWP1" s="536"/>
      <c r="NWQ1" s="536"/>
      <c r="NWR1" s="536"/>
      <c r="NWS1" s="536"/>
      <c r="NWT1" s="536"/>
      <c r="NWU1" s="536"/>
      <c r="NWV1" s="536"/>
      <c r="NWW1" s="536"/>
      <c r="NWX1" s="536"/>
      <c r="NWY1" s="536"/>
      <c r="NWZ1" s="536"/>
      <c r="NXA1" s="536"/>
      <c r="NXB1" s="536"/>
      <c r="NXC1" s="536"/>
      <c r="NXD1" s="536"/>
      <c r="NXE1" s="536"/>
      <c r="NXF1" s="536"/>
      <c r="NXG1" s="536"/>
      <c r="NXH1" s="536"/>
      <c r="NXI1" s="536"/>
      <c r="NXJ1" s="536"/>
      <c r="NXK1" s="536"/>
      <c r="NXL1" s="536"/>
      <c r="NXM1" s="536"/>
      <c r="NXN1" s="536"/>
      <c r="NXO1" s="536"/>
      <c r="NXP1" s="536"/>
      <c r="NXQ1" s="536"/>
      <c r="NXR1" s="536"/>
      <c r="NXS1" s="536"/>
      <c r="NXT1" s="536"/>
      <c r="NXU1" s="536"/>
      <c r="NXV1" s="536"/>
      <c r="NXW1" s="536"/>
      <c r="NXX1" s="536"/>
      <c r="NXY1" s="536"/>
      <c r="NXZ1" s="536"/>
      <c r="NYA1" s="536"/>
      <c r="NYB1" s="536"/>
      <c r="NYC1" s="536"/>
      <c r="NYD1" s="536"/>
      <c r="NYE1" s="536"/>
      <c r="NYF1" s="536"/>
      <c r="NYG1" s="536"/>
      <c r="NYH1" s="536"/>
      <c r="NYI1" s="536"/>
      <c r="NYJ1" s="536"/>
      <c r="NYK1" s="536"/>
      <c r="NYL1" s="536"/>
      <c r="NYM1" s="536"/>
      <c r="NYN1" s="536"/>
      <c r="NYO1" s="536"/>
      <c r="NYP1" s="536"/>
      <c r="NYQ1" s="536"/>
      <c r="NYR1" s="536"/>
      <c r="NYS1" s="536"/>
      <c r="NYT1" s="536"/>
      <c r="NYU1" s="536"/>
      <c r="NYV1" s="536"/>
      <c r="NYW1" s="536"/>
      <c r="NYX1" s="536"/>
      <c r="NYY1" s="536"/>
      <c r="NYZ1" s="536"/>
      <c r="NZA1" s="536"/>
      <c r="NZB1" s="536"/>
      <c r="NZC1" s="536"/>
      <c r="NZD1" s="536"/>
      <c r="NZE1" s="536"/>
      <c r="NZF1" s="536"/>
      <c r="NZG1" s="536"/>
      <c r="NZH1" s="536"/>
      <c r="NZI1" s="536"/>
      <c r="NZJ1" s="536"/>
      <c r="NZK1" s="536"/>
      <c r="NZL1" s="536"/>
      <c r="NZM1" s="536"/>
      <c r="NZN1" s="536"/>
      <c r="NZO1" s="536"/>
      <c r="NZP1" s="536"/>
      <c r="NZQ1" s="536"/>
      <c r="NZR1" s="536"/>
      <c r="NZS1" s="536"/>
      <c r="NZT1" s="536"/>
      <c r="NZU1" s="536"/>
      <c r="NZV1" s="536"/>
      <c r="NZW1" s="536"/>
      <c r="NZX1" s="536"/>
      <c r="NZY1" s="536"/>
      <c r="NZZ1" s="536"/>
      <c r="OAA1" s="536"/>
      <c r="OAB1" s="536"/>
      <c r="OAC1" s="536"/>
      <c r="OAD1" s="536"/>
      <c r="OAE1" s="536"/>
      <c r="OAF1" s="536"/>
      <c r="OAG1" s="536"/>
      <c r="OAH1" s="536"/>
      <c r="OAI1" s="536"/>
      <c r="OAJ1" s="536"/>
      <c r="OAK1" s="536"/>
      <c r="OAL1" s="536"/>
      <c r="OAM1" s="536"/>
      <c r="OAN1" s="536"/>
      <c r="OAO1" s="536"/>
      <c r="OAP1" s="536"/>
      <c r="OAQ1" s="536"/>
      <c r="OAR1" s="536"/>
      <c r="OAS1" s="536"/>
      <c r="OAT1" s="536"/>
      <c r="OAU1" s="536"/>
      <c r="OAV1" s="536"/>
      <c r="OAW1" s="536"/>
      <c r="OAX1" s="536"/>
      <c r="OAY1" s="536"/>
      <c r="OAZ1" s="536"/>
      <c r="OBA1" s="536"/>
      <c r="OBB1" s="536"/>
      <c r="OBC1" s="536"/>
      <c r="OBD1" s="536"/>
      <c r="OBE1" s="536"/>
      <c r="OBF1" s="536"/>
      <c r="OBG1" s="536"/>
      <c r="OBH1" s="536"/>
      <c r="OBI1" s="536"/>
      <c r="OBJ1" s="536"/>
      <c r="OBK1" s="536"/>
      <c r="OBL1" s="536"/>
      <c r="OBM1" s="536"/>
      <c r="OBN1" s="536"/>
      <c r="OBO1" s="536"/>
      <c r="OBP1" s="536"/>
      <c r="OBQ1" s="536"/>
      <c r="OBR1" s="536"/>
      <c r="OBS1" s="536"/>
      <c r="OBT1" s="536"/>
      <c r="OBU1" s="536"/>
      <c r="OBV1" s="536"/>
      <c r="OBW1" s="536"/>
      <c r="OBX1" s="536"/>
      <c r="OBY1" s="536"/>
      <c r="OBZ1" s="536"/>
      <c r="OCA1" s="536"/>
      <c r="OCB1" s="536"/>
      <c r="OCC1" s="536"/>
      <c r="OCD1" s="536"/>
      <c r="OCE1" s="536"/>
      <c r="OCF1" s="536"/>
      <c r="OCG1" s="536"/>
      <c r="OCH1" s="536"/>
      <c r="OCI1" s="536"/>
      <c r="OCJ1" s="536"/>
      <c r="OCK1" s="536"/>
      <c r="OCL1" s="536"/>
      <c r="OCM1" s="536"/>
      <c r="OCN1" s="536"/>
      <c r="OCO1" s="536"/>
      <c r="OCP1" s="536"/>
      <c r="OCQ1" s="536"/>
      <c r="OCR1" s="536"/>
      <c r="OCS1" s="536"/>
      <c r="OCT1" s="536"/>
      <c r="OCU1" s="536"/>
      <c r="OCV1" s="536"/>
      <c r="OCW1" s="536"/>
      <c r="OCX1" s="536"/>
      <c r="OCY1" s="536"/>
      <c r="OCZ1" s="536"/>
      <c r="ODA1" s="536"/>
      <c r="ODB1" s="536"/>
      <c r="ODC1" s="536"/>
      <c r="ODD1" s="536"/>
      <c r="ODE1" s="536"/>
      <c r="ODF1" s="536"/>
      <c r="ODG1" s="536"/>
      <c r="ODH1" s="536"/>
      <c r="ODI1" s="536"/>
      <c r="ODJ1" s="536"/>
      <c r="ODK1" s="536"/>
      <c r="ODL1" s="536"/>
      <c r="ODM1" s="536"/>
      <c r="ODN1" s="536"/>
      <c r="ODO1" s="536"/>
      <c r="ODP1" s="536"/>
      <c r="ODQ1" s="536"/>
      <c r="ODR1" s="536"/>
      <c r="ODS1" s="536"/>
      <c r="ODT1" s="536"/>
      <c r="ODU1" s="536"/>
      <c r="ODV1" s="536"/>
      <c r="ODW1" s="536"/>
      <c r="ODX1" s="536"/>
      <c r="ODY1" s="536"/>
      <c r="ODZ1" s="536"/>
      <c r="OEA1" s="536"/>
      <c r="OEB1" s="536"/>
      <c r="OEC1" s="536"/>
      <c r="OED1" s="536"/>
      <c r="OEE1" s="536"/>
      <c r="OEF1" s="536"/>
      <c r="OEG1" s="536"/>
      <c r="OEH1" s="536"/>
      <c r="OEI1" s="536"/>
      <c r="OEJ1" s="536"/>
      <c r="OEK1" s="536"/>
      <c r="OEL1" s="536"/>
      <c r="OEM1" s="536"/>
      <c r="OEN1" s="536"/>
      <c r="OEO1" s="536"/>
      <c r="OEP1" s="536"/>
      <c r="OEQ1" s="536"/>
      <c r="OER1" s="536"/>
      <c r="OES1" s="536"/>
      <c r="OET1" s="536"/>
      <c r="OEU1" s="536"/>
      <c r="OEV1" s="536"/>
      <c r="OEW1" s="536"/>
      <c r="OEX1" s="536"/>
      <c r="OEY1" s="536"/>
      <c r="OEZ1" s="536"/>
      <c r="OFA1" s="536"/>
      <c r="OFB1" s="536"/>
      <c r="OFC1" s="536"/>
      <c r="OFD1" s="536"/>
      <c r="OFE1" s="536"/>
      <c r="OFF1" s="536"/>
      <c r="OFG1" s="536"/>
      <c r="OFH1" s="536"/>
      <c r="OFI1" s="536"/>
      <c r="OFJ1" s="536"/>
      <c r="OFK1" s="536"/>
      <c r="OFL1" s="536"/>
      <c r="OFM1" s="536"/>
      <c r="OFN1" s="536"/>
      <c r="OFO1" s="536"/>
      <c r="OFP1" s="536"/>
      <c r="OFQ1" s="536"/>
      <c r="OFR1" s="536"/>
      <c r="OFS1" s="536"/>
      <c r="OFT1" s="536"/>
      <c r="OFU1" s="536"/>
      <c r="OFV1" s="536"/>
      <c r="OFW1" s="536"/>
      <c r="OFX1" s="536"/>
      <c r="OFY1" s="536"/>
      <c r="OFZ1" s="536"/>
      <c r="OGA1" s="536"/>
      <c r="OGB1" s="536"/>
      <c r="OGC1" s="536"/>
      <c r="OGD1" s="536"/>
      <c r="OGE1" s="536"/>
      <c r="OGF1" s="536"/>
      <c r="OGG1" s="536"/>
      <c r="OGH1" s="536"/>
      <c r="OGI1" s="536"/>
      <c r="OGJ1" s="536"/>
      <c r="OGK1" s="536"/>
      <c r="OGL1" s="536"/>
      <c r="OGM1" s="536"/>
      <c r="OGN1" s="536"/>
      <c r="OGO1" s="536"/>
      <c r="OGP1" s="536"/>
      <c r="OGQ1" s="536"/>
      <c r="OGR1" s="536"/>
      <c r="OGS1" s="536"/>
      <c r="OGT1" s="536"/>
      <c r="OGU1" s="536"/>
      <c r="OGV1" s="536"/>
      <c r="OGW1" s="536"/>
      <c r="OGX1" s="536"/>
      <c r="OGY1" s="536"/>
      <c r="OGZ1" s="536"/>
      <c r="OHA1" s="536"/>
      <c r="OHB1" s="536"/>
      <c r="OHC1" s="536"/>
      <c r="OHD1" s="536"/>
      <c r="OHE1" s="536"/>
      <c r="OHF1" s="536"/>
      <c r="OHG1" s="536"/>
      <c r="OHH1" s="536"/>
      <c r="OHI1" s="536"/>
      <c r="OHJ1" s="536"/>
      <c r="OHK1" s="536"/>
      <c r="OHL1" s="536"/>
      <c r="OHM1" s="536"/>
      <c r="OHN1" s="536"/>
      <c r="OHO1" s="536"/>
      <c r="OHP1" s="536"/>
      <c r="OHQ1" s="536"/>
      <c r="OHR1" s="536"/>
      <c r="OHS1" s="536"/>
      <c r="OHT1" s="536"/>
      <c r="OHU1" s="536"/>
      <c r="OHV1" s="536"/>
      <c r="OHW1" s="536"/>
      <c r="OHX1" s="536"/>
      <c r="OHY1" s="536"/>
      <c r="OHZ1" s="536"/>
      <c r="OIA1" s="536"/>
      <c r="OIB1" s="536"/>
      <c r="OIC1" s="536"/>
      <c r="OID1" s="536"/>
      <c r="OIE1" s="536"/>
      <c r="OIF1" s="536"/>
      <c r="OIG1" s="536"/>
      <c r="OIH1" s="536"/>
      <c r="OII1" s="536"/>
      <c r="OIJ1" s="536"/>
      <c r="OIK1" s="536"/>
      <c r="OIL1" s="536"/>
      <c r="OIM1" s="536"/>
      <c r="OIN1" s="536"/>
      <c r="OIO1" s="536"/>
      <c r="OIP1" s="536"/>
      <c r="OIQ1" s="536"/>
      <c r="OIR1" s="536"/>
      <c r="OIS1" s="536"/>
      <c r="OIT1" s="536"/>
      <c r="OIU1" s="536"/>
      <c r="OIV1" s="536"/>
      <c r="OIW1" s="536"/>
      <c r="OIX1" s="536"/>
      <c r="OIY1" s="536"/>
      <c r="OIZ1" s="536"/>
      <c r="OJA1" s="536"/>
      <c r="OJB1" s="536"/>
      <c r="OJC1" s="536"/>
      <c r="OJD1" s="536"/>
      <c r="OJE1" s="536"/>
      <c r="OJF1" s="536"/>
      <c r="OJG1" s="536"/>
      <c r="OJH1" s="536"/>
      <c r="OJI1" s="536"/>
      <c r="OJJ1" s="536"/>
      <c r="OJK1" s="536"/>
      <c r="OJL1" s="536"/>
      <c r="OJM1" s="536"/>
      <c r="OJN1" s="536"/>
      <c r="OJO1" s="536"/>
      <c r="OJP1" s="536"/>
      <c r="OJQ1" s="536"/>
      <c r="OJR1" s="536"/>
      <c r="OJS1" s="536"/>
      <c r="OJT1" s="536"/>
      <c r="OJU1" s="536"/>
      <c r="OJV1" s="536"/>
      <c r="OJW1" s="536"/>
      <c r="OJX1" s="536"/>
      <c r="OJY1" s="536"/>
      <c r="OJZ1" s="536"/>
      <c r="OKA1" s="536"/>
      <c r="OKB1" s="536"/>
      <c r="OKC1" s="536"/>
      <c r="OKD1" s="536"/>
      <c r="OKE1" s="536"/>
      <c r="OKF1" s="536"/>
      <c r="OKG1" s="536"/>
      <c r="OKH1" s="536"/>
      <c r="OKI1" s="536"/>
      <c r="OKJ1" s="536"/>
      <c r="OKK1" s="536"/>
      <c r="OKL1" s="536"/>
      <c r="OKM1" s="536"/>
      <c r="OKN1" s="536"/>
      <c r="OKO1" s="536"/>
      <c r="OKP1" s="536"/>
      <c r="OKQ1" s="536"/>
      <c r="OKR1" s="536"/>
      <c r="OKS1" s="536"/>
      <c r="OKT1" s="536"/>
      <c r="OKU1" s="536"/>
      <c r="OKV1" s="536"/>
      <c r="OKW1" s="536"/>
      <c r="OKX1" s="536"/>
      <c r="OKY1" s="536"/>
      <c r="OKZ1" s="536"/>
      <c r="OLA1" s="536"/>
      <c r="OLB1" s="536"/>
      <c r="OLC1" s="536"/>
      <c r="OLD1" s="536"/>
      <c r="OLE1" s="536"/>
      <c r="OLF1" s="536"/>
      <c r="OLG1" s="536"/>
      <c r="OLH1" s="536"/>
      <c r="OLI1" s="536"/>
      <c r="OLJ1" s="536"/>
      <c r="OLK1" s="536"/>
      <c r="OLL1" s="536"/>
      <c r="OLM1" s="536"/>
      <c r="OLN1" s="536"/>
      <c r="OLO1" s="536"/>
      <c r="OLP1" s="536"/>
      <c r="OLQ1" s="536"/>
      <c r="OLR1" s="536"/>
      <c r="OLS1" s="536"/>
      <c r="OLT1" s="536"/>
      <c r="OLU1" s="536"/>
      <c r="OLV1" s="536"/>
      <c r="OLW1" s="536"/>
      <c r="OLX1" s="536"/>
      <c r="OLY1" s="536"/>
      <c r="OLZ1" s="536"/>
      <c r="OMA1" s="536"/>
      <c r="OMB1" s="536"/>
      <c r="OMC1" s="536"/>
      <c r="OMD1" s="536"/>
      <c r="OME1" s="536"/>
      <c r="OMF1" s="536"/>
      <c r="OMG1" s="536"/>
      <c r="OMH1" s="536"/>
      <c r="OMI1" s="536"/>
      <c r="OMJ1" s="536"/>
      <c r="OMK1" s="536"/>
      <c r="OML1" s="536"/>
      <c r="OMM1" s="536"/>
      <c r="OMN1" s="536"/>
      <c r="OMO1" s="536"/>
      <c r="OMP1" s="536"/>
      <c r="OMQ1" s="536"/>
      <c r="OMR1" s="536"/>
      <c r="OMS1" s="536"/>
      <c r="OMT1" s="536"/>
      <c r="OMU1" s="536"/>
      <c r="OMV1" s="536"/>
      <c r="OMW1" s="536"/>
      <c r="OMX1" s="536"/>
      <c r="OMY1" s="536"/>
      <c r="OMZ1" s="536"/>
      <c r="ONA1" s="536"/>
      <c r="ONB1" s="536"/>
      <c r="ONC1" s="536"/>
      <c r="OND1" s="536"/>
      <c r="ONE1" s="536"/>
      <c r="ONF1" s="536"/>
      <c r="ONG1" s="536"/>
      <c r="ONH1" s="536"/>
      <c r="ONI1" s="536"/>
      <c r="ONJ1" s="536"/>
      <c r="ONK1" s="536"/>
      <c r="ONL1" s="536"/>
      <c r="ONM1" s="536"/>
      <c r="ONN1" s="536"/>
      <c r="ONO1" s="536"/>
      <c r="ONP1" s="536"/>
      <c r="ONQ1" s="536"/>
      <c r="ONR1" s="536"/>
      <c r="ONS1" s="536"/>
      <c r="ONT1" s="536"/>
      <c r="ONU1" s="536"/>
      <c r="ONV1" s="536"/>
      <c r="ONW1" s="536"/>
      <c r="ONX1" s="536"/>
      <c r="ONY1" s="536"/>
      <c r="ONZ1" s="536"/>
      <c r="OOA1" s="536"/>
      <c r="OOB1" s="536"/>
      <c r="OOC1" s="536"/>
      <c r="OOD1" s="536"/>
      <c r="OOE1" s="536"/>
      <c r="OOF1" s="536"/>
      <c r="OOG1" s="536"/>
      <c r="OOH1" s="536"/>
      <c r="OOI1" s="536"/>
      <c r="OOJ1" s="536"/>
      <c r="OOK1" s="536"/>
      <c r="OOL1" s="536"/>
      <c r="OOM1" s="536"/>
      <c r="OON1" s="536"/>
      <c r="OOO1" s="536"/>
      <c r="OOP1" s="536"/>
      <c r="OOQ1" s="536"/>
      <c r="OOR1" s="536"/>
      <c r="OOS1" s="536"/>
      <c r="OOT1" s="536"/>
      <c r="OOU1" s="536"/>
      <c r="OOV1" s="536"/>
      <c r="OOW1" s="536"/>
      <c r="OOX1" s="536"/>
      <c r="OOY1" s="536"/>
      <c r="OOZ1" s="536"/>
      <c r="OPA1" s="536"/>
      <c r="OPB1" s="536"/>
      <c r="OPC1" s="536"/>
      <c r="OPD1" s="536"/>
      <c r="OPE1" s="536"/>
      <c r="OPF1" s="536"/>
      <c r="OPG1" s="536"/>
      <c r="OPH1" s="536"/>
      <c r="OPI1" s="536"/>
      <c r="OPJ1" s="536"/>
      <c r="OPK1" s="536"/>
      <c r="OPL1" s="536"/>
      <c r="OPM1" s="536"/>
      <c r="OPN1" s="536"/>
      <c r="OPO1" s="536"/>
      <c r="OPP1" s="536"/>
      <c r="OPQ1" s="536"/>
      <c r="OPR1" s="536"/>
      <c r="OPS1" s="536"/>
      <c r="OPT1" s="536"/>
      <c r="OPU1" s="536"/>
      <c r="OPV1" s="536"/>
      <c r="OPW1" s="536"/>
      <c r="OPX1" s="536"/>
      <c r="OPY1" s="536"/>
      <c r="OPZ1" s="536"/>
      <c r="OQA1" s="536"/>
      <c r="OQB1" s="536"/>
      <c r="OQC1" s="536"/>
      <c r="OQD1" s="536"/>
      <c r="OQE1" s="536"/>
      <c r="OQF1" s="536"/>
      <c r="OQG1" s="536"/>
      <c r="OQH1" s="536"/>
      <c r="OQI1" s="536"/>
      <c r="OQJ1" s="536"/>
      <c r="OQK1" s="536"/>
      <c r="OQL1" s="536"/>
      <c r="OQM1" s="536"/>
      <c r="OQN1" s="536"/>
      <c r="OQO1" s="536"/>
      <c r="OQP1" s="536"/>
      <c r="OQQ1" s="536"/>
      <c r="OQR1" s="536"/>
      <c r="OQS1" s="536"/>
      <c r="OQT1" s="536"/>
      <c r="OQU1" s="536"/>
      <c r="OQV1" s="536"/>
      <c r="OQW1" s="536"/>
      <c r="OQX1" s="536"/>
      <c r="OQY1" s="536"/>
      <c r="OQZ1" s="536"/>
      <c r="ORA1" s="536"/>
      <c r="ORB1" s="536"/>
      <c r="ORC1" s="536"/>
      <c r="ORD1" s="536"/>
      <c r="ORE1" s="536"/>
      <c r="ORF1" s="536"/>
      <c r="ORG1" s="536"/>
      <c r="ORH1" s="536"/>
      <c r="ORI1" s="536"/>
      <c r="ORJ1" s="536"/>
      <c r="ORK1" s="536"/>
      <c r="ORL1" s="536"/>
      <c r="ORM1" s="536"/>
      <c r="ORN1" s="536"/>
      <c r="ORO1" s="536"/>
      <c r="ORP1" s="536"/>
      <c r="ORQ1" s="536"/>
      <c r="ORR1" s="536"/>
      <c r="ORS1" s="536"/>
      <c r="ORT1" s="536"/>
      <c r="ORU1" s="536"/>
      <c r="ORV1" s="536"/>
      <c r="ORW1" s="536"/>
      <c r="ORX1" s="536"/>
      <c r="ORY1" s="536"/>
      <c r="ORZ1" s="536"/>
      <c r="OSA1" s="536"/>
      <c r="OSB1" s="536"/>
      <c r="OSC1" s="536"/>
      <c r="OSD1" s="536"/>
      <c r="OSE1" s="536"/>
      <c r="OSF1" s="536"/>
      <c r="OSG1" s="536"/>
      <c r="OSH1" s="536"/>
      <c r="OSI1" s="536"/>
      <c r="OSJ1" s="536"/>
      <c r="OSK1" s="536"/>
      <c r="OSL1" s="536"/>
      <c r="OSM1" s="536"/>
      <c r="OSN1" s="536"/>
      <c r="OSO1" s="536"/>
      <c r="OSP1" s="536"/>
      <c r="OSQ1" s="536"/>
      <c r="OSR1" s="536"/>
      <c r="OSS1" s="536"/>
      <c r="OST1" s="536"/>
      <c r="OSU1" s="536"/>
      <c r="OSV1" s="536"/>
      <c r="OSW1" s="536"/>
      <c r="OSX1" s="536"/>
      <c r="OSY1" s="536"/>
      <c r="OSZ1" s="536"/>
      <c r="OTA1" s="536"/>
      <c r="OTB1" s="536"/>
      <c r="OTC1" s="536"/>
      <c r="OTD1" s="536"/>
      <c r="OTE1" s="536"/>
      <c r="OTF1" s="536"/>
      <c r="OTG1" s="536"/>
      <c r="OTH1" s="536"/>
      <c r="OTI1" s="536"/>
      <c r="OTJ1" s="536"/>
      <c r="OTK1" s="536"/>
      <c r="OTL1" s="536"/>
      <c r="OTM1" s="536"/>
      <c r="OTN1" s="536"/>
      <c r="OTO1" s="536"/>
      <c r="OTP1" s="536"/>
      <c r="OTQ1" s="536"/>
      <c r="OTR1" s="536"/>
      <c r="OTS1" s="536"/>
      <c r="OTT1" s="536"/>
      <c r="OTU1" s="536"/>
      <c r="OTV1" s="536"/>
      <c r="OTW1" s="536"/>
      <c r="OTX1" s="536"/>
      <c r="OTY1" s="536"/>
      <c r="OTZ1" s="536"/>
      <c r="OUA1" s="536"/>
      <c r="OUB1" s="536"/>
      <c r="OUC1" s="536"/>
      <c r="OUD1" s="536"/>
      <c r="OUE1" s="536"/>
      <c r="OUF1" s="536"/>
      <c r="OUG1" s="536"/>
      <c r="OUH1" s="536"/>
      <c r="OUI1" s="536"/>
      <c r="OUJ1" s="536"/>
      <c r="OUK1" s="536"/>
      <c r="OUL1" s="536"/>
      <c r="OUM1" s="536"/>
      <c r="OUN1" s="536"/>
      <c r="OUO1" s="536"/>
      <c r="OUP1" s="536"/>
      <c r="OUQ1" s="536"/>
      <c r="OUR1" s="536"/>
      <c r="OUS1" s="536"/>
      <c r="OUT1" s="536"/>
      <c r="OUU1" s="536"/>
      <c r="OUV1" s="536"/>
      <c r="OUW1" s="536"/>
      <c r="OUX1" s="536"/>
      <c r="OUY1" s="536"/>
      <c r="OUZ1" s="536"/>
      <c r="OVA1" s="536"/>
      <c r="OVB1" s="536"/>
      <c r="OVC1" s="536"/>
      <c r="OVD1" s="536"/>
      <c r="OVE1" s="536"/>
      <c r="OVF1" s="536"/>
      <c r="OVG1" s="536"/>
      <c r="OVH1" s="536"/>
      <c r="OVI1" s="536"/>
      <c r="OVJ1" s="536"/>
      <c r="OVK1" s="536"/>
      <c r="OVL1" s="536"/>
      <c r="OVM1" s="536"/>
      <c r="OVN1" s="536"/>
      <c r="OVO1" s="536"/>
      <c r="OVP1" s="536"/>
      <c r="OVQ1" s="536"/>
      <c r="OVR1" s="536"/>
      <c r="OVS1" s="536"/>
      <c r="OVT1" s="536"/>
      <c r="OVU1" s="536"/>
      <c r="OVV1" s="536"/>
      <c r="OVW1" s="536"/>
      <c r="OVX1" s="536"/>
      <c r="OVY1" s="536"/>
      <c r="OVZ1" s="536"/>
      <c r="OWA1" s="536"/>
      <c r="OWB1" s="536"/>
      <c r="OWC1" s="536"/>
      <c r="OWD1" s="536"/>
      <c r="OWE1" s="536"/>
      <c r="OWF1" s="536"/>
      <c r="OWG1" s="536"/>
      <c r="OWH1" s="536"/>
      <c r="OWI1" s="536"/>
      <c r="OWJ1" s="536"/>
      <c r="OWK1" s="536"/>
      <c r="OWL1" s="536"/>
      <c r="OWM1" s="536"/>
      <c r="OWN1" s="536"/>
      <c r="OWO1" s="536"/>
      <c r="OWP1" s="536"/>
      <c r="OWQ1" s="536"/>
      <c r="OWR1" s="536"/>
      <c r="OWS1" s="536"/>
      <c r="OWT1" s="536"/>
      <c r="OWU1" s="536"/>
      <c r="OWV1" s="536"/>
      <c r="OWW1" s="536"/>
      <c r="OWX1" s="536"/>
      <c r="OWY1" s="536"/>
      <c r="OWZ1" s="536"/>
      <c r="OXA1" s="536"/>
      <c r="OXB1" s="536"/>
      <c r="OXC1" s="536"/>
      <c r="OXD1" s="536"/>
      <c r="OXE1" s="536"/>
      <c r="OXF1" s="536"/>
      <c r="OXG1" s="536"/>
      <c r="OXH1" s="536"/>
      <c r="OXI1" s="536"/>
      <c r="OXJ1" s="536"/>
      <c r="OXK1" s="536"/>
      <c r="OXL1" s="536"/>
      <c r="OXM1" s="536"/>
      <c r="OXN1" s="536"/>
      <c r="OXO1" s="536"/>
      <c r="OXP1" s="536"/>
      <c r="OXQ1" s="536"/>
      <c r="OXR1" s="536"/>
      <c r="OXS1" s="536"/>
      <c r="OXT1" s="536"/>
      <c r="OXU1" s="536"/>
      <c r="OXV1" s="536"/>
      <c r="OXW1" s="536"/>
      <c r="OXX1" s="536"/>
      <c r="OXY1" s="536"/>
      <c r="OXZ1" s="536"/>
      <c r="OYA1" s="536"/>
      <c r="OYB1" s="536"/>
      <c r="OYC1" s="536"/>
      <c r="OYD1" s="536"/>
      <c r="OYE1" s="536"/>
      <c r="OYF1" s="536"/>
      <c r="OYG1" s="536"/>
      <c r="OYH1" s="536"/>
      <c r="OYI1" s="536"/>
      <c r="OYJ1" s="536"/>
      <c r="OYK1" s="536"/>
      <c r="OYL1" s="536"/>
      <c r="OYM1" s="536"/>
      <c r="OYN1" s="536"/>
      <c r="OYO1" s="536"/>
      <c r="OYP1" s="536"/>
      <c r="OYQ1" s="536"/>
      <c r="OYR1" s="536"/>
      <c r="OYS1" s="536"/>
      <c r="OYT1" s="536"/>
      <c r="OYU1" s="536"/>
      <c r="OYV1" s="536"/>
      <c r="OYW1" s="536"/>
      <c r="OYX1" s="536"/>
      <c r="OYY1" s="536"/>
      <c r="OYZ1" s="536"/>
      <c r="OZA1" s="536"/>
      <c r="OZB1" s="536"/>
      <c r="OZC1" s="536"/>
      <c r="OZD1" s="536"/>
      <c r="OZE1" s="536"/>
      <c r="OZF1" s="536"/>
      <c r="OZG1" s="536"/>
      <c r="OZH1" s="536"/>
      <c r="OZI1" s="536"/>
      <c r="OZJ1" s="536"/>
      <c r="OZK1" s="536"/>
      <c r="OZL1" s="536"/>
      <c r="OZM1" s="536"/>
      <c r="OZN1" s="536"/>
      <c r="OZO1" s="536"/>
      <c r="OZP1" s="536"/>
      <c r="OZQ1" s="536"/>
      <c r="OZR1" s="536"/>
      <c r="OZS1" s="536"/>
      <c r="OZT1" s="536"/>
      <c r="OZU1" s="536"/>
      <c r="OZV1" s="536"/>
      <c r="OZW1" s="536"/>
      <c r="OZX1" s="536"/>
      <c r="OZY1" s="536"/>
      <c r="OZZ1" s="536"/>
      <c r="PAA1" s="536"/>
      <c r="PAB1" s="536"/>
      <c r="PAC1" s="536"/>
      <c r="PAD1" s="536"/>
      <c r="PAE1" s="536"/>
      <c r="PAF1" s="536"/>
      <c r="PAG1" s="536"/>
      <c r="PAH1" s="536"/>
      <c r="PAI1" s="536"/>
      <c r="PAJ1" s="536"/>
      <c r="PAK1" s="536"/>
      <c r="PAL1" s="536"/>
      <c r="PAM1" s="536"/>
      <c r="PAN1" s="536"/>
      <c r="PAO1" s="536"/>
      <c r="PAP1" s="536"/>
      <c r="PAQ1" s="536"/>
      <c r="PAR1" s="536"/>
      <c r="PAS1" s="536"/>
      <c r="PAT1" s="536"/>
      <c r="PAU1" s="536"/>
      <c r="PAV1" s="536"/>
      <c r="PAW1" s="536"/>
      <c r="PAX1" s="536"/>
      <c r="PAY1" s="536"/>
      <c r="PAZ1" s="536"/>
      <c r="PBA1" s="536"/>
      <c r="PBB1" s="536"/>
      <c r="PBC1" s="536"/>
      <c r="PBD1" s="536"/>
      <c r="PBE1" s="536"/>
      <c r="PBF1" s="536"/>
      <c r="PBG1" s="536"/>
      <c r="PBH1" s="536"/>
      <c r="PBI1" s="536"/>
      <c r="PBJ1" s="536"/>
      <c r="PBK1" s="536"/>
      <c r="PBL1" s="536"/>
      <c r="PBM1" s="536"/>
      <c r="PBN1" s="536"/>
      <c r="PBO1" s="536"/>
      <c r="PBP1" s="536"/>
      <c r="PBQ1" s="536"/>
      <c r="PBR1" s="536"/>
      <c r="PBS1" s="536"/>
      <c r="PBT1" s="536"/>
      <c r="PBU1" s="536"/>
      <c r="PBV1" s="536"/>
      <c r="PBW1" s="536"/>
      <c r="PBX1" s="536"/>
      <c r="PBY1" s="536"/>
      <c r="PBZ1" s="536"/>
      <c r="PCA1" s="536"/>
      <c r="PCB1" s="536"/>
      <c r="PCC1" s="536"/>
      <c r="PCD1" s="536"/>
      <c r="PCE1" s="536"/>
      <c r="PCF1" s="536"/>
      <c r="PCG1" s="536"/>
      <c r="PCH1" s="536"/>
      <c r="PCI1" s="536"/>
      <c r="PCJ1" s="536"/>
      <c r="PCK1" s="536"/>
      <c r="PCL1" s="536"/>
      <c r="PCM1" s="536"/>
      <c r="PCN1" s="536"/>
      <c r="PCO1" s="536"/>
      <c r="PCP1" s="536"/>
      <c r="PCQ1" s="536"/>
      <c r="PCR1" s="536"/>
      <c r="PCS1" s="536"/>
      <c r="PCT1" s="536"/>
      <c r="PCU1" s="536"/>
      <c r="PCV1" s="536"/>
      <c r="PCW1" s="536"/>
      <c r="PCX1" s="536"/>
      <c r="PCY1" s="536"/>
      <c r="PCZ1" s="536"/>
      <c r="PDA1" s="536"/>
      <c r="PDB1" s="536"/>
      <c r="PDC1" s="536"/>
      <c r="PDD1" s="536"/>
      <c r="PDE1" s="536"/>
      <c r="PDF1" s="536"/>
      <c r="PDG1" s="536"/>
      <c r="PDH1" s="536"/>
      <c r="PDI1" s="536"/>
      <c r="PDJ1" s="536"/>
      <c r="PDK1" s="536"/>
      <c r="PDL1" s="536"/>
      <c r="PDM1" s="536"/>
      <c r="PDN1" s="536"/>
      <c r="PDO1" s="536"/>
      <c r="PDP1" s="536"/>
      <c r="PDQ1" s="536"/>
      <c r="PDR1" s="536"/>
      <c r="PDS1" s="536"/>
      <c r="PDT1" s="536"/>
      <c r="PDU1" s="536"/>
      <c r="PDV1" s="536"/>
      <c r="PDW1" s="536"/>
      <c r="PDX1" s="536"/>
      <c r="PDY1" s="536"/>
      <c r="PDZ1" s="536"/>
      <c r="PEA1" s="536"/>
      <c r="PEB1" s="536"/>
      <c r="PEC1" s="536"/>
      <c r="PED1" s="536"/>
      <c r="PEE1" s="536"/>
      <c r="PEF1" s="536"/>
      <c r="PEG1" s="536"/>
      <c r="PEH1" s="536"/>
      <c r="PEI1" s="536"/>
      <c r="PEJ1" s="536"/>
      <c r="PEK1" s="536"/>
      <c r="PEL1" s="536"/>
      <c r="PEM1" s="536"/>
      <c r="PEN1" s="536"/>
      <c r="PEO1" s="536"/>
      <c r="PEP1" s="536"/>
      <c r="PEQ1" s="536"/>
      <c r="PER1" s="536"/>
      <c r="PES1" s="536"/>
      <c r="PET1" s="536"/>
      <c r="PEU1" s="536"/>
      <c r="PEV1" s="536"/>
      <c r="PEW1" s="536"/>
      <c r="PEX1" s="536"/>
      <c r="PEY1" s="536"/>
      <c r="PEZ1" s="536"/>
      <c r="PFA1" s="536"/>
      <c r="PFB1" s="536"/>
      <c r="PFC1" s="536"/>
      <c r="PFD1" s="536"/>
      <c r="PFE1" s="536"/>
      <c r="PFF1" s="536"/>
      <c r="PFG1" s="536"/>
      <c r="PFH1" s="536"/>
      <c r="PFI1" s="536"/>
      <c r="PFJ1" s="536"/>
      <c r="PFK1" s="536"/>
      <c r="PFL1" s="536"/>
      <c r="PFM1" s="536"/>
      <c r="PFN1" s="536"/>
      <c r="PFO1" s="536"/>
      <c r="PFP1" s="536"/>
      <c r="PFQ1" s="536"/>
      <c r="PFR1" s="536"/>
      <c r="PFS1" s="536"/>
      <c r="PFT1" s="536"/>
      <c r="PFU1" s="536"/>
      <c r="PFV1" s="536"/>
      <c r="PFW1" s="536"/>
      <c r="PFX1" s="536"/>
      <c r="PFY1" s="536"/>
      <c r="PFZ1" s="536"/>
      <c r="PGA1" s="536"/>
      <c r="PGB1" s="536"/>
      <c r="PGC1" s="536"/>
      <c r="PGD1" s="536"/>
      <c r="PGE1" s="536"/>
      <c r="PGF1" s="536"/>
      <c r="PGG1" s="536"/>
      <c r="PGH1" s="536"/>
      <c r="PGI1" s="536"/>
      <c r="PGJ1" s="536"/>
      <c r="PGK1" s="536"/>
      <c r="PGL1" s="536"/>
      <c r="PGM1" s="536"/>
      <c r="PGN1" s="536"/>
      <c r="PGO1" s="536"/>
      <c r="PGP1" s="536"/>
      <c r="PGQ1" s="536"/>
      <c r="PGR1" s="536"/>
      <c r="PGS1" s="536"/>
      <c r="PGT1" s="536"/>
      <c r="PGU1" s="536"/>
      <c r="PGV1" s="536"/>
      <c r="PGW1" s="536"/>
      <c r="PGX1" s="536"/>
      <c r="PGY1" s="536"/>
      <c r="PGZ1" s="536"/>
      <c r="PHA1" s="536"/>
      <c r="PHB1" s="536"/>
      <c r="PHC1" s="536"/>
      <c r="PHD1" s="536"/>
      <c r="PHE1" s="536"/>
      <c r="PHF1" s="536"/>
      <c r="PHG1" s="536"/>
      <c r="PHH1" s="536"/>
      <c r="PHI1" s="536"/>
      <c r="PHJ1" s="536"/>
      <c r="PHK1" s="536"/>
      <c r="PHL1" s="536"/>
      <c r="PHM1" s="536"/>
      <c r="PHN1" s="536"/>
      <c r="PHO1" s="536"/>
      <c r="PHP1" s="536"/>
      <c r="PHQ1" s="536"/>
      <c r="PHR1" s="536"/>
      <c r="PHS1" s="536"/>
      <c r="PHT1" s="536"/>
      <c r="PHU1" s="536"/>
      <c r="PHV1" s="536"/>
      <c r="PHW1" s="536"/>
      <c r="PHX1" s="536"/>
      <c r="PHY1" s="536"/>
      <c r="PHZ1" s="536"/>
      <c r="PIA1" s="536"/>
      <c r="PIB1" s="536"/>
      <c r="PIC1" s="536"/>
      <c r="PID1" s="536"/>
      <c r="PIE1" s="536"/>
      <c r="PIF1" s="536"/>
      <c r="PIG1" s="536"/>
      <c r="PIH1" s="536"/>
      <c r="PII1" s="536"/>
      <c r="PIJ1" s="536"/>
      <c r="PIK1" s="536"/>
      <c r="PIL1" s="536"/>
      <c r="PIM1" s="536"/>
      <c r="PIN1" s="536"/>
      <c r="PIO1" s="536"/>
      <c r="PIP1" s="536"/>
      <c r="PIQ1" s="536"/>
      <c r="PIR1" s="536"/>
      <c r="PIS1" s="536"/>
      <c r="PIT1" s="536"/>
      <c r="PIU1" s="536"/>
      <c r="PIV1" s="536"/>
      <c r="PIW1" s="536"/>
      <c r="PIX1" s="536"/>
      <c r="PIY1" s="536"/>
      <c r="PIZ1" s="536"/>
      <c r="PJA1" s="536"/>
      <c r="PJB1" s="536"/>
      <c r="PJC1" s="536"/>
      <c r="PJD1" s="536"/>
      <c r="PJE1" s="536"/>
      <c r="PJF1" s="536"/>
      <c r="PJG1" s="536"/>
      <c r="PJH1" s="536"/>
      <c r="PJI1" s="536"/>
      <c r="PJJ1" s="536"/>
      <c r="PJK1" s="536"/>
      <c r="PJL1" s="536"/>
      <c r="PJM1" s="536"/>
      <c r="PJN1" s="536"/>
      <c r="PJO1" s="536"/>
      <c r="PJP1" s="536"/>
      <c r="PJQ1" s="536"/>
      <c r="PJR1" s="536"/>
      <c r="PJS1" s="536"/>
      <c r="PJT1" s="536"/>
      <c r="PJU1" s="536"/>
      <c r="PJV1" s="536"/>
      <c r="PJW1" s="536"/>
      <c r="PJX1" s="536"/>
      <c r="PJY1" s="536"/>
      <c r="PJZ1" s="536"/>
      <c r="PKA1" s="536"/>
      <c r="PKB1" s="536"/>
      <c r="PKC1" s="536"/>
      <c r="PKD1" s="536"/>
      <c r="PKE1" s="536"/>
      <c r="PKF1" s="536"/>
      <c r="PKG1" s="536"/>
      <c r="PKH1" s="536"/>
      <c r="PKI1" s="536"/>
      <c r="PKJ1" s="536"/>
      <c r="PKK1" s="536"/>
      <c r="PKL1" s="536"/>
      <c r="PKM1" s="536"/>
      <c r="PKN1" s="536"/>
      <c r="PKO1" s="536"/>
      <c r="PKP1" s="536"/>
      <c r="PKQ1" s="536"/>
      <c r="PKR1" s="536"/>
      <c r="PKS1" s="536"/>
      <c r="PKT1" s="536"/>
      <c r="PKU1" s="536"/>
      <c r="PKV1" s="536"/>
      <c r="PKW1" s="536"/>
      <c r="PKX1" s="536"/>
      <c r="PKY1" s="536"/>
      <c r="PKZ1" s="536"/>
      <c r="PLA1" s="536"/>
      <c r="PLB1" s="536"/>
      <c r="PLC1" s="536"/>
      <c r="PLD1" s="536"/>
      <c r="PLE1" s="536"/>
      <c r="PLF1" s="536"/>
      <c r="PLG1" s="536"/>
      <c r="PLH1" s="536"/>
      <c r="PLI1" s="536"/>
      <c r="PLJ1" s="536"/>
      <c r="PLK1" s="536"/>
      <c r="PLL1" s="536"/>
      <c r="PLM1" s="536"/>
      <c r="PLN1" s="536"/>
      <c r="PLO1" s="536"/>
      <c r="PLP1" s="536"/>
      <c r="PLQ1" s="536"/>
      <c r="PLR1" s="536"/>
      <c r="PLS1" s="536"/>
      <c r="PLT1" s="536"/>
      <c r="PLU1" s="536"/>
      <c r="PLV1" s="536"/>
      <c r="PLW1" s="536"/>
      <c r="PLX1" s="536"/>
      <c r="PLY1" s="536"/>
      <c r="PLZ1" s="536"/>
      <c r="PMA1" s="536"/>
      <c r="PMB1" s="536"/>
      <c r="PMC1" s="536"/>
      <c r="PMD1" s="536"/>
      <c r="PME1" s="536"/>
      <c r="PMF1" s="536"/>
      <c r="PMG1" s="536"/>
      <c r="PMH1" s="536"/>
      <c r="PMI1" s="536"/>
      <c r="PMJ1" s="536"/>
      <c r="PMK1" s="536"/>
      <c r="PML1" s="536"/>
      <c r="PMM1" s="536"/>
      <c r="PMN1" s="536"/>
      <c r="PMO1" s="536"/>
      <c r="PMP1" s="536"/>
      <c r="PMQ1" s="536"/>
      <c r="PMR1" s="536"/>
      <c r="PMS1" s="536"/>
      <c r="PMT1" s="536"/>
      <c r="PMU1" s="536"/>
      <c r="PMV1" s="536"/>
      <c r="PMW1" s="536"/>
      <c r="PMX1" s="536"/>
      <c r="PMY1" s="536"/>
      <c r="PMZ1" s="536"/>
      <c r="PNA1" s="536"/>
      <c r="PNB1" s="536"/>
      <c r="PNC1" s="536"/>
      <c r="PND1" s="536"/>
      <c r="PNE1" s="536"/>
      <c r="PNF1" s="536"/>
      <c r="PNG1" s="536"/>
      <c r="PNH1" s="536"/>
      <c r="PNI1" s="536"/>
      <c r="PNJ1" s="536"/>
      <c r="PNK1" s="536"/>
      <c r="PNL1" s="536"/>
      <c r="PNM1" s="536"/>
      <c r="PNN1" s="536"/>
      <c r="PNO1" s="536"/>
      <c r="PNP1" s="536"/>
      <c r="PNQ1" s="536"/>
      <c r="PNR1" s="536"/>
      <c r="PNS1" s="536"/>
      <c r="PNT1" s="536"/>
      <c r="PNU1" s="536"/>
      <c r="PNV1" s="536"/>
      <c r="PNW1" s="536"/>
      <c r="PNX1" s="536"/>
      <c r="PNY1" s="536"/>
      <c r="PNZ1" s="536"/>
      <c r="POA1" s="536"/>
      <c r="POB1" s="536"/>
      <c r="POC1" s="536"/>
      <c r="POD1" s="536"/>
      <c r="POE1" s="536"/>
      <c r="POF1" s="536"/>
      <c r="POG1" s="536"/>
      <c r="POH1" s="536"/>
      <c r="POI1" s="536"/>
      <c r="POJ1" s="536"/>
      <c r="POK1" s="536"/>
      <c r="POL1" s="536"/>
      <c r="POM1" s="536"/>
      <c r="PON1" s="536"/>
      <c r="POO1" s="536"/>
      <c r="POP1" s="536"/>
      <c r="POQ1" s="536"/>
      <c r="POR1" s="536"/>
      <c r="POS1" s="536"/>
      <c r="POT1" s="536"/>
      <c r="POU1" s="536"/>
      <c r="POV1" s="536"/>
      <c r="POW1" s="536"/>
      <c r="POX1" s="536"/>
      <c r="POY1" s="536"/>
      <c r="POZ1" s="536"/>
      <c r="PPA1" s="536"/>
      <c r="PPB1" s="536"/>
      <c r="PPC1" s="536"/>
      <c r="PPD1" s="536"/>
      <c r="PPE1" s="536"/>
      <c r="PPF1" s="536"/>
      <c r="PPG1" s="536"/>
      <c r="PPH1" s="536"/>
      <c r="PPI1" s="536"/>
      <c r="PPJ1" s="536"/>
      <c r="PPK1" s="536"/>
      <c r="PPL1" s="536"/>
      <c r="PPM1" s="536"/>
      <c r="PPN1" s="536"/>
      <c r="PPO1" s="536"/>
      <c r="PPP1" s="536"/>
      <c r="PPQ1" s="536"/>
      <c r="PPR1" s="536"/>
      <c r="PPS1" s="536"/>
      <c r="PPT1" s="536"/>
      <c r="PPU1" s="536"/>
      <c r="PPV1" s="536"/>
      <c r="PPW1" s="536"/>
      <c r="PPX1" s="536"/>
      <c r="PPY1" s="536"/>
      <c r="PPZ1" s="536"/>
      <c r="PQA1" s="536"/>
      <c r="PQB1" s="536"/>
      <c r="PQC1" s="536"/>
      <c r="PQD1" s="536"/>
      <c r="PQE1" s="536"/>
      <c r="PQF1" s="536"/>
      <c r="PQG1" s="536"/>
      <c r="PQH1" s="536"/>
      <c r="PQI1" s="536"/>
      <c r="PQJ1" s="536"/>
      <c r="PQK1" s="536"/>
      <c r="PQL1" s="536"/>
      <c r="PQM1" s="536"/>
      <c r="PQN1" s="536"/>
      <c r="PQO1" s="536"/>
      <c r="PQP1" s="536"/>
      <c r="PQQ1" s="536"/>
      <c r="PQR1" s="536"/>
      <c r="PQS1" s="536"/>
      <c r="PQT1" s="536"/>
      <c r="PQU1" s="536"/>
      <c r="PQV1" s="536"/>
      <c r="PQW1" s="536"/>
      <c r="PQX1" s="536"/>
      <c r="PQY1" s="536"/>
      <c r="PQZ1" s="536"/>
      <c r="PRA1" s="536"/>
      <c r="PRB1" s="536"/>
      <c r="PRC1" s="536"/>
      <c r="PRD1" s="536"/>
      <c r="PRE1" s="536"/>
      <c r="PRF1" s="536"/>
      <c r="PRG1" s="536"/>
      <c r="PRH1" s="536"/>
      <c r="PRI1" s="536"/>
      <c r="PRJ1" s="536"/>
      <c r="PRK1" s="536"/>
      <c r="PRL1" s="536"/>
      <c r="PRM1" s="536"/>
      <c r="PRN1" s="536"/>
      <c r="PRO1" s="536"/>
      <c r="PRP1" s="536"/>
      <c r="PRQ1" s="536"/>
      <c r="PRR1" s="536"/>
      <c r="PRS1" s="536"/>
      <c r="PRT1" s="536"/>
      <c r="PRU1" s="536"/>
      <c r="PRV1" s="536"/>
      <c r="PRW1" s="536"/>
      <c r="PRX1" s="536"/>
      <c r="PRY1" s="536"/>
      <c r="PRZ1" s="536"/>
      <c r="PSA1" s="536"/>
      <c r="PSB1" s="536"/>
      <c r="PSC1" s="536"/>
      <c r="PSD1" s="536"/>
      <c r="PSE1" s="536"/>
      <c r="PSF1" s="536"/>
      <c r="PSG1" s="536"/>
      <c r="PSH1" s="536"/>
      <c r="PSI1" s="536"/>
      <c r="PSJ1" s="536"/>
      <c r="PSK1" s="536"/>
      <c r="PSL1" s="536"/>
      <c r="PSM1" s="536"/>
      <c r="PSN1" s="536"/>
      <c r="PSO1" s="536"/>
      <c r="PSP1" s="536"/>
      <c r="PSQ1" s="536"/>
      <c r="PSR1" s="536"/>
      <c r="PSS1" s="536"/>
      <c r="PST1" s="536"/>
      <c r="PSU1" s="536"/>
      <c r="PSV1" s="536"/>
      <c r="PSW1" s="536"/>
      <c r="PSX1" s="536"/>
      <c r="PSY1" s="536"/>
      <c r="PSZ1" s="536"/>
      <c r="PTA1" s="536"/>
      <c r="PTB1" s="536"/>
      <c r="PTC1" s="536"/>
      <c r="PTD1" s="536"/>
      <c r="PTE1" s="536"/>
      <c r="PTF1" s="536"/>
      <c r="PTG1" s="536"/>
      <c r="PTH1" s="536"/>
      <c r="PTI1" s="536"/>
      <c r="PTJ1" s="536"/>
      <c r="PTK1" s="536"/>
      <c r="PTL1" s="536"/>
      <c r="PTM1" s="536"/>
      <c r="PTN1" s="536"/>
      <c r="PTO1" s="536"/>
      <c r="PTP1" s="536"/>
      <c r="PTQ1" s="536"/>
      <c r="PTR1" s="536"/>
      <c r="PTS1" s="536"/>
      <c r="PTT1" s="536"/>
      <c r="PTU1" s="536"/>
      <c r="PTV1" s="536"/>
      <c r="PTW1" s="536"/>
      <c r="PTX1" s="536"/>
      <c r="PTY1" s="536"/>
      <c r="PTZ1" s="536"/>
      <c r="PUA1" s="536"/>
      <c r="PUB1" s="536"/>
      <c r="PUC1" s="536"/>
      <c r="PUD1" s="536"/>
      <c r="PUE1" s="536"/>
      <c r="PUF1" s="536"/>
      <c r="PUG1" s="536"/>
      <c r="PUH1" s="536"/>
      <c r="PUI1" s="536"/>
      <c r="PUJ1" s="536"/>
      <c r="PUK1" s="536"/>
      <c r="PUL1" s="536"/>
      <c r="PUM1" s="536"/>
      <c r="PUN1" s="536"/>
      <c r="PUO1" s="536"/>
      <c r="PUP1" s="536"/>
      <c r="PUQ1" s="536"/>
      <c r="PUR1" s="536"/>
      <c r="PUS1" s="536"/>
      <c r="PUT1" s="536"/>
      <c r="PUU1" s="536"/>
      <c r="PUV1" s="536"/>
      <c r="PUW1" s="536"/>
      <c r="PUX1" s="536"/>
      <c r="PUY1" s="536"/>
      <c r="PUZ1" s="536"/>
      <c r="PVA1" s="536"/>
      <c r="PVB1" s="536"/>
      <c r="PVC1" s="536"/>
      <c r="PVD1" s="536"/>
      <c r="PVE1" s="536"/>
      <c r="PVF1" s="536"/>
      <c r="PVG1" s="536"/>
      <c r="PVH1" s="536"/>
      <c r="PVI1" s="536"/>
      <c r="PVJ1" s="536"/>
      <c r="PVK1" s="536"/>
      <c r="PVL1" s="536"/>
      <c r="PVM1" s="536"/>
      <c r="PVN1" s="536"/>
      <c r="PVO1" s="536"/>
      <c r="PVP1" s="536"/>
      <c r="PVQ1" s="536"/>
      <c r="PVR1" s="536"/>
      <c r="PVS1" s="536"/>
      <c r="PVT1" s="536"/>
      <c r="PVU1" s="536"/>
      <c r="PVV1" s="536"/>
      <c r="PVW1" s="536"/>
      <c r="PVX1" s="536"/>
      <c r="PVY1" s="536"/>
      <c r="PVZ1" s="536"/>
      <c r="PWA1" s="536"/>
      <c r="PWB1" s="536"/>
      <c r="PWC1" s="536"/>
      <c r="PWD1" s="536"/>
      <c r="PWE1" s="536"/>
      <c r="PWF1" s="536"/>
      <c r="PWG1" s="536"/>
      <c r="PWH1" s="536"/>
      <c r="PWI1" s="536"/>
      <c r="PWJ1" s="536"/>
      <c r="PWK1" s="536"/>
      <c r="PWL1" s="536"/>
      <c r="PWM1" s="536"/>
      <c r="PWN1" s="536"/>
      <c r="PWO1" s="536"/>
      <c r="PWP1" s="536"/>
      <c r="PWQ1" s="536"/>
      <c r="PWR1" s="536"/>
      <c r="PWS1" s="536"/>
      <c r="PWT1" s="536"/>
      <c r="PWU1" s="536"/>
      <c r="PWV1" s="536"/>
      <c r="PWW1" s="536"/>
      <c r="PWX1" s="536"/>
      <c r="PWY1" s="536"/>
      <c r="PWZ1" s="536"/>
      <c r="PXA1" s="536"/>
      <c r="PXB1" s="536"/>
      <c r="PXC1" s="536"/>
      <c r="PXD1" s="536"/>
      <c r="PXE1" s="536"/>
      <c r="PXF1" s="536"/>
      <c r="PXG1" s="536"/>
      <c r="PXH1" s="536"/>
      <c r="PXI1" s="536"/>
      <c r="PXJ1" s="536"/>
      <c r="PXK1" s="536"/>
      <c r="PXL1" s="536"/>
      <c r="PXM1" s="536"/>
      <c r="PXN1" s="536"/>
      <c r="PXO1" s="536"/>
      <c r="PXP1" s="536"/>
      <c r="PXQ1" s="536"/>
      <c r="PXR1" s="536"/>
      <c r="PXS1" s="536"/>
      <c r="PXT1" s="536"/>
      <c r="PXU1" s="536"/>
      <c r="PXV1" s="536"/>
      <c r="PXW1" s="536"/>
      <c r="PXX1" s="536"/>
      <c r="PXY1" s="536"/>
      <c r="PXZ1" s="536"/>
      <c r="PYA1" s="536"/>
      <c r="PYB1" s="536"/>
      <c r="PYC1" s="536"/>
      <c r="PYD1" s="536"/>
      <c r="PYE1" s="536"/>
      <c r="PYF1" s="536"/>
      <c r="PYG1" s="536"/>
      <c r="PYH1" s="536"/>
      <c r="PYI1" s="536"/>
      <c r="PYJ1" s="536"/>
      <c r="PYK1" s="536"/>
      <c r="PYL1" s="536"/>
      <c r="PYM1" s="536"/>
      <c r="PYN1" s="536"/>
      <c r="PYO1" s="536"/>
      <c r="PYP1" s="536"/>
      <c r="PYQ1" s="536"/>
      <c r="PYR1" s="536"/>
      <c r="PYS1" s="536"/>
      <c r="PYT1" s="536"/>
      <c r="PYU1" s="536"/>
      <c r="PYV1" s="536"/>
      <c r="PYW1" s="536"/>
      <c r="PYX1" s="536"/>
      <c r="PYY1" s="536"/>
      <c r="PYZ1" s="536"/>
      <c r="PZA1" s="536"/>
      <c r="PZB1" s="536"/>
      <c r="PZC1" s="536"/>
      <c r="PZD1" s="536"/>
      <c r="PZE1" s="536"/>
      <c r="PZF1" s="536"/>
      <c r="PZG1" s="536"/>
      <c r="PZH1" s="536"/>
      <c r="PZI1" s="536"/>
      <c r="PZJ1" s="536"/>
      <c r="PZK1" s="536"/>
      <c r="PZL1" s="536"/>
      <c r="PZM1" s="536"/>
      <c r="PZN1" s="536"/>
      <c r="PZO1" s="536"/>
      <c r="PZP1" s="536"/>
      <c r="PZQ1" s="536"/>
      <c r="PZR1" s="536"/>
      <c r="PZS1" s="536"/>
      <c r="PZT1" s="536"/>
      <c r="PZU1" s="536"/>
      <c r="PZV1" s="536"/>
      <c r="PZW1" s="536"/>
      <c r="PZX1" s="536"/>
      <c r="PZY1" s="536"/>
      <c r="PZZ1" s="536"/>
      <c r="QAA1" s="536"/>
      <c r="QAB1" s="536"/>
      <c r="QAC1" s="536"/>
      <c r="QAD1" s="536"/>
      <c r="QAE1" s="536"/>
      <c r="QAF1" s="536"/>
      <c r="QAG1" s="536"/>
      <c r="QAH1" s="536"/>
      <c r="QAI1" s="536"/>
      <c r="QAJ1" s="536"/>
      <c r="QAK1" s="536"/>
      <c r="QAL1" s="536"/>
      <c r="QAM1" s="536"/>
      <c r="QAN1" s="536"/>
      <c r="QAO1" s="536"/>
      <c r="QAP1" s="536"/>
      <c r="QAQ1" s="536"/>
      <c r="QAR1" s="536"/>
      <c r="QAS1" s="536"/>
      <c r="QAT1" s="536"/>
      <c r="QAU1" s="536"/>
      <c r="QAV1" s="536"/>
      <c r="QAW1" s="536"/>
      <c r="QAX1" s="536"/>
      <c r="QAY1" s="536"/>
      <c r="QAZ1" s="536"/>
      <c r="QBA1" s="536"/>
      <c r="QBB1" s="536"/>
      <c r="QBC1" s="536"/>
      <c r="QBD1" s="536"/>
      <c r="QBE1" s="536"/>
      <c r="QBF1" s="536"/>
      <c r="QBG1" s="536"/>
      <c r="QBH1" s="536"/>
      <c r="QBI1" s="536"/>
      <c r="QBJ1" s="536"/>
      <c r="QBK1" s="536"/>
      <c r="QBL1" s="536"/>
      <c r="QBM1" s="536"/>
      <c r="QBN1" s="536"/>
      <c r="QBO1" s="536"/>
      <c r="QBP1" s="536"/>
      <c r="QBQ1" s="536"/>
      <c r="QBR1" s="536"/>
      <c r="QBS1" s="536"/>
      <c r="QBT1" s="536"/>
      <c r="QBU1" s="536"/>
      <c r="QBV1" s="536"/>
      <c r="QBW1" s="536"/>
      <c r="QBX1" s="536"/>
      <c r="QBY1" s="536"/>
      <c r="QBZ1" s="536"/>
      <c r="QCA1" s="536"/>
      <c r="QCB1" s="536"/>
      <c r="QCC1" s="536"/>
      <c r="QCD1" s="536"/>
      <c r="QCE1" s="536"/>
      <c r="QCF1" s="536"/>
      <c r="QCG1" s="536"/>
      <c r="QCH1" s="536"/>
      <c r="QCI1" s="536"/>
      <c r="QCJ1" s="536"/>
      <c r="QCK1" s="536"/>
      <c r="QCL1" s="536"/>
      <c r="QCM1" s="536"/>
      <c r="QCN1" s="536"/>
      <c r="QCO1" s="536"/>
      <c r="QCP1" s="536"/>
      <c r="QCQ1" s="536"/>
      <c r="QCR1" s="536"/>
      <c r="QCS1" s="536"/>
      <c r="QCT1" s="536"/>
      <c r="QCU1" s="536"/>
      <c r="QCV1" s="536"/>
      <c r="QCW1" s="536"/>
      <c r="QCX1" s="536"/>
      <c r="QCY1" s="536"/>
      <c r="QCZ1" s="536"/>
      <c r="QDA1" s="536"/>
      <c r="QDB1" s="536"/>
      <c r="QDC1" s="536"/>
      <c r="QDD1" s="536"/>
      <c r="QDE1" s="536"/>
      <c r="QDF1" s="536"/>
      <c r="QDG1" s="536"/>
      <c r="QDH1" s="536"/>
      <c r="QDI1" s="536"/>
      <c r="QDJ1" s="536"/>
      <c r="QDK1" s="536"/>
      <c r="QDL1" s="536"/>
      <c r="QDM1" s="536"/>
      <c r="QDN1" s="536"/>
      <c r="QDO1" s="536"/>
      <c r="QDP1" s="536"/>
      <c r="QDQ1" s="536"/>
      <c r="QDR1" s="536"/>
      <c r="QDS1" s="536"/>
      <c r="QDT1" s="536"/>
      <c r="QDU1" s="536"/>
      <c r="QDV1" s="536"/>
      <c r="QDW1" s="536"/>
      <c r="QDX1" s="536"/>
      <c r="QDY1" s="536"/>
      <c r="QDZ1" s="536"/>
      <c r="QEA1" s="536"/>
      <c r="QEB1" s="536"/>
      <c r="QEC1" s="536"/>
      <c r="QED1" s="536"/>
      <c r="QEE1" s="536"/>
      <c r="QEF1" s="536"/>
      <c r="QEG1" s="536"/>
      <c r="QEH1" s="536"/>
      <c r="QEI1" s="536"/>
      <c r="QEJ1" s="536"/>
      <c r="QEK1" s="536"/>
      <c r="QEL1" s="536"/>
      <c r="QEM1" s="536"/>
      <c r="QEN1" s="536"/>
      <c r="QEO1" s="536"/>
      <c r="QEP1" s="536"/>
      <c r="QEQ1" s="536"/>
      <c r="QER1" s="536"/>
      <c r="QES1" s="536"/>
      <c r="QET1" s="536"/>
      <c r="QEU1" s="536"/>
      <c r="QEV1" s="536"/>
      <c r="QEW1" s="536"/>
      <c r="QEX1" s="536"/>
      <c r="QEY1" s="536"/>
      <c r="QEZ1" s="536"/>
      <c r="QFA1" s="536"/>
      <c r="QFB1" s="536"/>
      <c r="QFC1" s="536"/>
      <c r="QFD1" s="536"/>
      <c r="QFE1" s="536"/>
      <c r="QFF1" s="536"/>
      <c r="QFG1" s="536"/>
      <c r="QFH1" s="536"/>
      <c r="QFI1" s="536"/>
      <c r="QFJ1" s="536"/>
      <c r="QFK1" s="536"/>
      <c r="QFL1" s="536"/>
      <c r="QFM1" s="536"/>
      <c r="QFN1" s="536"/>
      <c r="QFO1" s="536"/>
      <c r="QFP1" s="536"/>
      <c r="QFQ1" s="536"/>
      <c r="QFR1" s="536"/>
      <c r="QFS1" s="536"/>
      <c r="QFT1" s="536"/>
      <c r="QFU1" s="536"/>
      <c r="QFV1" s="536"/>
      <c r="QFW1" s="536"/>
      <c r="QFX1" s="536"/>
      <c r="QFY1" s="536"/>
      <c r="QFZ1" s="536"/>
      <c r="QGA1" s="536"/>
      <c r="QGB1" s="536"/>
      <c r="QGC1" s="536"/>
      <c r="QGD1" s="536"/>
      <c r="QGE1" s="536"/>
      <c r="QGF1" s="536"/>
      <c r="QGG1" s="536"/>
      <c r="QGH1" s="536"/>
      <c r="QGI1" s="536"/>
      <c r="QGJ1" s="536"/>
      <c r="QGK1" s="536"/>
      <c r="QGL1" s="536"/>
      <c r="QGM1" s="536"/>
      <c r="QGN1" s="536"/>
      <c r="QGO1" s="536"/>
      <c r="QGP1" s="536"/>
      <c r="QGQ1" s="536"/>
      <c r="QGR1" s="536"/>
      <c r="QGS1" s="536"/>
      <c r="QGT1" s="536"/>
      <c r="QGU1" s="536"/>
      <c r="QGV1" s="536"/>
      <c r="QGW1" s="536"/>
      <c r="QGX1" s="536"/>
      <c r="QGY1" s="536"/>
      <c r="QGZ1" s="536"/>
      <c r="QHA1" s="536"/>
      <c r="QHB1" s="536"/>
      <c r="QHC1" s="536"/>
      <c r="QHD1" s="536"/>
      <c r="QHE1" s="536"/>
      <c r="QHF1" s="536"/>
      <c r="QHG1" s="536"/>
      <c r="QHH1" s="536"/>
      <c r="QHI1" s="536"/>
      <c r="QHJ1" s="536"/>
      <c r="QHK1" s="536"/>
      <c r="QHL1" s="536"/>
      <c r="QHM1" s="536"/>
      <c r="QHN1" s="536"/>
      <c r="QHO1" s="536"/>
      <c r="QHP1" s="536"/>
      <c r="QHQ1" s="536"/>
      <c r="QHR1" s="536"/>
      <c r="QHS1" s="536"/>
      <c r="QHT1" s="536"/>
      <c r="QHU1" s="536"/>
      <c r="QHV1" s="536"/>
      <c r="QHW1" s="536"/>
      <c r="QHX1" s="536"/>
      <c r="QHY1" s="536"/>
      <c r="QHZ1" s="536"/>
      <c r="QIA1" s="536"/>
      <c r="QIB1" s="536"/>
      <c r="QIC1" s="536"/>
      <c r="QID1" s="536"/>
      <c r="QIE1" s="536"/>
      <c r="QIF1" s="536"/>
      <c r="QIG1" s="536"/>
      <c r="QIH1" s="536"/>
      <c r="QII1" s="536"/>
      <c r="QIJ1" s="536"/>
      <c r="QIK1" s="536"/>
      <c r="QIL1" s="536"/>
      <c r="QIM1" s="536"/>
      <c r="QIN1" s="536"/>
      <c r="QIO1" s="536"/>
      <c r="QIP1" s="536"/>
      <c r="QIQ1" s="536"/>
      <c r="QIR1" s="536"/>
      <c r="QIS1" s="536"/>
      <c r="QIT1" s="536"/>
      <c r="QIU1" s="536"/>
      <c r="QIV1" s="536"/>
      <c r="QIW1" s="536"/>
      <c r="QIX1" s="536"/>
      <c r="QIY1" s="536"/>
      <c r="QIZ1" s="536"/>
      <c r="QJA1" s="536"/>
      <c r="QJB1" s="536"/>
      <c r="QJC1" s="536"/>
      <c r="QJD1" s="536"/>
      <c r="QJE1" s="536"/>
      <c r="QJF1" s="536"/>
      <c r="QJG1" s="536"/>
      <c r="QJH1" s="536"/>
      <c r="QJI1" s="536"/>
      <c r="QJJ1" s="536"/>
      <c r="QJK1" s="536"/>
      <c r="QJL1" s="536"/>
      <c r="QJM1" s="536"/>
      <c r="QJN1" s="536"/>
      <c r="QJO1" s="536"/>
      <c r="QJP1" s="536"/>
      <c r="QJQ1" s="536"/>
      <c r="QJR1" s="536"/>
      <c r="QJS1" s="536"/>
      <c r="QJT1" s="536"/>
      <c r="QJU1" s="536"/>
      <c r="QJV1" s="536"/>
      <c r="QJW1" s="536"/>
      <c r="QJX1" s="536"/>
      <c r="QJY1" s="536"/>
      <c r="QJZ1" s="536"/>
      <c r="QKA1" s="536"/>
      <c r="QKB1" s="536"/>
      <c r="QKC1" s="536"/>
      <c r="QKD1" s="536"/>
      <c r="QKE1" s="536"/>
      <c r="QKF1" s="536"/>
      <c r="QKG1" s="536"/>
      <c r="QKH1" s="536"/>
      <c r="QKI1" s="536"/>
      <c r="QKJ1" s="536"/>
      <c r="QKK1" s="536"/>
      <c r="QKL1" s="536"/>
      <c r="QKM1" s="536"/>
      <c r="QKN1" s="536"/>
      <c r="QKO1" s="536"/>
      <c r="QKP1" s="536"/>
      <c r="QKQ1" s="536"/>
      <c r="QKR1" s="536"/>
      <c r="QKS1" s="536"/>
      <c r="QKT1" s="536"/>
      <c r="QKU1" s="536"/>
      <c r="QKV1" s="536"/>
      <c r="QKW1" s="536"/>
      <c r="QKX1" s="536"/>
      <c r="QKY1" s="536"/>
      <c r="QKZ1" s="536"/>
      <c r="QLA1" s="536"/>
      <c r="QLB1" s="536"/>
      <c r="QLC1" s="536"/>
      <c r="QLD1" s="536"/>
      <c r="QLE1" s="536"/>
      <c r="QLF1" s="536"/>
      <c r="QLG1" s="536"/>
      <c r="QLH1" s="536"/>
      <c r="QLI1" s="536"/>
      <c r="QLJ1" s="536"/>
      <c r="QLK1" s="536"/>
      <c r="QLL1" s="536"/>
      <c r="QLM1" s="536"/>
      <c r="QLN1" s="536"/>
      <c r="QLO1" s="536"/>
      <c r="QLP1" s="536"/>
      <c r="QLQ1" s="536"/>
      <c r="QLR1" s="536"/>
      <c r="QLS1" s="536"/>
      <c r="QLT1" s="536"/>
      <c r="QLU1" s="536"/>
      <c r="QLV1" s="536"/>
      <c r="QLW1" s="536"/>
      <c r="QLX1" s="536"/>
      <c r="QLY1" s="536"/>
      <c r="QLZ1" s="536"/>
      <c r="QMA1" s="536"/>
      <c r="QMB1" s="536"/>
      <c r="QMC1" s="536"/>
      <c r="QMD1" s="536"/>
      <c r="QME1" s="536"/>
      <c r="QMF1" s="536"/>
      <c r="QMG1" s="536"/>
      <c r="QMH1" s="536"/>
      <c r="QMI1" s="536"/>
      <c r="QMJ1" s="536"/>
      <c r="QMK1" s="536"/>
      <c r="QML1" s="536"/>
      <c r="QMM1" s="536"/>
      <c r="QMN1" s="536"/>
      <c r="QMO1" s="536"/>
      <c r="QMP1" s="536"/>
      <c r="QMQ1" s="536"/>
      <c r="QMR1" s="536"/>
      <c r="QMS1" s="536"/>
      <c r="QMT1" s="536"/>
      <c r="QMU1" s="536"/>
      <c r="QMV1" s="536"/>
      <c r="QMW1" s="536"/>
      <c r="QMX1" s="536"/>
      <c r="QMY1" s="536"/>
      <c r="QMZ1" s="536"/>
      <c r="QNA1" s="536"/>
      <c r="QNB1" s="536"/>
      <c r="QNC1" s="536"/>
      <c r="QND1" s="536"/>
      <c r="QNE1" s="536"/>
      <c r="QNF1" s="536"/>
      <c r="QNG1" s="536"/>
      <c r="QNH1" s="536"/>
      <c r="QNI1" s="536"/>
      <c r="QNJ1" s="536"/>
      <c r="QNK1" s="536"/>
      <c r="QNL1" s="536"/>
      <c r="QNM1" s="536"/>
      <c r="QNN1" s="536"/>
      <c r="QNO1" s="536"/>
      <c r="QNP1" s="536"/>
      <c r="QNQ1" s="536"/>
      <c r="QNR1" s="536"/>
      <c r="QNS1" s="536"/>
      <c r="QNT1" s="536"/>
      <c r="QNU1" s="536"/>
      <c r="QNV1" s="536"/>
      <c r="QNW1" s="536"/>
      <c r="QNX1" s="536"/>
      <c r="QNY1" s="536"/>
      <c r="QNZ1" s="536"/>
      <c r="QOA1" s="536"/>
      <c r="QOB1" s="536"/>
      <c r="QOC1" s="536"/>
      <c r="QOD1" s="536"/>
      <c r="QOE1" s="536"/>
      <c r="QOF1" s="536"/>
      <c r="QOG1" s="536"/>
      <c r="QOH1" s="536"/>
      <c r="QOI1" s="536"/>
      <c r="QOJ1" s="536"/>
      <c r="QOK1" s="536"/>
      <c r="QOL1" s="536"/>
      <c r="QOM1" s="536"/>
      <c r="QON1" s="536"/>
      <c r="QOO1" s="536"/>
      <c r="QOP1" s="536"/>
      <c r="QOQ1" s="536"/>
      <c r="QOR1" s="536"/>
      <c r="QOS1" s="536"/>
      <c r="QOT1" s="536"/>
      <c r="QOU1" s="536"/>
      <c r="QOV1" s="536"/>
      <c r="QOW1" s="536"/>
      <c r="QOX1" s="536"/>
      <c r="QOY1" s="536"/>
      <c r="QOZ1" s="536"/>
      <c r="QPA1" s="536"/>
      <c r="QPB1" s="536"/>
      <c r="QPC1" s="536"/>
      <c r="QPD1" s="536"/>
      <c r="QPE1" s="536"/>
      <c r="QPF1" s="536"/>
      <c r="QPG1" s="536"/>
      <c r="QPH1" s="536"/>
      <c r="QPI1" s="536"/>
      <c r="QPJ1" s="536"/>
      <c r="QPK1" s="536"/>
      <c r="QPL1" s="536"/>
      <c r="QPM1" s="536"/>
      <c r="QPN1" s="536"/>
      <c r="QPO1" s="536"/>
      <c r="QPP1" s="536"/>
      <c r="QPQ1" s="536"/>
      <c r="QPR1" s="536"/>
      <c r="QPS1" s="536"/>
      <c r="QPT1" s="536"/>
      <c r="QPU1" s="536"/>
      <c r="QPV1" s="536"/>
      <c r="QPW1" s="536"/>
      <c r="QPX1" s="536"/>
      <c r="QPY1" s="536"/>
      <c r="QPZ1" s="536"/>
      <c r="QQA1" s="536"/>
      <c r="QQB1" s="536"/>
      <c r="QQC1" s="536"/>
      <c r="QQD1" s="536"/>
      <c r="QQE1" s="536"/>
      <c r="QQF1" s="536"/>
      <c r="QQG1" s="536"/>
      <c r="QQH1" s="536"/>
      <c r="QQI1" s="536"/>
      <c r="QQJ1" s="536"/>
      <c r="QQK1" s="536"/>
      <c r="QQL1" s="536"/>
      <c r="QQM1" s="536"/>
      <c r="QQN1" s="536"/>
      <c r="QQO1" s="536"/>
      <c r="QQP1" s="536"/>
      <c r="QQQ1" s="536"/>
      <c r="QQR1" s="536"/>
      <c r="QQS1" s="536"/>
      <c r="QQT1" s="536"/>
      <c r="QQU1" s="536"/>
      <c r="QQV1" s="536"/>
      <c r="QQW1" s="536"/>
      <c r="QQX1" s="536"/>
      <c r="QQY1" s="536"/>
      <c r="QQZ1" s="536"/>
      <c r="QRA1" s="536"/>
      <c r="QRB1" s="536"/>
      <c r="QRC1" s="536"/>
      <c r="QRD1" s="536"/>
      <c r="QRE1" s="536"/>
      <c r="QRF1" s="536"/>
      <c r="QRG1" s="536"/>
      <c r="QRH1" s="536"/>
      <c r="QRI1" s="536"/>
      <c r="QRJ1" s="536"/>
      <c r="QRK1" s="536"/>
      <c r="QRL1" s="536"/>
      <c r="QRM1" s="536"/>
      <c r="QRN1" s="536"/>
      <c r="QRO1" s="536"/>
      <c r="QRP1" s="536"/>
      <c r="QRQ1" s="536"/>
      <c r="QRR1" s="536"/>
      <c r="QRS1" s="536"/>
      <c r="QRT1" s="536"/>
      <c r="QRU1" s="536"/>
      <c r="QRV1" s="536"/>
      <c r="QRW1" s="536"/>
      <c r="QRX1" s="536"/>
      <c r="QRY1" s="536"/>
      <c r="QRZ1" s="536"/>
      <c r="QSA1" s="536"/>
      <c r="QSB1" s="536"/>
      <c r="QSC1" s="536"/>
      <c r="QSD1" s="536"/>
      <c r="QSE1" s="536"/>
      <c r="QSF1" s="536"/>
      <c r="QSG1" s="536"/>
      <c r="QSH1" s="536"/>
      <c r="QSI1" s="536"/>
      <c r="QSJ1" s="536"/>
      <c r="QSK1" s="536"/>
      <c r="QSL1" s="536"/>
      <c r="QSM1" s="536"/>
      <c r="QSN1" s="536"/>
      <c r="QSO1" s="536"/>
      <c r="QSP1" s="536"/>
      <c r="QSQ1" s="536"/>
      <c r="QSR1" s="536"/>
      <c r="QSS1" s="536"/>
      <c r="QST1" s="536"/>
      <c r="QSU1" s="536"/>
      <c r="QSV1" s="536"/>
      <c r="QSW1" s="536"/>
      <c r="QSX1" s="536"/>
      <c r="QSY1" s="536"/>
      <c r="QSZ1" s="536"/>
      <c r="QTA1" s="536"/>
      <c r="QTB1" s="536"/>
      <c r="QTC1" s="536"/>
      <c r="QTD1" s="536"/>
      <c r="QTE1" s="536"/>
      <c r="QTF1" s="536"/>
      <c r="QTG1" s="536"/>
      <c r="QTH1" s="536"/>
      <c r="QTI1" s="536"/>
      <c r="QTJ1" s="536"/>
      <c r="QTK1" s="536"/>
      <c r="QTL1" s="536"/>
      <c r="QTM1" s="536"/>
      <c r="QTN1" s="536"/>
      <c r="QTO1" s="536"/>
      <c r="QTP1" s="536"/>
      <c r="QTQ1" s="536"/>
      <c r="QTR1" s="536"/>
      <c r="QTS1" s="536"/>
      <c r="QTT1" s="536"/>
      <c r="QTU1" s="536"/>
      <c r="QTV1" s="536"/>
      <c r="QTW1" s="536"/>
      <c r="QTX1" s="536"/>
      <c r="QTY1" s="536"/>
      <c r="QTZ1" s="536"/>
      <c r="QUA1" s="536"/>
      <c r="QUB1" s="536"/>
      <c r="QUC1" s="536"/>
      <c r="QUD1" s="536"/>
      <c r="QUE1" s="536"/>
      <c r="QUF1" s="536"/>
      <c r="QUG1" s="536"/>
      <c r="QUH1" s="536"/>
      <c r="QUI1" s="536"/>
      <c r="QUJ1" s="536"/>
      <c r="QUK1" s="536"/>
      <c r="QUL1" s="536"/>
      <c r="QUM1" s="536"/>
      <c r="QUN1" s="536"/>
      <c r="QUO1" s="536"/>
      <c r="QUP1" s="536"/>
      <c r="QUQ1" s="536"/>
      <c r="QUR1" s="536"/>
      <c r="QUS1" s="536"/>
      <c r="QUT1" s="536"/>
      <c r="QUU1" s="536"/>
      <c r="QUV1" s="536"/>
      <c r="QUW1" s="536"/>
      <c r="QUX1" s="536"/>
      <c r="QUY1" s="536"/>
      <c r="QUZ1" s="536"/>
      <c r="QVA1" s="536"/>
      <c r="QVB1" s="536"/>
      <c r="QVC1" s="536"/>
      <c r="QVD1" s="536"/>
      <c r="QVE1" s="536"/>
      <c r="QVF1" s="536"/>
      <c r="QVG1" s="536"/>
      <c r="QVH1" s="536"/>
      <c r="QVI1" s="536"/>
      <c r="QVJ1" s="536"/>
      <c r="QVK1" s="536"/>
      <c r="QVL1" s="536"/>
      <c r="QVM1" s="536"/>
      <c r="QVN1" s="536"/>
      <c r="QVO1" s="536"/>
      <c r="QVP1" s="536"/>
      <c r="QVQ1" s="536"/>
      <c r="QVR1" s="536"/>
      <c r="QVS1" s="536"/>
      <c r="QVT1" s="536"/>
      <c r="QVU1" s="536"/>
      <c r="QVV1" s="536"/>
      <c r="QVW1" s="536"/>
      <c r="QVX1" s="536"/>
      <c r="QVY1" s="536"/>
      <c r="QVZ1" s="536"/>
      <c r="QWA1" s="536"/>
      <c r="QWB1" s="536"/>
      <c r="QWC1" s="536"/>
      <c r="QWD1" s="536"/>
      <c r="QWE1" s="536"/>
      <c r="QWF1" s="536"/>
      <c r="QWG1" s="536"/>
      <c r="QWH1" s="536"/>
      <c r="QWI1" s="536"/>
      <c r="QWJ1" s="536"/>
      <c r="QWK1" s="536"/>
      <c r="QWL1" s="536"/>
      <c r="QWM1" s="536"/>
      <c r="QWN1" s="536"/>
      <c r="QWO1" s="536"/>
      <c r="QWP1" s="536"/>
      <c r="QWQ1" s="536"/>
      <c r="QWR1" s="536"/>
      <c r="QWS1" s="536"/>
      <c r="QWT1" s="536"/>
      <c r="QWU1" s="536"/>
      <c r="QWV1" s="536"/>
      <c r="QWW1" s="536"/>
      <c r="QWX1" s="536"/>
      <c r="QWY1" s="536"/>
      <c r="QWZ1" s="536"/>
      <c r="QXA1" s="536"/>
      <c r="QXB1" s="536"/>
      <c r="QXC1" s="536"/>
      <c r="QXD1" s="536"/>
      <c r="QXE1" s="536"/>
      <c r="QXF1" s="536"/>
      <c r="QXG1" s="536"/>
      <c r="QXH1" s="536"/>
      <c r="QXI1" s="536"/>
      <c r="QXJ1" s="536"/>
      <c r="QXK1" s="536"/>
      <c r="QXL1" s="536"/>
      <c r="QXM1" s="536"/>
      <c r="QXN1" s="536"/>
      <c r="QXO1" s="536"/>
      <c r="QXP1" s="536"/>
      <c r="QXQ1" s="536"/>
      <c r="QXR1" s="536"/>
      <c r="QXS1" s="536"/>
      <c r="QXT1" s="536"/>
      <c r="QXU1" s="536"/>
      <c r="QXV1" s="536"/>
      <c r="QXW1" s="536"/>
      <c r="QXX1" s="536"/>
      <c r="QXY1" s="536"/>
      <c r="QXZ1" s="536"/>
      <c r="QYA1" s="536"/>
      <c r="QYB1" s="536"/>
      <c r="QYC1" s="536"/>
      <c r="QYD1" s="536"/>
      <c r="QYE1" s="536"/>
      <c r="QYF1" s="536"/>
      <c r="QYG1" s="536"/>
      <c r="QYH1" s="536"/>
      <c r="QYI1" s="536"/>
      <c r="QYJ1" s="536"/>
      <c r="QYK1" s="536"/>
      <c r="QYL1" s="536"/>
      <c r="QYM1" s="536"/>
      <c r="QYN1" s="536"/>
      <c r="QYO1" s="536"/>
      <c r="QYP1" s="536"/>
      <c r="QYQ1" s="536"/>
      <c r="QYR1" s="536"/>
      <c r="QYS1" s="536"/>
      <c r="QYT1" s="536"/>
      <c r="QYU1" s="536"/>
      <c r="QYV1" s="536"/>
      <c r="QYW1" s="536"/>
      <c r="QYX1" s="536"/>
      <c r="QYY1" s="536"/>
      <c r="QYZ1" s="536"/>
      <c r="QZA1" s="536"/>
      <c r="QZB1" s="536"/>
      <c r="QZC1" s="536"/>
      <c r="QZD1" s="536"/>
      <c r="QZE1" s="536"/>
      <c r="QZF1" s="536"/>
      <c r="QZG1" s="536"/>
      <c r="QZH1" s="536"/>
      <c r="QZI1" s="536"/>
      <c r="QZJ1" s="536"/>
      <c r="QZK1" s="536"/>
      <c r="QZL1" s="536"/>
      <c r="QZM1" s="536"/>
      <c r="QZN1" s="536"/>
      <c r="QZO1" s="536"/>
      <c r="QZP1" s="536"/>
      <c r="QZQ1" s="536"/>
      <c r="QZR1" s="536"/>
      <c r="QZS1" s="536"/>
      <c r="QZT1" s="536"/>
      <c r="QZU1" s="536"/>
      <c r="QZV1" s="536"/>
      <c r="QZW1" s="536"/>
      <c r="QZX1" s="536"/>
      <c r="QZY1" s="536"/>
      <c r="QZZ1" s="536"/>
      <c r="RAA1" s="536"/>
      <c r="RAB1" s="536"/>
      <c r="RAC1" s="536"/>
      <c r="RAD1" s="536"/>
      <c r="RAE1" s="536"/>
      <c r="RAF1" s="536"/>
      <c r="RAG1" s="536"/>
      <c r="RAH1" s="536"/>
      <c r="RAI1" s="536"/>
      <c r="RAJ1" s="536"/>
      <c r="RAK1" s="536"/>
      <c r="RAL1" s="536"/>
      <c r="RAM1" s="536"/>
      <c r="RAN1" s="536"/>
      <c r="RAO1" s="536"/>
      <c r="RAP1" s="536"/>
      <c r="RAQ1" s="536"/>
      <c r="RAR1" s="536"/>
      <c r="RAS1" s="536"/>
      <c r="RAT1" s="536"/>
      <c r="RAU1" s="536"/>
      <c r="RAV1" s="536"/>
      <c r="RAW1" s="536"/>
      <c r="RAX1" s="536"/>
      <c r="RAY1" s="536"/>
      <c r="RAZ1" s="536"/>
      <c r="RBA1" s="536"/>
      <c r="RBB1" s="536"/>
      <c r="RBC1" s="536"/>
      <c r="RBD1" s="536"/>
      <c r="RBE1" s="536"/>
      <c r="RBF1" s="536"/>
      <c r="RBG1" s="536"/>
      <c r="RBH1" s="536"/>
      <c r="RBI1" s="536"/>
      <c r="RBJ1" s="536"/>
      <c r="RBK1" s="536"/>
      <c r="RBL1" s="536"/>
      <c r="RBM1" s="536"/>
      <c r="RBN1" s="536"/>
      <c r="RBO1" s="536"/>
      <c r="RBP1" s="536"/>
      <c r="RBQ1" s="536"/>
      <c r="RBR1" s="536"/>
      <c r="RBS1" s="536"/>
      <c r="RBT1" s="536"/>
      <c r="RBU1" s="536"/>
      <c r="RBV1" s="536"/>
      <c r="RBW1" s="536"/>
      <c r="RBX1" s="536"/>
      <c r="RBY1" s="536"/>
      <c r="RBZ1" s="536"/>
      <c r="RCA1" s="536"/>
      <c r="RCB1" s="536"/>
      <c r="RCC1" s="536"/>
      <c r="RCD1" s="536"/>
      <c r="RCE1" s="536"/>
      <c r="RCF1" s="536"/>
      <c r="RCG1" s="536"/>
      <c r="RCH1" s="536"/>
      <c r="RCI1" s="536"/>
      <c r="RCJ1" s="536"/>
      <c r="RCK1" s="536"/>
      <c r="RCL1" s="536"/>
      <c r="RCM1" s="536"/>
      <c r="RCN1" s="536"/>
      <c r="RCO1" s="536"/>
      <c r="RCP1" s="536"/>
      <c r="RCQ1" s="536"/>
      <c r="RCR1" s="536"/>
      <c r="RCS1" s="536"/>
      <c r="RCT1" s="536"/>
      <c r="RCU1" s="536"/>
      <c r="RCV1" s="536"/>
      <c r="RCW1" s="536"/>
      <c r="RCX1" s="536"/>
      <c r="RCY1" s="536"/>
      <c r="RCZ1" s="536"/>
      <c r="RDA1" s="536"/>
      <c r="RDB1" s="536"/>
      <c r="RDC1" s="536"/>
      <c r="RDD1" s="536"/>
      <c r="RDE1" s="536"/>
      <c r="RDF1" s="536"/>
      <c r="RDG1" s="536"/>
      <c r="RDH1" s="536"/>
      <c r="RDI1" s="536"/>
      <c r="RDJ1" s="536"/>
      <c r="RDK1" s="536"/>
      <c r="RDL1" s="536"/>
      <c r="RDM1" s="536"/>
      <c r="RDN1" s="536"/>
      <c r="RDO1" s="536"/>
      <c r="RDP1" s="536"/>
      <c r="RDQ1" s="536"/>
      <c r="RDR1" s="536"/>
      <c r="RDS1" s="536"/>
      <c r="RDT1" s="536"/>
      <c r="RDU1" s="536"/>
      <c r="RDV1" s="536"/>
      <c r="RDW1" s="536"/>
      <c r="RDX1" s="536"/>
      <c r="RDY1" s="536"/>
      <c r="RDZ1" s="536"/>
      <c r="REA1" s="536"/>
      <c r="REB1" s="536"/>
      <c r="REC1" s="536"/>
      <c r="RED1" s="536"/>
      <c r="REE1" s="536"/>
      <c r="REF1" s="536"/>
      <c r="REG1" s="536"/>
      <c r="REH1" s="536"/>
      <c r="REI1" s="536"/>
      <c r="REJ1" s="536"/>
      <c r="REK1" s="536"/>
      <c r="REL1" s="536"/>
      <c r="REM1" s="536"/>
      <c r="REN1" s="536"/>
      <c r="REO1" s="536"/>
      <c r="REP1" s="536"/>
      <c r="REQ1" s="536"/>
      <c r="RER1" s="536"/>
      <c r="RES1" s="536"/>
      <c r="RET1" s="536"/>
      <c r="REU1" s="536"/>
      <c r="REV1" s="536"/>
      <c r="REW1" s="536"/>
      <c r="REX1" s="536"/>
      <c r="REY1" s="536"/>
      <c r="REZ1" s="536"/>
      <c r="RFA1" s="536"/>
      <c r="RFB1" s="536"/>
      <c r="RFC1" s="536"/>
      <c r="RFD1" s="536"/>
      <c r="RFE1" s="536"/>
      <c r="RFF1" s="536"/>
      <c r="RFG1" s="536"/>
      <c r="RFH1" s="536"/>
      <c r="RFI1" s="536"/>
      <c r="RFJ1" s="536"/>
      <c r="RFK1" s="536"/>
      <c r="RFL1" s="536"/>
      <c r="RFM1" s="536"/>
      <c r="RFN1" s="536"/>
      <c r="RFO1" s="536"/>
      <c r="RFP1" s="536"/>
      <c r="RFQ1" s="536"/>
      <c r="RFR1" s="536"/>
      <c r="RFS1" s="536"/>
      <c r="RFT1" s="536"/>
      <c r="RFU1" s="536"/>
      <c r="RFV1" s="536"/>
      <c r="RFW1" s="536"/>
      <c r="RFX1" s="536"/>
      <c r="RFY1" s="536"/>
      <c r="RFZ1" s="536"/>
      <c r="RGA1" s="536"/>
      <c r="RGB1" s="536"/>
      <c r="RGC1" s="536"/>
      <c r="RGD1" s="536"/>
      <c r="RGE1" s="536"/>
      <c r="RGF1" s="536"/>
      <c r="RGG1" s="536"/>
      <c r="RGH1" s="536"/>
      <c r="RGI1" s="536"/>
      <c r="RGJ1" s="536"/>
      <c r="RGK1" s="536"/>
      <c r="RGL1" s="536"/>
      <c r="RGM1" s="536"/>
      <c r="RGN1" s="536"/>
      <c r="RGO1" s="536"/>
      <c r="RGP1" s="536"/>
      <c r="RGQ1" s="536"/>
      <c r="RGR1" s="536"/>
      <c r="RGS1" s="536"/>
      <c r="RGT1" s="536"/>
      <c r="RGU1" s="536"/>
      <c r="RGV1" s="536"/>
      <c r="RGW1" s="536"/>
      <c r="RGX1" s="536"/>
      <c r="RGY1" s="536"/>
      <c r="RGZ1" s="536"/>
      <c r="RHA1" s="536"/>
      <c r="RHB1" s="536"/>
      <c r="RHC1" s="536"/>
      <c r="RHD1" s="536"/>
      <c r="RHE1" s="536"/>
      <c r="RHF1" s="536"/>
      <c r="RHG1" s="536"/>
      <c r="RHH1" s="536"/>
      <c r="RHI1" s="536"/>
      <c r="RHJ1" s="536"/>
      <c r="RHK1" s="536"/>
      <c r="RHL1" s="536"/>
      <c r="RHM1" s="536"/>
      <c r="RHN1" s="536"/>
      <c r="RHO1" s="536"/>
      <c r="RHP1" s="536"/>
      <c r="RHQ1" s="536"/>
      <c r="RHR1" s="536"/>
      <c r="RHS1" s="536"/>
      <c r="RHT1" s="536"/>
      <c r="RHU1" s="536"/>
      <c r="RHV1" s="536"/>
      <c r="RHW1" s="536"/>
      <c r="RHX1" s="536"/>
      <c r="RHY1" s="536"/>
      <c r="RHZ1" s="536"/>
      <c r="RIA1" s="536"/>
      <c r="RIB1" s="536"/>
      <c r="RIC1" s="536"/>
      <c r="RID1" s="536"/>
      <c r="RIE1" s="536"/>
      <c r="RIF1" s="536"/>
      <c r="RIG1" s="536"/>
      <c r="RIH1" s="536"/>
      <c r="RII1" s="536"/>
      <c r="RIJ1" s="536"/>
      <c r="RIK1" s="536"/>
      <c r="RIL1" s="536"/>
      <c r="RIM1" s="536"/>
      <c r="RIN1" s="536"/>
      <c r="RIO1" s="536"/>
      <c r="RIP1" s="536"/>
      <c r="RIQ1" s="536"/>
      <c r="RIR1" s="536"/>
      <c r="RIS1" s="536"/>
      <c r="RIT1" s="536"/>
      <c r="RIU1" s="536"/>
      <c r="RIV1" s="536"/>
      <c r="RIW1" s="536"/>
      <c r="RIX1" s="536"/>
      <c r="RIY1" s="536"/>
      <c r="RIZ1" s="536"/>
      <c r="RJA1" s="536"/>
      <c r="RJB1" s="536"/>
      <c r="RJC1" s="536"/>
      <c r="RJD1" s="536"/>
      <c r="RJE1" s="536"/>
      <c r="RJF1" s="536"/>
      <c r="RJG1" s="536"/>
      <c r="RJH1" s="536"/>
      <c r="RJI1" s="536"/>
      <c r="RJJ1" s="536"/>
      <c r="RJK1" s="536"/>
      <c r="RJL1" s="536"/>
      <c r="RJM1" s="536"/>
      <c r="RJN1" s="536"/>
      <c r="RJO1" s="536"/>
      <c r="RJP1" s="536"/>
      <c r="RJQ1" s="536"/>
      <c r="RJR1" s="536"/>
      <c r="RJS1" s="536"/>
      <c r="RJT1" s="536"/>
      <c r="RJU1" s="536"/>
      <c r="RJV1" s="536"/>
      <c r="RJW1" s="536"/>
      <c r="RJX1" s="536"/>
      <c r="RJY1" s="536"/>
      <c r="RJZ1" s="536"/>
      <c r="RKA1" s="536"/>
      <c r="RKB1" s="536"/>
      <c r="RKC1" s="536"/>
      <c r="RKD1" s="536"/>
      <c r="RKE1" s="536"/>
      <c r="RKF1" s="536"/>
      <c r="RKG1" s="536"/>
      <c r="RKH1" s="536"/>
      <c r="RKI1" s="536"/>
      <c r="RKJ1" s="536"/>
      <c r="RKK1" s="536"/>
      <c r="RKL1" s="536"/>
      <c r="RKM1" s="536"/>
      <c r="RKN1" s="536"/>
      <c r="RKO1" s="536"/>
      <c r="RKP1" s="536"/>
      <c r="RKQ1" s="536"/>
      <c r="RKR1" s="536"/>
      <c r="RKS1" s="536"/>
      <c r="RKT1" s="536"/>
      <c r="RKU1" s="536"/>
      <c r="RKV1" s="536"/>
      <c r="RKW1" s="536"/>
      <c r="RKX1" s="536"/>
      <c r="RKY1" s="536"/>
      <c r="RKZ1" s="536"/>
      <c r="RLA1" s="536"/>
      <c r="RLB1" s="536"/>
      <c r="RLC1" s="536"/>
      <c r="RLD1" s="536"/>
      <c r="RLE1" s="536"/>
      <c r="RLF1" s="536"/>
      <c r="RLG1" s="536"/>
      <c r="RLH1" s="536"/>
      <c r="RLI1" s="536"/>
      <c r="RLJ1" s="536"/>
      <c r="RLK1" s="536"/>
      <c r="RLL1" s="536"/>
      <c r="RLM1" s="536"/>
      <c r="RLN1" s="536"/>
      <c r="RLO1" s="536"/>
      <c r="RLP1" s="536"/>
      <c r="RLQ1" s="536"/>
      <c r="RLR1" s="536"/>
      <c r="RLS1" s="536"/>
      <c r="RLT1" s="536"/>
      <c r="RLU1" s="536"/>
      <c r="RLV1" s="536"/>
      <c r="RLW1" s="536"/>
      <c r="RLX1" s="536"/>
      <c r="RLY1" s="536"/>
      <c r="RLZ1" s="536"/>
      <c r="RMA1" s="536"/>
      <c r="RMB1" s="536"/>
      <c r="RMC1" s="536"/>
      <c r="RMD1" s="536"/>
      <c r="RME1" s="536"/>
      <c r="RMF1" s="536"/>
      <c r="RMG1" s="536"/>
      <c r="RMH1" s="536"/>
      <c r="RMI1" s="536"/>
      <c r="RMJ1" s="536"/>
      <c r="RMK1" s="536"/>
      <c r="RML1" s="536"/>
      <c r="RMM1" s="536"/>
      <c r="RMN1" s="536"/>
      <c r="RMO1" s="536"/>
      <c r="RMP1" s="536"/>
      <c r="RMQ1" s="536"/>
      <c r="RMR1" s="536"/>
      <c r="RMS1" s="536"/>
      <c r="RMT1" s="536"/>
      <c r="RMU1" s="536"/>
      <c r="RMV1" s="536"/>
      <c r="RMW1" s="536"/>
      <c r="RMX1" s="536"/>
      <c r="RMY1" s="536"/>
      <c r="RMZ1" s="536"/>
      <c r="RNA1" s="536"/>
      <c r="RNB1" s="536"/>
      <c r="RNC1" s="536"/>
      <c r="RND1" s="536"/>
      <c r="RNE1" s="536"/>
      <c r="RNF1" s="536"/>
      <c r="RNG1" s="536"/>
      <c r="RNH1" s="536"/>
      <c r="RNI1" s="536"/>
      <c r="RNJ1" s="536"/>
      <c r="RNK1" s="536"/>
      <c r="RNL1" s="536"/>
      <c r="RNM1" s="536"/>
      <c r="RNN1" s="536"/>
      <c r="RNO1" s="536"/>
      <c r="RNP1" s="536"/>
      <c r="RNQ1" s="536"/>
      <c r="RNR1" s="536"/>
      <c r="RNS1" s="536"/>
      <c r="RNT1" s="536"/>
      <c r="RNU1" s="536"/>
      <c r="RNV1" s="536"/>
      <c r="RNW1" s="536"/>
      <c r="RNX1" s="536"/>
      <c r="RNY1" s="536"/>
      <c r="RNZ1" s="536"/>
      <c r="ROA1" s="536"/>
      <c r="ROB1" s="536"/>
      <c r="ROC1" s="536"/>
      <c r="ROD1" s="536"/>
      <c r="ROE1" s="536"/>
      <c r="ROF1" s="536"/>
      <c r="ROG1" s="536"/>
      <c r="ROH1" s="536"/>
      <c r="ROI1" s="536"/>
      <c r="ROJ1" s="536"/>
      <c r="ROK1" s="536"/>
      <c r="ROL1" s="536"/>
      <c r="ROM1" s="536"/>
      <c r="RON1" s="536"/>
      <c r="ROO1" s="536"/>
      <c r="ROP1" s="536"/>
      <c r="ROQ1" s="536"/>
      <c r="ROR1" s="536"/>
      <c r="ROS1" s="536"/>
      <c r="ROT1" s="536"/>
      <c r="ROU1" s="536"/>
      <c r="ROV1" s="536"/>
      <c r="ROW1" s="536"/>
      <c r="ROX1" s="536"/>
      <c r="ROY1" s="536"/>
      <c r="ROZ1" s="536"/>
      <c r="RPA1" s="536"/>
      <c r="RPB1" s="536"/>
      <c r="RPC1" s="536"/>
      <c r="RPD1" s="536"/>
      <c r="RPE1" s="536"/>
      <c r="RPF1" s="536"/>
      <c r="RPG1" s="536"/>
      <c r="RPH1" s="536"/>
      <c r="RPI1" s="536"/>
      <c r="RPJ1" s="536"/>
      <c r="RPK1" s="536"/>
      <c r="RPL1" s="536"/>
      <c r="RPM1" s="536"/>
      <c r="RPN1" s="536"/>
      <c r="RPO1" s="536"/>
      <c r="RPP1" s="536"/>
      <c r="RPQ1" s="536"/>
      <c r="RPR1" s="536"/>
      <c r="RPS1" s="536"/>
      <c r="RPT1" s="536"/>
      <c r="RPU1" s="536"/>
      <c r="RPV1" s="536"/>
      <c r="RPW1" s="536"/>
      <c r="RPX1" s="536"/>
      <c r="RPY1" s="536"/>
      <c r="RPZ1" s="536"/>
      <c r="RQA1" s="536"/>
      <c r="RQB1" s="536"/>
      <c r="RQC1" s="536"/>
      <c r="RQD1" s="536"/>
      <c r="RQE1" s="536"/>
      <c r="RQF1" s="536"/>
      <c r="RQG1" s="536"/>
      <c r="RQH1" s="536"/>
      <c r="RQI1" s="536"/>
      <c r="RQJ1" s="536"/>
      <c r="RQK1" s="536"/>
      <c r="RQL1" s="536"/>
      <c r="RQM1" s="536"/>
      <c r="RQN1" s="536"/>
      <c r="RQO1" s="536"/>
      <c r="RQP1" s="536"/>
      <c r="RQQ1" s="536"/>
      <c r="RQR1" s="536"/>
      <c r="RQS1" s="536"/>
      <c r="RQT1" s="536"/>
      <c r="RQU1" s="536"/>
      <c r="RQV1" s="536"/>
      <c r="RQW1" s="536"/>
      <c r="RQX1" s="536"/>
      <c r="RQY1" s="536"/>
      <c r="RQZ1" s="536"/>
      <c r="RRA1" s="536"/>
      <c r="RRB1" s="536"/>
      <c r="RRC1" s="536"/>
      <c r="RRD1" s="536"/>
      <c r="RRE1" s="536"/>
      <c r="RRF1" s="536"/>
      <c r="RRG1" s="536"/>
      <c r="RRH1" s="536"/>
      <c r="RRI1" s="536"/>
      <c r="RRJ1" s="536"/>
      <c r="RRK1" s="536"/>
      <c r="RRL1" s="536"/>
      <c r="RRM1" s="536"/>
      <c r="RRN1" s="536"/>
      <c r="RRO1" s="536"/>
      <c r="RRP1" s="536"/>
      <c r="RRQ1" s="536"/>
      <c r="RRR1" s="536"/>
      <c r="RRS1" s="536"/>
      <c r="RRT1" s="536"/>
      <c r="RRU1" s="536"/>
      <c r="RRV1" s="536"/>
      <c r="RRW1" s="536"/>
      <c r="RRX1" s="536"/>
      <c r="RRY1" s="536"/>
      <c r="RRZ1" s="536"/>
      <c r="RSA1" s="536"/>
      <c r="RSB1" s="536"/>
      <c r="RSC1" s="536"/>
      <c r="RSD1" s="536"/>
      <c r="RSE1" s="536"/>
      <c r="RSF1" s="536"/>
      <c r="RSG1" s="536"/>
      <c r="RSH1" s="536"/>
      <c r="RSI1" s="536"/>
      <c r="RSJ1" s="536"/>
      <c r="RSK1" s="536"/>
      <c r="RSL1" s="536"/>
      <c r="RSM1" s="536"/>
      <c r="RSN1" s="536"/>
      <c r="RSO1" s="536"/>
      <c r="RSP1" s="536"/>
      <c r="RSQ1" s="536"/>
      <c r="RSR1" s="536"/>
      <c r="RSS1" s="536"/>
      <c r="RST1" s="536"/>
      <c r="RSU1" s="536"/>
      <c r="RSV1" s="536"/>
      <c r="RSW1" s="536"/>
      <c r="RSX1" s="536"/>
      <c r="RSY1" s="536"/>
      <c r="RSZ1" s="536"/>
      <c r="RTA1" s="536"/>
      <c r="RTB1" s="536"/>
      <c r="RTC1" s="536"/>
      <c r="RTD1" s="536"/>
      <c r="RTE1" s="536"/>
      <c r="RTF1" s="536"/>
      <c r="RTG1" s="536"/>
      <c r="RTH1" s="536"/>
      <c r="RTI1" s="536"/>
      <c r="RTJ1" s="536"/>
      <c r="RTK1" s="536"/>
      <c r="RTL1" s="536"/>
      <c r="RTM1" s="536"/>
      <c r="RTN1" s="536"/>
      <c r="RTO1" s="536"/>
      <c r="RTP1" s="536"/>
      <c r="RTQ1" s="536"/>
      <c r="RTR1" s="536"/>
      <c r="RTS1" s="536"/>
      <c r="RTT1" s="536"/>
      <c r="RTU1" s="536"/>
      <c r="RTV1" s="536"/>
      <c r="RTW1" s="536"/>
      <c r="RTX1" s="536"/>
      <c r="RTY1" s="536"/>
      <c r="RTZ1" s="536"/>
      <c r="RUA1" s="536"/>
      <c r="RUB1" s="536"/>
      <c r="RUC1" s="536"/>
      <c r="RUD1" s="536"/>
      <c r="RUE1" s="536"/>
      <c r="RUF1" s="536"/>
      <c r="RUG1" s="536"/>
      <c r="RUH1" s="536"/>
      <c r="RUI1" s="536"/>
      <c r="RUJ1" s="536"/>
      <c r="RUK1" s="536"/>
      <c r="RUL1" s="536"/>
      <c r="RUM1" s="536"/>
      <c r="RUN1" s="536"/>
      <c r="RUO1" s="536"/>
      <c r="RUP1" s="536"/>
      <c r="RUQ1" s="536"/>
      <c r="RUR1" s="536"/>
      <c r="RUS1" s="536"/>
      <c r="RUT1" s="536"/>
      <c r="RUU1" s="536"/>
      <c r="RUV1" s="536"/>
      <c r="RUW1" s="536"/>
      <c r="RUX1" s="536"/>
      <c r="RUY1" s="536"/>
      <c r="RUZ1" s="536"/>
      <c r="RVA1" s="536"/>
      <c r="RVB1" s="536"/>
      <c r="RVC1" s="536"/>
      <c r="RVD1" s="536"/>
      <c r="RVE1" s="536"/>
      <c r="RVF1" s="536"/>
      <c r="RVG1" s="536"/>
      <c r="RVH1" s="536"/>
      <c r="RVI1" s="536"/>
      <c r="RVJ1" s="536"/>
      <c r="RVK1" s="536"/>
      <c r="RVL1" s="536"/>
      <c r="RVM1" s="536"/>
      <c r="RVN1" s="536"/>
      <c r="RVO1" s="536"/>
      <c r="RVP1" s="536"/>
      <c r="RVQ1" s="536"/>
      <c r="RVR1" s="536"/>
      <c r="RVS1" s="536"/>
      <c r="RVT1" s="536"/>
      <c r="RVU1" s="536"/>
      <c r="RVV1" s="536"/>
      <c r="RVW1" s="536"/>
      <c r="RVX1" s="536"/>
      <c r="RVY1" s="536"/>
      <c r="RVZ1" s="536"/>
      <c r="RWA1" s="536"/>
      <c r="RWB1" s="536"/>
      <c r="RWC1" s="536"/>
      <c r="RWD1" s="536"/>
      <c r="RWE1" s="536"/>
      <c r="RWF1" s="536"/>
      <c r="RWG1" s="536"/>
      <c r="RWH1" s="536"/>
      <c r="RWI1" s="536"/>
      <c r="RWJ1" s="536"/>
      <c r="RWK1" s="536"/>
      <c r="RWL1" s="536"/>
      <c r="RWM1" s="536"/>
      <c r="RWN1" s="536"/>
      <c r="RWO1" s="536"/>
      <c r="RWP1" s="536"/>
      <c r="RWQ1" s="536"/>
      <c r="RWR1" s="536"/>
      <c r="RWS1" s="536"/>
      <c r="RWT1" s="536"/>
      <c r="RWU1" s="536"/>
      <c r="RWV1" s="536"/>
      <c r="RWW1" s="536"/>
      <c r="RWX1" s="536"/>
      <c r="RWY1" s="536"/>
      <c r="RWZ1" s="536"/>
      <c r="RXA1" s="536"/>
      <c r="RXB1" s="536"/>
      <c r="RXC1" s="536"/>
      <c r="RXD1" s="536"/>
      <c r="RXE1" s="536"/>
      <c r="RXF1" s="536"/>
      <c r="RXG1" s="536"/>
      <c r="RXH1" s="536"/>
      <c r="RXI1" s="536"/>
      <c r="RXJ1" s="536"/>
      <c r="RXK1" s="536"/>
      <c r="RXL1" s="536"/>
      <c r="RXM1" s="536"/>
      <c r="RXN1" s="536"/>
      <c r="RXO1" s="536"/>
      <c r="RXP1" s="536"/>
      <c r="RXQ1" s="536"/>
      <c r="RXR1" s="536"/>
      <c r="RXS1" s="536"/>
      <c r="RXT1" s="536"/>
      <c r="RXU1" s="536"/>
      <c r="RXV1" s="536"/>
      <c r="RXW1" s="536"/>
      <c r="RXX1" s="536"/>
      <c r="RXY1" s="536"/>
      <c r="RXZ1" s="536"/>
      <c r="RYA1" s="536"/>
      <c r="RYB1" s="536"/>
      <c r="RYC1" s="536"/>
      <c r="RYD1" s="536"/>
      <c r="RYE1" s="536"/>
      <c r="RYF1" s="536"/>
      <c r="RYG1" s="536"/>
      <c r="RYH1" s="536"/>
      <c r="RYI1" s="536"/>
      <c r="RYJ1" s="536"/>
      <c r="RYK1" s="536"/>
      <c r="RYL1" s="536"/>
      <c r="RYM1" s="536"/>
      <c r="RYN1" s="536"/>
      <c r="RYO1" s="536"/>
      <c r="RYP1" s="536"/>
      <c r="RYQ1" s="536"/>
      <c r="RYR1" s="536"/>
      <c r="RYS1" s="536"/>
      <c r="RYT1" s="536"/>
      <c r="RYU1" s="536"/>
      <c r="RYV1" s="536"/>
      <c r="RYW1" s="536"/>
      <c r="RYX1" s="536"/>
      <c r="RYY1" s="536"/>
      <c r="RYZ1" s="536"/>
      <c r="RZA1" s="536"/>
      <c r="RZB1" s="536"/>
      <c r="RZC1" s="536"/>
      <c r="RZD1" s="536"/>
      <c r="RZE1" s="536"/>
      <c r="RZF1" s="536"/>
      <c r="RZG1" s="536"/>
      <c r="RZH1" s="536"/>
      <c r="RZI1" s="536"/>
      <c r="RZJ1" s="536"/>
      <c r="RZK1" s="536"/>
      <c r="RZL1" s="536"/>
      <c r="RZM1" s="536"/>
      <c r="RZN1" s="536"/>
      <c r="RZO1" s="536"/>
      <c r="RZP1" s="536"/>
      <c r="RZQ1" s="536"/>
      <c r="RZR1" s="536"/>
      <c r="RZS1" s="536"/>
      <c r="RZT1" s="536"/>
      <c r="RZU1" s="536"/>
      <c r="RZV1" s="536"/>
      <c r="RZW1" s="536"/>
      <c r="RZX1" s="536"/>
      <c r="RZY1" s="536"/>
      <c r="RZZ1" s="536"/>
      <c r="SAA1" s="536"/>
      <c r="SAB1" s="536"/>
      <c r="SAC1" s="536"/>
      <c r="SAD1" s="536"/>
      <c r="SAE1" s="536"/>
      <c r="SAF1" s="536"/>
      <c r="SAG1" s="536"/>
      <c r="SAH1" s="536"/>
      <c r="SAI1" s="536"/>
      <c r="SAJ1" s="536"/>
      <c r="SAK1" s="536"/>
      <c r="SAL1" s="536"/>
      <c r="SAM1" s="536"/>
      <c r="SAN1" s="536"/>
      <c r="SAO1" s="536"/>
      <c r="SAP1" s="536"/>
      <c r="SAQ1" s="536"/>
      <c r="SAR1" s="536"/>
      <c r="SAS1" s="536"/>
      <c r="SAT1" s="536"/>
      <c r="SAU1" s="536"/>
      <c r="SAV1" s="536"/>
      <c r="SAW1" s="536"/>
      <c r="SAX1" s="536"/>
      <c r="SAY1" s="536"/>
      <c r="SAZ1" s="536"/>
      <c r="SBA1" s="536"/>
      <c r="SBB1" s="536"/>
      <c r="SBC1" s="536"/>
      <c r="SBD1" s="536"/>
      <c r="SBE1" s="536"/>
      <c r="SBF1" s="536"/>
      <c r="SBG1" s="536"/>
      <c r="SBH1" s="536"/>
      <c r="SBI1" s="536"/>
      <c r="SBJ1" s="536"/>
      <c r="SBK1" s="536"/>
      <c r="SBL1" s="536"/>
      <c r="SBM1" s="536"/>
      <c r="SBN1" s="536"/>
      <c r="SBO1" s="536"/>
      <c r="SBP1" s="536"/>
      <c r="SBQ1" s="536"/>
      <c r="SBR1" s="536"/>
      <c r="SBS1" s="536"/>
      <c r="SBT1" s="536"/>
      <c r="SBU1" s="536"/>
      <c r="SBV1" s="536"/>
      <c r="SBW1" s="536"/>
      <c r="SBX1" s="536"/>
      <c r="SBY1" s="536"/>
      <c r="SBZ1" s="536"/>
      <c r="SCA1" s="536"/>
      <c r="SCB1" s="536"/>
      <c r="SCC1" s="536"/>
      <c r="SCD1" s="536"/>
      <c r="SCE1" s="536"/>
      <c r="SCF1" s="536"/>
      <c r="SCG1" s="536"/>
      <c r="SCH1" s="536"/>
      <c r="SCI1" s="536"/>
      <c r="SCJ1" s="536"/>
      <c r="SCK1" s="536"/>
      <c r="SCL1" s="536"/>
      <c r="SCM1" s="536"/>
      <c r="SCN1" s="536"/>
      <c r="SCO1" s="536"/>
      <c r="SCP1" s="536"/>
      <c r="SCQ1" s="536"/>
      <c r="SCR1" s="536"/>
      <c r="SCS1" s="536"/>
      <c r="SCT1" s="536"/>
      <c r="SCU1" s="536"/>
      <c r="SCV1" s="536"/>
      <c r="SCW1" s="536"/>
      <c r="SCX1" s="536"/>
      <c r="SCY1" s="536"/>
      <c r="SCZ1" s="536"/>
      <c r="SDA1" s="536"/>
      <c r="SDB1" s="536"/>
      <c r="SDC1" s="536"/>
      <c r="SDD1" s="536"/>
      <c r="SDE1" s="536"/>
      <c r="SDF1" s="536"/>
      <c r="SDG1" s="536"/>
      <c r="SDH1" s="536"/>
      <c r="SDI1" s="536"/>
      <c r="SDJ1" s="536"/>
      <c r="SDK1" s="536"/>
      <c r="SDL1" s="536"/>
      <c r="SDM1" s="536"/>
      <c r="SDN1" s="536"/>
      <c r="SDO1" s="536"/>
      <c r="SDP1" s="536"/>
      <c r="SDQ1" s="536"/>
      <c r="SDR1" s="536"/>
      <c r="SDS1" s="536"/>
      <c r="SDT1" s="536"/>
      <c r="SDU1" s="536"/>
      <c r="SDV1" s="536"/>
      <c r="SDW1" s="536"/>
      <c r="SDX1" s="536"/>
      <c r="SDY1" s="536"/>
      <c r="SDZ1" s="536"/>
      <c r="SEA1" s="536"/>
      <c r="SEB1" s="536"/>
      <c r="SEC1" s="536"/>
      <c r="SED1" s="536"/>
      <c r="SEE1" s="536"/>
      <c r="SEF1" s="536"/>
      <c r="SEG1" s="536"/>
      <c r="SEH1" s="536"/>
      <c r="SEI1" s="536"/>
      <c r="SEJ1" s="536"/>
      <c r="SEK1" s="536"/>
      <c r="SEL1" s="536"/>
      <c r="SEM1" s="536"/>
      <c r="SEN1" s="536"/>
      <c r="SEO1" s="536"/>
      <c r="SEP1" s="536"/>
      <c r="SEQ1" s="536"/>
      <c r="SER1" s="536"/>
      <c r="SES1" s="536"/>
      <c r="SET1" s="536"/>
      <c r="SEU1" s="536"/>
      <c r="SEV1" s="536"/>
      <c r="SEW1" s="536"/>
      <c r="SEX1" s="536"/>
      <c r="SEY1" s="536"/>
      <c r="SEZ1" s="536"/>
      <c r="SFA1" s="536"/>
      <c r="SFB1" s="536"/>
      <c r="SFC1" s="536"/>
      <c r="SFD1" s="536"/>
      <c r="SFE1" s="536"/>
      <c r="SFF1" s="536"/>
      <c r="SFG1" s="536"/>
      <c r="SFH1" s="536"/>
      <c r="SFI1" s="536"/>
      <c r="SFJ1" s="536"/>
      <c r="SFK1" s="536"/>
      <c r="SFL1" s="536"/>
      <c r="SFM1" s="536"/>
      <c r="SFN1" s="536"/>
      <c r="SFO1" s="536"/>
      <c r="SFP1" s="536"/>
      <c r="SFQ1" s="536"/>
      <c r="SFR1" s="536"/>
      <c r="SFS1" s="536"/>
      <c r="SFT1" s="536"/>
      <c r="SFU1" s="536"/>
      <c r="SFV1" s="536"/>
      <c r="SFW1" s="536"/>
      <c r="SFX1" s="536"/>
      <c r="SFY1" s="536"/>
      <c r="SFZ1" s="536"/>
      <c r="SGA1" s="536"/>
      <c r="SGB1" s="536"/>
      <c r="SGC1" s="536"/>
      <c r="SGD1" s="536"/>
      <c r="SGE1" s="536"/>
      <c r="SGF1" s="536"/>
      <c r="SGG1" s="536"/>
      <c r="SGH1" s="536"/>
      <c r="SGI1" s="536"/>
      <c r="SGJ1" s="536"/>
      <c r="SGK1" s="536"/>
      <c r="SGL1" s="536"/>
      <c r="SGM1" s="536"/>
      <c r="SGN1" s="536"/>
      <c r="SGO1" s="536"/>
      <c r="SGP1" s="536"/>
      <c r="SGQ1" s="536"/>
      <c r="SGR1" s="536"/>
      <c r="SGS1" s="536"/>
      <c r="SGT1" s="536"/>
      <c r="SGU1" s="536"/>
      <c r="SGV1" s="536"/>
      <c r="SGW1" s="536"/>
      <c r="SGX1" s="536"/>
      <c r="SGY1" s="536"/>
      <c r="SGZ1" s="536"/>
      <c r="SHA1" s="536"/>
      <c r="SHB1" s="536"/>
      <c r="SHC1" s="536"/>
      <c r="SHD1" s="536"/>
      <c r="SHE1" s="536"/>
      <c r="SHF1" s="536"/>
      <c r="SHG1" s="536"/>
      <c r="SHH1" s="536"/>
      <c r="SHI1" s="536"/>
      <c r="SHJ1" s="536"/>
      <c r="SHK1" s="536"/>
      <c r="SHL1" s="536"/>
      <c r="SHM1" s="536"/>
      <c r="SHN1" s="536"/>
      <c r="SHO1" s="536"/>
      <c r="SHP1" s="536"/>
      <c r="SHQ1" s="536"/>
      <c r="SHR1" s="536"/>
      <c r="SHS1" s="536"/>
      <c r="SHT1" s="536"/>
      <c r="SHU1" s="536"/>
      <c r="SHV1" s="536"/>
      <c r="SHW1" s="536"/>
      <c r="SHX1" s="536"/>
      <c r="SHY1" s="536"/>
      <c r="SHZ1" s="536"/>
      <c r="SIA1" s="536"/>
      <c r="SIB1" s="536"/>
      <c r="SIC1" s="536"/>
      <c r="SID1" s="536"/>
      <c r="SIE1" s="536"/>
      <c r="SIF1" s="536"/>
      <c r="SIG1" s="536"/>
      <c r="SIH1" s="536"/>
      <c r="SII1" s="536"/>
      <c r="SIJ1" s="536"/>
      <c r="SIK1" s="536"/>
      <c r="SIL1" s="536"/>
      <c r="SIM1" s="536"/>
      <c r="SIN1" s="536"/>
      <c r="SIO1" s="536"/>
      <c r="SIP1" s="536"/>
      <c r="SIQ1" s="536"/>
      <c r="SIR1" s="536"/>
      <c r="SIS1" s="536"/>
      <c r="SIT1" s="536"/>
      <c r="SIU1" s="536"/>
      <c r="SIV1" s="536"/>
      <c r="SIW1" s="536"/>
      <c r="SIX1" s="536"/>
      <c r="SIY1" s="536"/>
      <c r="SIZ1" s="536"/>
      <c r="SJA1" s="536"/>
      <c r="SJB1" s="536"/>
      <c r="SJC1" s="536"/>
      <c r="SJD1" s="536"/>
      <c r="SJE1" s="536"/>
      <c r="SJF1" s="536"/>
      <c r="SJG1" s="536"/>
      <c r="SJH1" s="536"/>
      <c r="SJI1" s="536"/>
      <c r="SJJ1" s="536"/>
      <c r="SJK1" s="536"/>
      <c r="SJL1" s="536"/>
      <c r="SJM1" s="536"/>
      <c r="SJN1" s="536"/>
      <c r="SJO1" s="536"/>
      <c r="SJP1" s="536"/>
      <c r="SJQ1" s="536"/>
      <c r="SJR1" s="536"/>
      <c r="SJS1" s="536"/>
      <c r="SJT1" s="536"/>
      <c r="SJU1" s="536"/>
      <c r="SJV1" s="536"/>
      <c r="SJW1" s="536"/>
      <c r="SJX1" s="536"/>
      <c r="SJY1" s="536"/>
      <c r="SJZ1" s="536"/>
      <c r="SKA1" s="536"/>
      <c r="SKB1" s="536"/>
      <c r="SKC1" s="536"/>
      <c r="SKD1" s="536"/>
      <c r="SKE1" s="536"/>
      <c r="SKF1" s="536"/>
      <c r="SKG1" s="536"/>
      <c r="SKH1" s="536"/>
      <c r="SKI1" s="536"/>
      <c r="SKJ1" s="536"/>
      <c r="SKK1" s="536"/>
      <c r="SKL1" s="536"/>
      <c r="SKM1" s="536"/>
      <c r="SKN1" s="536"/>
      <c r="SKO1" s="536"/>
      <c r="SKP1" s="536"/>
      <c r="SKQ1" s="536"/>
      <c r="SKR1" s="536"/>
      <c r="SKS1" s="536"/>
      <c r="SKT1" s="536"/>
      <c r="SKU1" s="536"/>
      <c r="SKV1" s="536"/>
      <c r="SKW1" s="536"/>
      <c r="SKX1" s="536"/>
      <c r="SKY1" s="536"/>
      <c r="SKZ1" s="536"/>
      <c r="SLA1" s="536"/>
      <c r="SLB1" s="536"/>
      <c r="SLC1" s="536"/>
      <c r="SLD1" s="536"/>
      <c r="SLE1" s="536"/>
      <c r="SLF1" s="536"/>
      <c r="SLG1" s="536"/>
      <c r="SLH1" s="536"/>
      <c r="SLI1" s="536"/>
      <c r="SLJ1" s="536"/>
      <c r="SLK1" s="536"/>
      <c r="SLL1" s="536"/>
      <c r="SLM1" s="536"/>
      <c r="SLN1" s="536"/>
      <c r="SLO1" s="536"/>
      <c r="SLP1" s="536"/>
      <c r="SLQ1" s="536"/>
      <c r="SLR1" s="536"/>
      <c r="SLS1" s="536"/>
      <c r="SLT1" s="536"/>
      <c r="SLU1" s="536"/>
      <c r="SLV1" s="536"/>
      <c r="SLW1" s="536"/>
      <c r="SLX1" s="536"/>
      <c r="SLY1" s="536"/>
      <c r="SLZ1" s="536"/>
      <c r="SMA1" s="536"/>
      <c r="SMB1" s="536"/>
      <c r="SMC1" s="536"/>
      <c r="SMD1" s="536"/>
      <c r="SME1" s="536"/>
      <c r="SMF1" s="536"/>
      <c r="SMG1" s="536"/>
      <c r="SMH1" s="536"/>
      <c r="SMI1" s="536"/>
      <c r="SMJ1" s="536"/>
      <c r="SMK1" s="536"/>
      <c r="SML1" s="536"/>
      <c r="SMM1" s="536"/>
      <c r="SMN1" s="536"/>
      <c r="SMO1" s="536"/>
      <c r="SMP1" s="536"/>
      <c r="SMQ1" s="536"/>
      <c r="SMR1" s="536"/>
      <c r="SMS1" s="536"/>
      <c r="SMT1" s="536"/>
      <c r="SMU1" s="536"/>
      <c r="SMV1" s="536"/>
      <c r="SMW1" s="536"/>
      <c r="SMX1" s="536"/>
      <c r="SMY1" s="536"/>
      <c r="SMZ1" s="536"/>
      <c r="SNA1" s="536"/>
      <c r="SNB1" s="536"/>
      <c r="SNC1" s="536"/>
      <c r="SND1" s="536"/>
      <c r="SNE1" s="536"/>
      <c r="SNF1" s="536"/>
      <c r="SNG1" s="536"/>
      <c r="SNH1" s="536"/>
      <c r="SNI1" s="536"/>
      <c r="SNJ1" s="536"/>
      <c r="SNK1" s="536"/>
      <c r="SNL1" s="536"/>
      <c r="SNM1" s="536"/>
      <c r="SNN1" s="536"/>
      <c r="SNO1" s="536"/>
      <c r="SNP1" s="536"/>
      <c r="SNQ1" s="536"/>
      <c r="SNR1" s="536"/>
      <c r="SNS1" s="536"/>
      <c r="SNT1" s="536"/>
      <c r="SNU1" s="536"/>
      <c r="SNV1" s="536"/>
      <c r="SNW1" s="536"/>
      <c r="SNX1" s="536"/>
      <c r="SNY1" s="536"/>
      <c r="SNZ1" s="536"/>
      <c r="SOA1" s="536"/>
      <c r="SOB1" s="536"/>
      <c r="SOC1" s="536"/>
      <c r="SOD1" s="536"/>
      <c r="SOE1" s="536"/>
      <c r="SOF1" s="536"/>
      <c r="SOG1" s="536"/>
      <c r="SOH1" s="536"/>
      <c r="SOI1" s="536"/>
      <c r="SOJ1" s="536"/>
      <c r="SOK1" s="536"/>
      <c r="SOL1" s="536"/>
      <c r="SOM1" s="536"/>
      <c r="SON1" s="536"/>
      <c r="SOO1" s="536"/>
      <c r="SOP1" s="536"/>
      <c r="SOQ1" s="536"/>
      <c r="SOR1" s="536"/>
      <c r="SOS1" s="536"/>
      <c r="SOT1" s="536"/>
      <c r="SOU1" s="536"/>
      <c r="SOV1" s="536"/>
      <c r="SOW1" s="536"/>
      <c r="SOX1" s="536"/>
      <c r="SOY1" s="536"/>
      <c r="SOZ1" s="536"/>
      <c r="SPA1" s="536"/>
      <c r="SPB1" s="536"/>
      <c r="SPC1" s="536"/>
      <c r="SPD1" s="536"/>
      <c r="SPE1" s="536"/>
      <c r="SPF1" s="536"/>
      <c r="SPG1" s="536"/>
      <c r="SPH1" s="536"/>
      <c r="SPI1" s="536"/>
      <c r="SPJ1" s="536"/>
      <c r="SPK1" s="536"/>
      <c r="SPL1" s="536"/>
      <c r="SPM1" s="536"/>
      <c r="SPN1" s="536"/>
      <c r="SPO1" s="536"/>
      <c r="SPP1" s="536"/>
      <c r="SPQ1" s="536"/>
      <c r="SPR1" s="536"/>
      <c r="SPS1" s="536"/>
      <c r="SPT1" s="536"/>
      <c r="SPU1" s="536"/>
      <c r="SPV1" s="536"/>
      <c r="SPW1" s="536"/>
      <c r="SPX1" s="536"/>
      <c r="SPY1" s="536"/>
      <c r="SPZ1" s="536"/>
      <c r="SQA1" s="536"/>
      <c r="SQB1" s="536"/>
      <c r="SQC1" s="536"/>
      <c r="SQD1" s="536"/>
      <c r="SQE1" s="536"/>
      <c r="SQF1" s="536"/>
      <c r="SQG1" s="536"/>
      <c r="SQH1" s="536"/>
      <c r="SQI1" s="536"/>
      <c r="SQJ1" s="536"/>
      <c r="SQK1" s="536"/>
      <c r="SQL1" s="536"/>
      <c r="SQM1" s="536"/>
      <c r="SQN1" s="536"/>
      <c r="SQO1" s="536"/>
      <c r="SQP1" s="536"/>
      <c r="SQQ1" s="536"/>
      <c r="SQR1" s="536"/>
      <c r="SQS1" s="536"/>
      <c r="SQT1" s="536"/>
      <c r="SQU1" s="536"/>
      <c r="SQV1" s="536"/>
      <c r="SQW1" s="536"/>
      <c r="SQX1" s="536"/>
      <c r="SQY1" s="536"/>
      <c r="SQZ1" s="536"/>
      <c r="SRA1" s="536"/>
      <c r="SRB1" s="536"/>
      <c r="SRC1" s="536"/>
      <c r="SRD1" s="536"/>
      <c r="SRE1" s="536"/>
      <c r="SRF1" s="536"/>
      <c r="SRG1" s="536"/>
      <c r="SRH1" s="536"/>
      <c r="SRI1" s="536"/>
      <c r="SRJ1" s="536"/>
      <c r="SRK1" s="536"/>
      <c r="SRL1" s="536"/>
      <c r="SRM1" s="536"/>
      <c r="SRN1" s="536"/>
      <c r="SRO1" s="536"/>
      <c r="SRP1" s="536"/>
      <c r="SRQ1" s="536"/>
      <c r="SRR1" s="536"/>
      <c r="SRS1" s="536"/>
      <c r="SRT1" s="536"/>
      <c r="SRU1" s="536"/>
      <c r="SRV1" s="536"/>
      <c r="SRW1" s="536"/>
      <c r="SRX1" s="536"/>
      <c r="SRY1" s="536"/>
      <c r="SRZ1" s="536"/>
      <c r="SSA1" s="536"/>
      <c r="SSB1" s="536"/>
      <c r="SSC1" s="536"/>
      <c r="SSD1" s="536"/>
      <c r="SSE1" s="536"/>
      <c r="SSF1" s="536"/>
      <c r="SSG1" s="536"/>
      <c r="SSH1" s="536"/>
      <c r="SSI1" s="536"/>
      <c r="SSJ1" s="536"/>
      <c r="SSK1" s="536"/>
      <c r="SSL1" s="536"/>
      <c r="SSM1" s="536"/>
      <c r="SSN1" s="536"/>
      <c r="SSO1" s="536"/>
      <c r="SSP1" s="536"/>
      <c r="SSQ1" s="536"/>
      <c r="SSR1" s="536"/>
      <c r="SSS1" s="536"/>
      <c r="SST1" s="536"/>
      <c r="SSU1" s="536"/>
      <c r="SSV1" s="536"/>
      <c r="SSW1" s="536"/>
      <c r="SSX1" s="536"/>
      <c r="SSY1" s="536"/>
      <c r="SSZ1" s="536"/>
      <c r="STA1" s="536"/>
      <c r="STB1" s="536"/>
      <c r="STC1" s="536"/>
      <c r="STD1" s="536"/>
      <c r="STE1" s="536"/>
      <c r="STF1" s="536"/>
      <c r="STG1" s="536"/>
      <c r="STH1" s="536"/>
      <c r="STI1" s="536"/>
      <c r="STJ1" s="536"/>
      <c r="STK1" s="536"/>
      <c r="STL1" s="536"/>
      <c r="STM1" s="536"/>
      <c r="STN1" s="536"/>
      <c r="STO1" s="536"/>
      <c r="STP1" s="536"/>
      <c r="STQ1" s="536"/>
      <c r="STR1" s="536"/>
      <c r="STS1" s="536"/>
      <c r="STT1" s="536"/>
      <c r="STU1" s="536"/>
      <c r="STV1" s="536"/>
      <c r="STW1" s="536"/>
      <c r="STX1" s="536"/>
      <c r="STY1" s="536"/>
      <c r="STZ1" s="536"/>
      <c r="SUA1" s="536"/>
      <c r="SUB1" s="536"/>
      <c r="SUC1" s="536"/>
      <c r="SUD1" s="536"/>
      <c r="SUE1" s="536"/>
      <c r="SUF1" s="536"/>
      <c r="SUG1" s="536"/>
      <c r="SUH1" s="536"/>
      <c r="SUI1" s="536"/>
      <c r="SUJ1" s="536"/>
      <c r="SUK1" s="536"/>
      <c r="SUL1" s="536"/>
      <c r="SUM1" s="536"/>
      <c r="SUN1" s="536"/>
      <c r="SUO1" s="536"/>
      <c r="SUP1" s="536"/>
      <c r="SUQ1" s="536"/>
      <c r="SUR1" s="536"/>
      <c r="SUS1" s="536"/>
      <c r="SUT1" s="536"/>
      <c r="SUU1" s="536"/>
      <c r="SUV1" s="536"/>
      <c r="SUW1" s="536"/>
      <c r="SUX1" s="536"/>
      <c r="SUY1" s="536"/>
      <c r="SUZ1" s="536"/>
      <c r="SVA1" s="536"/>
      <c r="SVB1" s="536"/>
      <c r="SVC1" s="536"/>
      <c r="SVD1" s="536"/>
      <c r="SVE1" s="536"/>
      <c r="SVF1" s="536"/>
      <c r="SVG1" s="536"/>
      <c r="SVH1" s="536"/>
      <c r="SVI1" s="536"/>
      <c r="SVJ1" s="536"/>
      <c r="SVK1" s="536"/>
      <c r="SVL1" s="536"/>
      <c r="SVM1" s="536"/>
      <c r="SVN1" s="536"/>
      <c r="SVO1" s="536"/>
      <c r="SVP1" s="536"/>
      <c r="SVQ1" s="536"/>
      <c r="SVR1" s="536"/>
      <c r="SVS1" s="536"/>
      <c r="SVT1" s="536"/>
      <c r="SVU1" s="536"/>
      <c r="SVV1" s="536"/>
      <c r="SVW1" s="536"/>
      <c r="SVX1" s="536"/>
      <c r="SVY1" s="536"/>
      <c r="SVZ1" s="536"/>
      <c r="SWA1" s="536"/>
      <c r="SWB1" s="536"/>
      <c r="SWC1" s="536"/>
      <c r="SWD1" s="536"/>
      <c r="SWE1" s="536"/>
      <c r="SWF1" s="536"/>
      <c r="SWG1" s="536"/>
      <c r="SWH1" s="536"/>
      <c r="SWI1" s="536"/>
      <c r="SWJ1" s="536"/>
      <c r="SWK1" s="536"/>
      <c r="SWL1" s="536"/>
      <c r="SWM1" s="536"/>
      <c r="SWN1" s="536"/>
      <c r="SWO1" s="536"/>
      <c r="SWP1" s="536"/>
      <c r="SWQ1" s="536"/>
      <c r="SWR1" s="536"/>
      <c r="SWS1" s="536"/>
      <c r="SWT1" s="536"/>
      <c r="SWU1" s="536"/>
      <c r="SWV1" s="536"/>
      <c r="SWW1" s="536"/>
      <c r="SWX1" s="536"/>
      <c r="SWY1" s="536"/>
      <c r="SWZ1" s="536"/>
      <c r="SXA1" s="536"/>
      <c r="SXB1" s="536"/>
      <c r="SXC1" s="536"/>
      <c r="SXD1" s="536"/>
      <c r="SXE1" s="536"/>
      <c r="SXF1" s="536"/>
      <c r="SXG1" s="536"/>
      <c r="SXH1" s="536"/>
      <c r="SXI1" s="536"/>
      <c r="SXJ1" s="536"/>
      <c r="SXK1" s="536"/>
      <c r="SXL1" s="536"/>
      <c r="SXM1" s="536"/>
      <c r="SXN1" s="536"/>
      <c r="SXO1" s="536"/>
      <c r="SXP1" s="536"/>
      <c r="SXQ1" s="536"/>
      <c r="SXR1" s="536"/>
      <c r="SXS1" s="536"/>
      <c r="SXT1" s="536"/>
      <c r="SXU1" s="536"/>
      <c r="SXV1" s="536"/>
      <c r="SXW1" s="536"/>
      <c r="SXX1" s="536"/>
      <c r="SXY1" s="536"/>
      <c r="SXZ1" s="536"/>
      <c r="SYA1" s="536"/>
      <c r="SYB1" s="536"/>
      <c r="SYC1" s="536"/>
      <c r="SYD1" s="536"/>
      <c r="SYE1" s="536"/>
      <c r="SYF1" s="536"/>
      <c r="SYG1" s="536"/>
      <c r="SYH1" s="536"/>
      <c r="SYI1" s="536"/>
      <c r="SYJ1" s="536"/>
      <c r="SYK1" s="536"/>
      <c r="SYL1" s="536"/>
      <c r="SYM1" s="536"/>
      <c r="SYN1" s="536"/>
      <c r="SYO1" s="536"/>
      <c r="SYP1" s="536"/>
      <c r="SYQ1" s="536"/>
      <c r="SYR1" s="536"/>
      <c r="SYS1" s="536"/>
      <c r="SYT1" s="536"/>
      <c r="SYU1" s="536"/>
      <c r="SYV1" s="536"/>
      <c r="SYW1" s="536"/>
      <c r="SYX1" s="536"/>
      <c r="SYY1" s="536"/>
      <c r="SYZ1" s="536"/>
      <c r="SZA1" s="536"/>
      <c r="SZB1" s="536"/>
      <c r="SZC1" s="536"/>
      <c r="SZD1" s="536"/>
      <c r="SZE1" s="536"/>
      <c r="SZF1" s="536"/>
      <c r="SZG1" s="536"/>
      <c r="SZH1" s="536"/>
      <c r="SZI1" s="536"/>
      <c r="SZJ1" s="536"/>
      <c r="SZK1" s="536"/>
      <c r="SZL1" s="536"/>
      <c r="SZM1" s="536"/>
      <c r="SZN1" s="536"/>
      <c r="SZO1" s="536"/>
      <c r="SZP1" s="536"/>
      <c r="SZQ1" s="536"/>
      <c r="SZR1" s="536"/>
      <c r="SZS1" s="536"/>
      <c r="SZT1" s="536"/>
      <c r="SZU1" s="536"/>
      <c r="SZV1" s="536"/>
      <c r="SZW1" s="536"/>
      <c r="SZX1" s="536"/>
      <c r="SZY1" s="536"/>
      <c r="SZZ1" s="536"/>
      <c r="TAA1" s="536"/>
      <c r="TAB1" s="536"/>
      <c r="TAC1" s="536"/>
      <c r="TAD1" s="536"/>
      <c r="TAE1" s="536"/>
      <c r="TAF1" s="536"/>
      <c r="TAG1" s="536"/>
      <c r="TAH1" s="536"/>
      <c r="TAI1" s="536"/>
      <c r="TAJ1" s="536"/>
      <c r="TAK1" s="536"/>
      <c r="TAL1" s="536"/>
      <c r="TAM1" s="536"/>
      <c r="TAN1" s="536"/>
      <c r="TAO1" s="536"/>
      <c r="TAP1" s="536"/>
      <c r="TAQ1" s="536"/>
      <c r="TAR1" s="536"/>
      <c r="TAS1" s="536"/>
      <c r="TAT1" s="536"/>
      <c r="TAU1" s="536"/>
      <c r="TAV1" s="536"/>
      <c r="TAW1" s="536"/>
      <c r="TAX1" s="536"/>
      <c r="TAY1" s="536"/>
      <c r="TAZ1" s="536"/>
      <c r="TBA1" s="536"/>
      <c r="TBB1" s="536"/>
      <c r="TBC1" s="536"/>
      <c r="TBD1" s="536"/>
      <c r="TBE1" s="536"/>
      <c r="TBF1" s="536"/>
      <c r="TBG1" s="536"/>
      <c r="TBH1" s="536"/>
      <c r="TBI1" s="536"/>
      <c r="TBJ1" s="536"/>
      <c r="TBK1" s="536"/>
      <c r="TBL1" s="536"/>
      <c r="TBM1" s="536"/>
      <c r="TBN1" s="536"/>
      <c r="TBO1" s="536"/>
      <c r="TBP1" s="536"/>
      <c r="TBQ1" s="536"/>
      <c r="TBR1" s="536"/>
      <c r="TBS1" s="536"/>
      <c r="TBT1" s="536"/>
      <c r="TBU1" s="536"/>
      <c r="TBV1" s="536"/>
      <c r="TBW1" s="536"/>
      <c r="TBX1" s="536"/>
      <c r="TBY1" s="536"/>
      <c r="TBZ1" s="536"/>
      <c r="TCA1" s="536"/>
      <c r="TCB1" s="536"/>
      <c r="TCC1" s="536"/>
      <c r="TCD1" s="536"/>
      <c r="TCE1" s="536"/>
      <c r="TCF1" s="536"/>
      <c r="TCG1" s="536"/>
      <c r="TCH1" s="536"/>
      <c r="TCI1" s="536"/>
      <c r="TCJ1" s="536"/>
      <c r="TCK1" s="536"/>
      <c r="TCL1" s="536"/>
      <c r="TCM1" s="536"/>
      <c r="TCN1" s="536"/>
      <c r="TCO1" s="536"/>
      <c r="TCP1" s="536"/>
      <c r="TCQ1" s="536"/>
      <c r="TCR1" s="536"/>
      <c r="TCS1" s="536"/>
      <c r="TCT1" s="536"/>
      <c r="TCU1" s="536"/>
      <c r="TCV1" s="536"/>
      <c r="TCW1" s="536"/>
      <c r="TCX1" s="536"/>
      <c r="TCY1" s="536"/>
      <c r="TCZ1" s="536"/>
      <c r="TDA1" s="536"/>
      <c r="TDB1" s="536"/>
      <c r="TDC1" s="536"/>
      <c r="TDD1" s="536"/>
      <c r="TDE1" s="536"/>
      <c r="TDF1" s="536"/>
      <c r="TDG1" s="536"/>
      <c r="TDH1" s="536"/>
      <c r="TDI1" s="536"/>
      <c r="TDJ1" s="536"/>
      <c r="TDK1" s="536"/>
      <c r="TDL1" s="536"/>
      <c r="TDM1" s="536"/>
      <c r="TDN1" s="536"/>
      <c r="TDO1" s="536"/>
      <c r="TDP1" s="536"/>
      <c r="TDQ1" s="536"/>
      <c r="TDR1" s="536"/>
      <c r="TDS1" s="536"/>
      <c r="TDT1" s="536"/>
      <c r="TDU1" s="536"/>
      <c r="TDV1" s="536"/>
      <c r="TDW1" s="536"/>
      <c r="TDX1" s="536"/>
      <c r="TDY1" s="536"/>
      <c r="TDZ1" s="536"/>
      <c r="TEA1" s="536"/>
      <c r="TEB1" s="536"/>
      <c r="TEC1" s="536"/>
      <c r="TED1" s="536"/>
      <c r="TEE1" s="536"/>
      <c r="TEF1" s="536"/>
      <c r="TEG1" s="536"/>
      <c r="TEH1" s="536"/>
      <c r="TEI1" s="536"/>
      <c r="TEJ1" s="536"/>
      <c r="TEK1" s="536"/>
      <c r="TEL1" s="536"/>
      <c r="TEM1" s="536"/>
      <c r="TEN1" s="536"/>
      <c r="TEO1" s="536"/>
      <c r="TEP1" s="536"/>
      <c r="TEQ1" s="536"/>
      <c r="TER1" s="536"/>
      <c r="TES1" s="536"/>
      <c r="TET1" s="536"/>
      <c r="TEU1" s="536"/>
      <c r="TEV1" s="536"/>
      <c r="TEW1" s="536"/>
      <c r="TEX1" s="536"/>
      <c r="TEY1" s="536"/>
      <c r="TEZ1" s="536"/>
      <c r="TFA1" s="536"/>
      <c r="TFB1" s="536"/>
      <c r="TFC1" s="536"/>
      <c r="TFD1" s="536"/>
      <c r="TFE1" s="536"/>
      <c r="TFF1" s="536"/>
      <c r="TFG1" s="536"/>
      <c r="TFH1" s="536"/>
      <c r="TFI1" s="536"/>
      <c r="TFJ1" s="536"/>
      <c r="TFK1" s="536"/>
      <c r="TFL1" s="536"/>
      <c r="TFM1" s="536"/>
      <c r="TFN1" s="536"/>
      <c r="TFO1" s="536"/>
      <c r="TFP1" s="536"/>
      <c r="TFQ1" s="536"/>
      <c r="TFR1" s="536"/>
      <c r="TFS1" s="536"/>
      <c r="TFT1" s="536"/>
      <c r="TFU1" s="536"/>
      <c r="TFV1" s="536"/>
      <c r="TFW1" s="536"/>
      <c r="TFX1" s="536"/>
      <c r="TFY1" s="536"/>
      <c r="TFZ1" s="536"/>
      <c r="TGA1" s="536"/>
      <c r="TGB1" s="536"/>
      <c r="TGC1" s="536"/>
      <c r="TGD1" s="536"/>
      <c r="TGE1" s="536"/>
      <c r="TGF1" s="536"/>
      <c r="TGG1" s="536"/>
      <c r="TGH1" s="536"/>
      <c r="TGI1" s="536"/>
      <c r="TGJ1" s="536"/>
      <c r="TGK1" s="536"/>
      <c r="TGL1" s="536"/>
      <c r="TGM1" s="536"/>
      <c r="TGN1" s="536"/>
      <c r="TGO1" s="536"/>
      <c r="TGP1" s="536"/>
      <c r="TGQ1" s="536"/>
      <c r="TGR1" s="536"/>
      <c r="TGS1" s="536"/>
      <c r="TGT1" s="536"/>
      <c r="TGU1" s="536"/>
      <c r="TGV1" s="536"/>
      <c r="TGW1" s="536"/>
      <c r="TGX1" s="536"/>
      <c r="TGY1" s="536"/>
      <c r="TGZ1" s="536"/>
      <c r="THA1" s="536"/>
      <c r="THB1" s="536"/>
      <c r="THC1" s="536"/>
      <c r="THD1" s="536"/>
      <c r="THE1" s="536"/>
      <c r="THF1" s="536"/>
      <c r="THG1" s="536"/>
      <c r="THH1" s="536"/>
      <c r="THI1" s="536"/>
      <c r="THJ1" s="536"/>
      <c r="THK1" s="536"/>
      <c r="THL1" s="536"/>
      <c r="THM1" s="536"/>
      <c r="THN1" s="536"/>
      <c r="THO1" s="536"/>
      <c r="THP1" s="536"/>
      <c r="THQ1" s="536"/>
      <c r="THR1" s="536"/>
      <c r="THS1" s="536"/>
      <c r="THT1" s="536"/>
      <c r="THU1" s="536"/>
      <c r="THV1" s="536"/>
      <c r="THW1" s="536"/>
      <c r="THX1" s="536"/>
      <c r="THY1" s="536"/>
      <c r="THZ1" s="536"/>
      <c r="TIA1" s="536"/>
      <c r="TIB1" s="536"/>
      <c r="TIC1" s="536"/>
      <c r="TID1" s="536"/>
      <c r="TIE1" s="536"/>
      <c r="TIF1" s="536"/>
      <c r="TIG1" s="536"/>
      <c r="TIH1" s="536"/>
      <c r="TII1" s="536"/>
      <c r="TIJ1" s="536"/>
      <c r="TIK1" s="536"/>
      <c r="TIL1" s="536"/>
      <c r="TIM1" s="536"/>
      <c r="TIN1" s="536"/>
      <c r="TIO1" s="536"/>
      <c r="TIP1" s="536"/>
      <c r="TIQ1" s="536"/>
      <c r="TIR1" s="536"/>
      <c r="TIS1" s="536"/>
      <c r="TIT1" s="536"/>
      <c r="TIU1" s="536"/>
      <c r="TIV1" s="536"/>
      <c r="TIW1" s="536"/>
      <c r="TIX1" s="536"/>
      <c r="TIY1" s="536"/>
      <c r="TIZ1" s="536"/>
      <c r="TJA1" s="536"/>
      <c r="TJB1" s="536"/>
      <c r="TJC1" s="536"/>
      <c r="TJD1" s="536"/>
      <c r="TJE1" s="536"/>
      <c r="TJF1" s="536"/>
      <c r="TJG1" s="536"/>
      <c r="TJH1" s="536"/>
      <c r="TJI1" s="536"/>
      <c r="TJJ1" s="536"/>
      <c r="TJK1" s="536"/>
      <c r="TJL1" s="536"/>
      <c r="TJM1" s="536"/>
      <c r="TJN1" s="536"/>
      <c r="TJO1" s="536"/>
      <c r="TJP1" s="536"/>
      <c r="TJQ1" s="536"/>
      <c r="TJR1" s="536"/>
      <c r="TJS1" s="536"/>
      <c r="TJT1" s="536"/>
      <c r="TJU1" s="536"/>
      <c r="TJV1" s="536"/>
      <c r="TJW1" s="536"/>
      <c r="TJX1" s="536"/>
      <c r="TJY1" s="536"/>
      <c r="TJZ1" s="536"/>
      <c r="TKA1" s="536"/>
      <c r="TKB1" s="536"/>
      <c r="TKC1" s="536"/>
      <c r="TKD1" s="536"/>
      <c r="TKE1" s="536"/>
      <c r="TKF1" s="536"/>
      <c r="TKG1" s="536"/>
      <c r="TKH1" s="536"/>
      <c r="TKI1" s="536"/>
      <c r="TKJ1" s="536"/>
      <c r="TKK1" s="536"/>
      <c r="TKL1" s="536"/>
      <c r="TKM1" s="536"/>
      <c r="TKN1" s="536"/>
      <c r="TKO1" s="536"/>
      <c r="TKP1" s="536"/>
      <c r="TKQ1" s="536"/>
      <c r="TKR1" s="536"/>
      <c r="TKS1" s="536"/>
      <c r="TKT1" s="536"/>
      <c r="TKU1" s="536"/>
      <c r="TKV1" s="536"/>
      <c r="TKW1" s="536"/>
      <c r="TKX1" s="536"/>
      <c r="TKY1" s="536"/>
      <c r="TKZ1" s="536"/>
      <c r="TLA1" s="536"/>
      <c r="TLB1" s="536"/>
      <c r="TLC1" s="536"/>
      <c r="TLD1" s="536"/>
      <c r="TLE1" s="536"/>
      <c r="TLF1" s="536"/>
      <c r="TLG1" s="536"/>
      <c r="TLH1" s="536"/>
      <c r="TLI1" s="536"/>
      <c r="TLJ1" s="536"/>
      <c r="TLK1" s="536"/>
      <c r="TLL1" s="536"/>
      <c r="TLM1" s="536"/>
      <c r="TLN1" s="536"/>
      <c r="TLO1" s="536"/>
      <c r="TLP1" s="536"/>
      <c r="TLQ1" s="536"/>
      <c r="TLR1" s="536"/>
      <c r="TLS1" s="536"/>
      <c r="TLT1" s="536"/>
      <c r="TLU1" s="536"/>
      <c r="TLV1" s="536"/>
      <c r="TLW1" s="536"/>
      <c r="TLX1" s="536"/>
      <c r="TLY1" s="536"/>
      <c r="TLZ1" s="536"/>
      <c r="TMA1" s="536"/>
      <c r="TMB1" s="536"/>
      <c r="TMC1" s="536"/>
      <c r="TMD1" s="536"/>
      <c r="TME1" s="536"/>
      <c r="TMF1" s="536"/>
      <c r="TMG1" s="536"/>
      <c r="TMH1" s="536"/>
      <c r="TMI1" s="536"/>
      <c r="TMJ1" s="536"/>
      <c r="TMK1" s="536"/>
      <c r="TML1" s="536"/>
      <c r="TMM1" s="536"/>
      <c r="TMN1" s="536"/>
      <c r="TMO1" s="536"/>
      <c r="TMP1" s="536"/>
      <c r="TMQ1" s="536"/>
      <c r="TMR1" s="536"/>
      <c r="TMS1" s="536"/>
      <c r="TMT1" s="536"/>
      <c r="TMU1" s="536"/>
      <c r="TMV1" s="536"/>
      <c r="TMW1" s="536"/>
      <c r="TMX1" s="536"/>
      <c r="TMY1" s="536"/>
      <c r="TMZ1" s="536"/>
      <c r="TNA1" s="536"/>
      <c r="TNB1" s="536"/>
      <c r="TNC1" s="536"/>
      <c r="TND1" s="536"/>
      <c r="TNE1" s="536"/>
      <c r="TNF1" s="536"/>
      <c r="TNG1" s="536"/>
      <c r="TNH1" s="536"/>
      <c r="TNI1" s="536"/>
      <c r="TNJ1" s="536"/>
      <c r="TNK1" s="536"/>
      <c r="TNL1" s="536"/>
      <c r="TNM1" s="536"/>
      <c r="TNN1" s="536"/>
      <c r="TNO1" s="536"/>
      <c r="TNP1" s="536"/>
      <c r="TNQ1" s="536"/>
      <c r="TNR1" s="536"/>
      <c r="TNS1" s="536"/>
      <c r="TNT1" s="536"/>
      <c r="TNU1" s="536"/>
      <c r="TNV1" s="536"/>
      <c r="TNW1" s="536"/>
      <c r="TNX1" s="536"/>
      <c r="TNY1" s="536"/>
      <c r="TNZ1" s="536"/>
      <c r="TOA1" s="536"/>
      <c r="TOB1" s="536"/>
      <c r="TOC1" s="536"/>
      <c r="TOD1" s="536"/>
      <c r="TOE1" s="536"/>
      <c r="TOF1" s="536"/>
      <c r="TOG1" s="536"/>
      <c r="TOH1" s="536"/>
      <c r="TOI1" s="536"/>
      <c r="TOJ1" s="536"/>
      <c r="TOK1" s="536"/>
      <c r="TOL1" s="536"/>
      <c r="TOM1" s="536"/>
      <c r="TON1" s="536"/>
      <c r="TOO1" s="536"/>
      <c r="TOP1" s="536"/>
      <c r="TOQ1" s="536"/>
      <c r="TOR1" s="536"/>
      <c r="TOS1" s="536"/>
      <c r="TOT1" s="536"/>
      <c r="TOU1" s="536"/>
      <c r="TOV1" s="536"/>
      <c r="TOW1" s="536"/>
      <c r="TOX1" s="536"/>
      <c r="TOY1" s="536"/>
      <c r="TOZ1" s="536"/>
      <c r="TPA1" s="536"/>
      <c r="TPB1" s="536"/>
      <c r="TPC1" s="536"/>
      <c r="TPD1" s="536"/>
      <c r="TPE1" s="536"/>
      <c r="TPF1" s="536"/>
      <c r="TPG1" s="536"/>
      <c r="TPH1" s="536"/>
      <c r="TPI1" s="536"/>
      <c r="TPJ1" s="536"/>
      <c r="TPK1" s="536"/>
      <c r="TPL1" s="536"/>
      <c r="TPM1" s="536"/>
      <c r="TPN1" s="536"/>
      <c r="TPO1" s="536"/>
      <c r="TPP1" s="536"/>
      <c r="TPQ1" s="536"/>
      <c r="TPR1" s="536"/>
      <c r="TPS1" s="536"/>
      <c r="TPT1" s="536"/>
      <c r="TPU1" s="536"/>
      <c r="TPV1" s="536"/>
      <c r="TPW1" s="536"/>
      <c r="TPX1" s="536"/>
      <c r="TPY1" s="536"/>
      <c r="TPZ1" s="536"/>
      <c r="TQA1" s="536"/>
      <c r="TQB1" s="536"/>
      <c r="TQC1" s="536"/>
      <c r="TQD1" s="536"/>
      <c r="TQE1" s="536"/>
      <c r="TQF1" s="536"/>
      <c r="TQG1" s="536"/>
      <c r="TQH1" s="536"/>
      <c r="TQI1" s="536"/>
      <c r="TQJ1" s="536"/>
      <c r="TQK1" s="536"/>
      <c r="TQL1" s="536"/>
      <c r="TQM1" s="536"/>
      <c r="TQN1" s="536"/>
      <c r="TQO1" s="536"/>
      <c r="TQP1" s="536"/>
      <c r="TQQ1" s="536"/>
      <c r="TQR1" s="536"/>
      <c r="TQS1" s="536"/>
      <c r="TQT1" s="536"/>
      <c r="TQU1" s="536"/>
      <c r="TQV1" s="536"/>
      <c r="TQW1" s="536"/>
      <c r="TQX1" s="536"/>
      <c r="TQY1" s="536"/>
      <c r="TQZ1" s="536"/>
      <c r="TRA1" s="536"/>
      <c r="TRB1" s="536"/>
      <c r="TRC1" s="536"/>
      <c r="TRD1" s="536"/>
      <c r="TRE1" s="536"/>
      <c r="TRF1" s="536"/>
      <c r="TRG1" s="536"/>
      <c r="TRH1" s="536"/>
      <c r="TRI1" s="536"/>
      <c r="TRJ1" s="536"/>
      <c r="TRK1" s="536"/>
      <c r="TRL1" s="536"/>
      <c r="TRM1" s="536"/>
      <c r="TRN1" s="536"/>
      <c r="TRO1" s="536"/>
      <c r="TRP1" s="536"/>
      <c r="TRQ1" s="536"/>
      <c r="TRR1" s="536"/>
      <c r="TRS1" s="536"/>
      <c r="TRT1" s="536"/>
      <c r="TRU1" s="536"/>
      <c r="TRV1" s="536"/>
      <c r="TRW1" s="536"/>
      <c r="TRX1" s="536"/>
      <c r="TRY1" s="536"/>
      <c r="TRZ1" s="536"/>
      <c r="TSA1" s="536"/>
      <c r="TSB1" s="536"/>
      <c r="TSC1" s="536"/>
      <c r="TSD1" s="536"/>
      <c r="TSE1" s="536"/>
      <c r="TSF1" s="536"/>
      <c r="TSG1" s="536"/>
      <c r="TSH1" s="536"/>
      <c r="TSI1" s="536"/>
      <c r="TSJ1" s="536"/>
      <c r="TSK1" s="536"/>
      <c r="TSL1" s="536"/>
      <c r="TSM1" s="536"/>
      <c r="TSN1" s="536"/>
      <c r="TSO1" s="536"/>
      <c r="TSP1" s="536"/>
      <c r="TSQ1" s="536"/>
      <c r="TSR1" s="536"/>
      <c r="TSS1" s="536"/>
      <c r="TST1" s="536"/>
      <c r="TSU1" s="536"/>
      <c r="TSV1" s="536"/>
      <c r="TSW1" s="536"/>
      <c r="TSX1" s="536"/>
      <c r="TSY1" s="536"/>
      <c r="TSZ1" s="536"/>
      <c r="TTA1" s="536"/>
      <c r="TTB1" s="536"/>
      <c r="TTC1" s="536"/>
      <c r="TTD1" s="536"/>
      <c r="TTE1" s="536"/>
      <c r="TTF1" s="536"/>
      <c r="TTG1" s="536"/>
      <c r="TTH1" s="536"/>
      <c r="TTI1" s="536"/>
      <c r="TTJ1" s="536"/>
      <c r="TTK1" s="536"/>
      <c r="TTL1" s="536"/>
      <c r="TTM1" s="536"/>
      <c r="TTN1" s="536"/>
      <c r="TTO1" s="536"/>
      <c r="TTP1" s="536"/>
      <c r="TTQ1" s="536"/>
      <c r="TTR1" s="536"/>
      <c r="TTS1" s="536"/>
      <c r="TTT1" s="536"/>
      <c r="TTU1" s="536"/>
      <c r="TTV1" s="536"/>
      <c r="TTW1" s="536"/>
      <c r="TTX1" s="536"/>
      <c r="TTY1" s="536"/>
      <c r="TTZ1" s="536"/>
      <c r="TUA1" s="536"/>
      <c r="TUB1" s="536"/>
      <c r="TUC1" s="536"/>
      <c r="TUD1" s="536"/>
      <c r="TUE1" s="536"/>
      <c r="TUF1" s="536"/>
      <c r="TUG1" s="536"/>
      <c r="TUH1" s="536"/>
      <c r="TUI1" s="536"/>
      <c r="TUJ1" s="536"/>
      <c r="TUK1" s="536"/>
      <c r="TUL1" s="536"/>
      <c r="TUM1" s="536"/>
      <c r="TUN1" s="536"/>
      <c r="TUO1" s="536"/>
      <c r="TUP1" s="536"/>
      <c r="TUQ1" s="536"/>
      <c r="TUR1" s="536"/>
      <c r="TUS1" s="536"/>
      <c r="TUT1" s="536"/>
      <c r="TUU1" s="536"/>
      <c r="TUV1" s="536"/>
      <c r="TUW1" s="536"/>
      <c r="TUX1" s="536"/>
      <c r="TUY1" s="536"/>
      <c r="TUZ1" s="536"/>
      <c r="TVA1" s="536"/>
      <c r="TVB1" s="536"/>
      <c r="TVC1" s="536"/>
      <c r="TVD1" s="536"/>
      <c r="TVE1" s="536"/>
      <c r="TVF1" s="536"/>
      <c r="TVG1" s="536"/>
      <c r="TVH1" s="536"/>
      <c r="TVI1" s="536"/>
      <c r="TVJ1" s="536"/>
      <c r="TVK1" s="536"/>
      <c r="TVL1" s="536"/>
      <c r="TVM1" s="536"/>
      <c r="TVN1" s="536"/>
      <c r="TVO1" s="536"/>
      <c r="TVP1" s="536"/>
      <c r="TVQ1" s="536"/>
      <c r="TVR1" s="536"/>
      <c r="TVS1" s="536"/>
      <c r="TVT1" s="536"/>
      <c r="TVU1" s="536"/>
      <c r="TVV1" s="536"/>
      <c r="TVW1" s="536"/>
      <c r="TVX1" s="536"/>
      <c r="TVY1" s="536"/>
      <c r="TVZ1" s="536"/>
      <c r="TWA1" s="536"/>
      <c r="TWB1" s="536"/>
      <c r="TWC1" s="536"/>
      <c r="TWD1" s="536"/>
      <c r="TWE1" s="536"/>
      <c r="TWF1" s="536"/>
      <c r="TWG1" s="536"/>
      <c r="TWH1" s="536"/>
      <c r="TWI1" s="536"/>
      <c r="TWJ1" s="536"/>
      <c r="TWK1" s="536"/>
      <c r="TWL1" s="536"/>
      <c r="TWM1" s="536"/>
      <c r="TWN1" s="536"/>
      <c r="TWO1" s="536"/>
      <c r="TWP1" s="536"/>
      <c r="TWQ1" s="536"/>
      <c r="TWR1" s="536"/>
      <c r="TWS1" s="536"/>
      <c r="TWT1" s="536"/>
      <c r="TWU1" s="536"/>
      <c r="TWV1" s="536"/>
      <c r="TWW1" s="536"/>
      <c r="TWX1" s="536"/>
      <c r="TWY1" s="536"/>
      <c r="TWZ1" s="536"/>
      <c r="TXA1" s="536"/>
      <c r="TXB1" s="536"/>
      <c r="TXC1" s="536"/>
      <c r="TXD1" s="536"/>
      <c r="TXE1" s="536"/>
      <c r="TXF1" s="536"/>
      <c r="TXG1" s="536"/>
      <c r="TXH1" s="536"/>
      <c r="TXI1" s="536"/>
      <c r="TXJ1" s="536"/>
      <c r="TXK1" s="536"/>
      <c r="TXL1" s="536"/>
      <c r="TXM1" s="536"/>
      <c r="TXN1" s="536"/>
      <c r="TXO1" s="536"/>
      <c r="TXP1" s="536"/>
      <c r="TXQ1" s="536"/>
      <c r="TXR1" s="536"/>
      <c r="TXS1" s="536"/>
      <c r="TXT1" s="536"/>
      <c r="TXU1" s="536"/>
      <c r="TXV1" s="536"/>
      <c r="TXW1" s="536"/>
      <c r="TXX1" s="536"/>
      <c r="TXY1" s="536"/>
      <c r="TXZ1" s="536"/>
      <c r="TYA1" s="536"/>
      <c r="TYB1" s="536"/>
      <c r="TYC1" s="536"/>
      <c r="TYD1" s="536"/>
      <c r="TYE1" s="536"/>
      <c r="TYF1" s="536"/>
      <c r="TYG1" s="536"/>
      <c r="TYH1" s="536"/>
      <c r="TYI1" s="536"/>
      <c r="TYJ1" s="536"/>
      <c r="TYK1" s="536"/>
      <c r="TYL1" s="536"/>
      <c r="TYM1" s="536"/>
      <c r="TYN1" s="536"/>
      <c r="TYO1" s="536"/>
      <c r="TYP1" s="536"/>
      <c r="TYQ1" s="536"/>
      <c r="TYR1" s="536"/>
      <c r="TYS1" s="536"/>
      <c r="TYT1" s="536"/>
      <c r="TYU1" s="536"/>
      <c r="TYV1" s="536"/>
      <c r="TYW1" s="536"/>
      <c r="TYX1" s="536"/>
      <c r="TYY1" s="536"/>
      <c r="TYZ1" s="536"/>
      <c r="TZA1" s="536"/>
      <c r="TZB1" s="536"/>
      <c r="TZC1" s="536"/>
      <c r="TZD1" s="536"/>
      <c r="TZE1" s="536"/>
      <c r="TZF1" s="536"/>
      <c r="TZG1" s="536"/>
      <c r="TZH1" s="536"/>
      <c r="TZI1" s="536"/>
      <c r="TZJ1" s="536"/>
      <c r="TZK1" s="536"/>
      <c r="TZL1" s="536"/>
      <c r="TZM1" s="536"/>
      <c r="TZN1" s="536"/>
      <c r="TZO1" s="536"/>
      <c r="TZP1" s="536"/>
      <c r="TZQ1" s="536"/>
      <c r="TZR1" s="536"/>
      <c r="TZS1" s="536"/>
      <c r="TZT1" s="536"/>
      <c r="TZU1" s="536"/>
      <c r="TZV1" s="536"/>
      <c r="TZW1" s="536"/>
      <c r="TZX1" s="536"/>
      <c r="TZY1" s="536"/>
      <c r="TZZ1" s="536"/>
      <c r="UAA1" s="536"/>
      <c r="UAB1" s="536"/>
      <c r="UAC1" s="536"/>
      <c r="UAD1" s="536"/>
      <c r="UAE1" s="536"/>
      <c r="UAF1" s="536"/>
      <c r="UAG1" s="536"/>
      <c r="UAH1" s="536"/>
      <c r="UAI1" s="536"/>
      <c r="UAJ1" s="536"/>
      <c r="UAK1" s="536"/>
      <c r="UAL1" s="536"/>
      <c r="UAM1" s="536"/>
      <c r="UAN1" s="536"/>
      <c r="UAO1" s="536"/>
      <c r="UAP1" s="536"/>
      <c r="UAQ1" s="536"/>
      <c r="UAR1" s="536"/>
      <c r="UAS1" s="536"/>
      <c r="UAT1" s="536"/>
      <c r="UAU1" s="536"/>
      <c r="UAV1" s="536"/>
      <c r="UAW1" s="536"/>
      <c r="UAX1" s="536"/>
      <c r="UAY1" s="536"/>
      <c r="UAZ1" s="536"/>
      <c r="UBA1" s="536"/>
      <c r="UBB1" s="536"/>
      <c r="UBC1" s="536"/>
      <c r="UBD1" s="536"/>
      <c r="UBE1" s="536"/>
      <c r="UBF1" s="536"/>
      <c r="UBG1" s="536"/>
      <c r="UBH1" s="536"/>
      <c r="UBI1" s="536"/>
      <c r="UBJ1" s="536"/>
      <c r="UBK1" s="536"/>
      <c r="UBL1" s="536"/>
      <c r="UBM1" s="536"/>
      <c r="UBN1" s="536"/>
      <c r="UBO1" s="536"/>
      <c r="UBP1" s="536"/>
      <c r="UBQ1" s="536"/>
      <c r="UBR1" s="536"/>
      <c r="UBS1" s="536"/>
      <c r="UBT1" s="536"/>
      <c r="UBU1" s="536"/>
      <c r="UBV1" s="536"/>
      <c r="UBW1" s="536"/>
      <c r="UBX1" s="536"/>
      <c r="UBY1" s="536"/>
      <c r="UBZ1" s="536"/>
      <c r="UCA1" s="536"/>
      <c r="UCB1" s="536"/>
      <c r="UCC1" s="536"/>
      <c r="UCD1" s="536"/>
      <c r="UCE1" s="536"/>
      <c r="UCF1" s="536"/>
      <c r="UCG1" s="536"/>
      <c r="UCH1" s="536"/>
      <c r="UCI1" s="536"/>
      <c r="UCJ1" s="536"/>
      <c r="UCK1" s="536"/>
      <c r="UCL1" s="536"/>
      <c r="UCM1" s="536"/>
      <c r="UCN1" s="536"/>
      <c r="UCO1" s="536"/>
      <c r="UCP1" s="536"/>
      <c r="UCQ1" s="536"/>
      <c r="UCR1" s="536"/>
      <c r="UCS1" s="536"/>
      <c r="UCT1" s="536"/>
      <c r="UCU1" s="536"/>
      <c r="UCV1" s="536"/>
      <c r="UCW1" s="536"/>
      <c r="UCX1" s="536"/>
      <c r="UCY1" s="536"/>
      <c r="UCZ1" s="536"/>
      <c r="UDA1" s="536"/>
      <c r="UDB1" s="536"/>
      <c r="UDC1" s="536"/>
      <c r="UDD1" s="536"/>
      <c r="UDE1" s="536"/>
      <c r="UDF1" s="536"/>
      <c r="UDG1" s="536"/>
      <c r="UDH1" s="536"/>
      <c r="UDI1" s="536"/>
      <c r="UDJ1" s="536"/>
      <c r="UDK1" s="536"/>
      <c r="UDL1" s="536"/>
      <c r="UDM1" s="536"/>
      <c r="UDN1" s="536"/>
      <c r="UDO1" s="536"/>
      <c r="UDP1" s="536"/>
      <c r="UDQ1" s="536"/>
      <c r="UDR1" s="536"/>
      <c r="UDS1" s="536"/>
      <c r="UDT1" s="536"/>
      <c r="UDU1" s="536"/>
      <c r="UDV1" s="536"/>
      <c r="UDW1" s="536"/>
      <c r="UDX1" s="536"/>
      <c r="UDY1" s="536"/>
      <c r="UDZ1" s="536"/>
      <c r="UEA1" s="536"/>
      <c r="UEB1" s="536"/>
      <c r="UEC1" s="536"/>
      <c r="UED1" s="536"/>
      <c r="UEE1" s="536"/>
      <c r="UEF1" s="536"/>
      <c r="UEG1" s="536"/>
      <c r="UEH1" s="536"/>
      <c r="UEI1" s="536"/>
      <c r="UEJ1" s="536"/>
      <c r="UEK1" s="536"/>
      <c r="UEL1" s="536"/>
      <c r="UEM1" s="536"/>
      <c r="UEN1" s="536"/>
      <c r="UEO1" s="536"/>
      <c r="UEP1" s="536"/>
      <c r="UEQ1" s="536"/>
      <c r="UER1" s="536"/>
      <c r="UES1" s="536"/>
      <c r="UET1" s="536"/>
      <c r="UEU1" s="536"/>
      <c r="UEV1" s="536"/>
      <c r="UEW1" s="536"/>
      <c r="UEX1" s="536"/>
      <c r="UEY1" s="536"/>
      <c r="UEZ1" s="536"/>
      <c r="UFA1" s="536"/>
      <c r="UFB1" s="536"/>
      <c r="UFC1" s="536"/>
      <c r="UFD1" s="536"/>
      <c r="UFE1" s="536"/>
      <c r="UFF1" s="536"/>
      <c r="UFG1" s="536"/>
      <c r="UFH1" s="536"/>
      <c r="UFI1" s="536"/>
      <c r="UFJ1" s="536"/>
      <c r="UFK1" s="536"/>
      <c r="UFL1" s="536"/>
      <c r="UFM1" s="536"/>
      <c r="UFN1" s="536"/>
      <c r="UFO1" s="536"/>
      <c r="UFP1" s="536"/>
      <c r="UFQ1" s="536"/>
      <c r="UFR1" s="536"/>
      <c r="UFS1" s="536"/>
      <c r="UFT1" s="536"/>
      <c r="UFU1" s="536"/>
      <c r="UFV1" s="536"/>
      <c r="UFW1" s="536"/>
      <c r="UFX1" s="536"/>
      <c r="UFY1" s="536"/>
      <c r="UFZ1" s="536"/>
      <c r="UGA1" s="536"/>
      <c r="UGB1" s="536"/>
      <c r="UGC1" s="536"/>
      <c r="UGD1" s="536"/>
      <c r="UGE1" s="536"/>
      <c r="UGF1" s="536"/>
      <c r="UGG1" s="536"/>
      <c r="UGH1" s="536"/>
      <c r="UGI1" s="536"/>
      <c r="UGJ1" s="536"/>
      <c r="UGK1" s="536"/>
      <c r="UGL1" s="536"/>
      <c r="UGM1" s="536"/>
      <c r="UGN1" s="536"/>
      <c r="UGO1" s="536"/>
      <c r="UGP1" s="536"/>
      <c r="UGQ1" s="536"/>
      <c r="UGR1" s="536"/>
      <c r="UGS1" s="536"/>
      <c r="UGT1" s="536"/>
      <c r="UGU1" s="536"/>
      <c r="UGV1" s="536"/>
      <c r="UGW1" s="536"/>
      <c r="UGX1" s="536"/>
      <c r="UGY1" s="536"/>
      <c r="UGZ1" s="536"/>
      <c r="UHA1" s="536"/>
      <c r="UHB1" s="536"/>
      <c r="UHC1" s="536"/>
      <c r="UHD1" s="536"/>
      <c r="UHE1" s="536"/>
      <c r="UHF1" s="536"/>
      <c r="UHG1" s="536"/>
      <c r="UHH1" s="536"/>
      <c r="UHI1" s="536"/>
      <c r="UHJ1" s="536"/>
      <c r="UHK1" s="536"/>
      <c r="UHL1" s="536"/>
      <c r="UHM1" s="536"/>
      <c r="UHN1" s="536"/>
      <c r="UHO1" s="536"/>
      <c r="UHP1" s="536"/>
      <c r="UHQ1" s="536"/>
      <c r="UHR1" s="536"/>
      <c r="UHS1" s="536"/>
      <c r="UHT1" s="536"/>
      <c r="UHU1" s="536"/>
      <c r="UHV1" s="536"/>
      <c r="UHW1" s="536"/>
      <c r="UHX1" s="536"/>
      <c r="UHY1" s="536"/>
      <c r="UHZ1" s="536"/>
      <c r="UIA1" s="536"/>
      <c r="UIB1" s="536"/>
      <c r="UIC1" s="536"/>
      <c r="UID1" s="536"/>
      <c r="UIE1" s="536"/>
      <c r="UIF1" s="536"/>
      <c r="UIG1" s="536"/>
      <c r="UIH1" s="536"/>
      <c r="UII1" s="536"/>
      <c r="UIJ1" s="536"/>
      <c r="UIK1" s="536"/>
      <c r="UIL1" s="536"/>
      <c r="UIM1" s="536"/>
      <c r="UIN1" s="536"/>
      <c r="UIO1" s="536"/>
      <c r="UIP1" s="536"/>
      <c r="UIQ1" s="536"/>
      <c r="UIR1" s="536"/>
      <c r="UIS1" s="536"/>
      <c r="UIT1" s="536"/>
      <c r="UIU1" s="536"/>
      <c r="UIV1" s="536"/>
      <c r="UIW1" s="536"/>
      <c r="UIX1" s="536"/>
      <c r="UIY1" s="536"/>
      <c r="UIZ1" s="536"/>
      <c r="UJA1" s="536"/>
      <c r="UJB1" s="536"/>
      <c r="UJC1" s="536"/>
      <c r="UJD1" s="536"/>
      <c r="UJE1" s="536"/>
      <c r="UJF1" s="536"/>
      <c r="UJG1" s="536"/>
      <c r="UJH1" s="536"/>
      <c r="UJI1" s="536"/>
      <c r="UJJ1" s="536"/>
      <c r="UJK1" s="536"/>
      <c r="UJL1" s="536"/>
      <c r="UJM1" s="536"/>
      <c r="UJN1" s="536"/>
      <c r="UJO1" s="536"/>
      <c r="UJP1" s="536"/>
      <c r="UJQ1" s="536"/>
      <c r="UJR1" s="536"/>
      <c r="UJS1" s="536"/>
      <c r="UJT1" s="536"/>
      <c r="UJU1" s="536"/>
      <c r="UJV1" s="536"/>
      <c r="UJW1" s="536"/>
      <c r="UJX1" s="536"/>
      <c r="UJY1" s="536"/>
      <c r="UJZ1" s="536"/>
      <c r="UKA1" s="536"/>
      <c r="UKB1" s="536"/>
      <c r="UKC1" s="536"/>
      <c r="UKD1" s="536"/>
      <c r="UKE1" s="536"/>
      <c r="UKF1" s="536"/>
      <c r="UKG1" s="536"/>
      <c r="UKH1" s="536"/>
      <c r="UKI1" s="536"/>
      <c r="UKJ1" s="536"/>
      <c r="UKK1" s="536"/>
      <c r="UKL1" s="536"/>
      <c r="UKM1" s="536"/>
      <c r="UKN1" s="536"/>
      <c r="UKO1" s="536"/>
      <c r="UKP1" s="536"/>
      <c r="UKQ1" s="536"/>
      <c r="UKR1" s="536"/>
      <c r="UKS1" s="536"/>
      <c r="UKT1" s="536"/>
      <c r="UKU1" s="536"/>
      <c r="UKV1" s="536"/>
      <c r="UKW1" s="536"/>
      <c r="UKX1" s="536"/>
      <c r="UKY1" s="536"/>
      <c r="UKZ1" s="536"/>
      <c r="ULA1" s="536"/>
      <c r="ULB1" s="536"/>
      <c r="ULC1" s="536"/>
      <c r="ULD1" s="536"/>
      <c r="ULE1" s="536"/>
      <c r="ULF1" s="536"/>
      <c r="ULG1" s="536"/>
      <c r="ULH1" s="536"/>
      <c r="ULI1" s="536"/>
      <c r="ULJ1" s="536"/>
      <c r="ULK1" s="536"/>
      <c r="ULL1" s="536"/>
      <c r="ULM1" s="536"/>
      <c r="ULN1" s="536"/>
      <c r="ULO1" s="536"/>
      <c r="ULP1" s="536"/>
      <c r="ULQ1" s="536"/>
      <c r="ULR1" s="536"/>
      <c r="ULS1" s="536"/>
      <c r="ULT1" s="536"/>
      <c r="ULU1" s="536"/>
      <c r="ULV1" s="536"/>
      <c r="ULW1" s="536"/>
      <c r="ULX1" s="536"/>
      <c r="ULY1" s="536"/>
      <c r="ULZ1" s="536"/>
      <c r="UMA1" s="536"/>
      <c r="UMB1" s="536"/>
      <c r="UMC1" s="536"/>
      <c r="UMD1" s="536"/>
      <c r="UME1" s="536"/>
      <c r="UMF1" s="536"/>
      <c r="UMG1" s="536"/>
      <c r="UMH1" s="536"/>
      <c r="UMI1" s="536"/>
      <c r="UMJ1" s="536"/>
      <c r="UMK1" s="536"/>
      <c r="UML1" s="536"/>
      <c r="UMM1" s="536"/>
      <c r="UMN1" s="536"/>
      <c r="UMO1" s="536"/>
      <c r="UMP1" s="536"/>
      <c r="UMQ1" s="536"/>
      <c r="UMR1" s="536"/>
      <c r="UMS1" s="536"/>
      <c r="UMT1" s="536"/>
      <c r="UMU1" s="536"/>
      <c r="UMV1" s="536"/>
      <c r="UMW1" s="536"/>
      <c r="UMX1" s="536"/>
      <c r="UMY1" s="536"/>
      <c r="UMZ1" s="536"/>
      <c r="UNA1" s="536"/>
      <c r="UNB1" s="536"/>
      <c r="UNC1" s="536"/>
      <c r="UND1" s="536"/>
      <c r="UNE1" s="536"/>
      <c r="UNF1" s="536"/>
      <c r="UNG1" s="536"/>
      <c r="UNH1" s="536"/>
      <c r="UNI1" s="536"/>
      <c r="UNJ1" s="536"/>
      <c r="UNK1" s="536"/>
      <c r="UNL1" s="536"/>
      <c r="UNM1" s="536"/>
      <c r="UNN1" s="536"/>
      <c r="UNO1" s="536"/>
      <c r="UNP1" s="536"/>
      <c r="UNQ1" s="536"/>
      <c r="UNR1" s="536"/>
      <c r="UNS1" s="536"/>
      <c r="UNT1" s="536"/>
      <c r="UNU1" s="536"/>
      <c r="UNV1" s="536"/>
      <c r="UNW1" s="536"/>
      <c r="UNX1" s="536"/>
      <c r="UNY1" s="536"/>
      <c r="UNZ1" s="536"/>
      <c r="UOA1" s="536"/>
      <c r="UOB1" s="536"/>
      <c r="UOC1" s="536"/>
      <c r="UOD1" s="536"/>
      <c r="UOE1" s="536"/>
      <c r="UOF1" s="536"/>
      <c r="UOG1" s="536"/>
      <c r="UOH1" s="536"/>
      <c r="UOI1" s="536"/>
      <c r="UOJ1" s="536"/>
      <c r="UOK1" s="536"/>
      <c r="UOL1" s="536"/>
      <c r="UOM1" s="536"/>
      <c r="UON1" s="536"/>
      <c r="UOO1" s="536"/>
      <c r="UOP1" s="536"/>
      <c r="UOQ1" s="536"/>
      <c r="UOR1" s="536"/>
      <c r="UOS1" s="536"/>
      <c r="UOT1" s="536"/>
      <c r="UOU1" s="536"/>
      <c r="UOV1" s="536"/>
      <c r="UOW1" s="536"/>
      <c r="UOX1" s="536"/>
      <c r="UOY1" s="536"/>
      <c r="UOZ1" s="536"/>
      <c r="UPA1" s="536"/>
      <c r="UPB1" s="536"/>
      <c r="UPC1" s="536"/>
      <c r="UPD1" s="536"/>
      <c r="UPE1" s="536"/>
      <c r="UPF1" s="536"/>
      <c r="UPG1" s="536"/>
      <c r="UPH1" s="536"/>
      <c r="UPI1" s="536"/>
      <c r="UPJ1" s="536"/>
      <c r="UPK1" s="536"/>
      <c r="UPL1" s="536"/>
      <c r="UPM1" s="536"/>
      <c r="UPN1" s="536"/>
      <c r="UPO1" s="536"/>
      <c r="UPP1" s="536"/>
      <c r="UPQ1" s="536"/>
      <c r="UPR1" s="536"/>
      <c r="UPS1" s="536"/>
      <c r="UPT1" s="536"/>
      <c r="UPU1" s="536"/>
      <c r="UPV1" s="536"/>
      <c r="UPW1" s="536"/>
      <c r="UPX1" s="536"/>
      <c r="UPY1" s="536"/>
      <c r="UPZ1" s="536"/>
      <c r="UQA1" s="536"/>
      <c r="UQB1" s="536"/>
      <c r="UQC1" s="536"/>
      <c r="UQD1" s="536"/>
      <c r="UQE1" s="536"/>
      <c r="UQF1" s="536"/>
      <c r="UQG1" s="536"/>
      <c r="UQH1" s="536"/>
      <c r="UQI1" s="536"/>
      <c r="UQJ1" s="536"/>
      <c r="UQK1" s="536"/>
      <c r="UQL1" s="536"/>
      <c r="UQM1" s="536"/>
      <c r="UQN1" s="536"/>
      <c r="UQO1" s="536"/>
      <c r="UQP1" s="536"/>
      <c r="UQQ1" s="536"/>
      <c r="UQR1" s="536"/>
      <c r="UQS1" s="536"/>
      <c r="UQT1" s="536"/>
      <c r="UQU1" s="536"/>
      <c r="UQV1" s="536"/>
      <c r="UQW1" s="536"/>
      <c r="UQX1" s="536"/>
      <c r="UQY1" s="536"/>
      <c r="UQZ1" s="536"/>
      <c r="URA1" s="536"/>
      <c r="URB1" s="536"/>
      <c r="URC1" s="536"/>
      <c r="URD1" s="536"/>
      <c r="URE1" s="536"/>
      <c r="URF1" s="536"/>
      <c r="URG1" s="536"/>
      <c r="URH1" s="536"/>
      <c r="URI1" s="536"/>
      <c r="URJ1" s="536"/>
      <c r="URK1" s="536"/>
      <c r="URL1" s="536"/>
      <c r="URM1" s="536"/>
      <c r="URN1" s="536"/>
      <c r="URO1" s="536"/>
      <c r="URP1" s="536"/>
      <c r="URQ1" s="536"/>
      <c r="URR1" s="536"/>
      <c r="URS1" s="536"/>
      <c r="URT1" s="536"/>
      <c r="URU1" s="536"/>
      <c r="URV1" s="536"/>
      <c r="URW1" s="536"/>
      <c r="URX1" s="536"/>
      <c r="URY1" s="536"/>
      <c r="URZ1" s="536"/>
      <c r="USA1" s="536"/>
      <c r="USB1" s="536"/>
      <c r="USC1" s="536"/>
      <c r="USD1" s="536"/>
      <c r="USE1" s="536"/>
      <c r="USF1" s="536"/>
      <c r="USG1" s="536"/>
      <c r="USH1" s="536"/>
      <c r="USI1" s="536"/>
      <c r="USJ1" s="536"/>
      <c r="USK1" s="536"/>
      <c r="USL1" s="536"/>
      <c r="USM1" s="536"/>
      <c r="USN1" s="536"/>
      <c r="USO1" s="536"/>
      <c r="USP1" s="536"/>
      <c r="USQ1" s="536"/>
      <c r="USR1" s="536"/>
      <c r="USS1" s="536"/>
      <c r="UST1" s="536"/>
      <c r="USU1" s="536"/>
      <c r="USV1" s="536"/>
      <c r="USW1" s="536"/>
      <c r="USX1" s="536"/>
      <c r="USY1" s="536"/>
      <c r="USZ1" s="536"/>
      <c r="UTA1" s="536"/>
      <c r="UTB1" s="536"/>
      <c r="UTC1" s="536"/>
      <c r="UTD1" s="536"/>
      <c r="UTE1" s="536"/>
      <c r="UTF1" s="536"/>
      <c r="UTG1" s="536"/>
      <c r="UTH1" s="536"/>
      <c r="UTI1" s="536"/>
      <c r="UTJ1" s="536"/>
      <c r="UTK1" s="536"/>
      <c r="UTL1" s="536"/>
      <c r="UTM1" s="536"/>
      <c r="UTN1" s="536"/>
      <c r="UTO1" s="536"/>
      <c r="UTP1" s="536"/>
      <c r="UTQ1" s="536"/>
      <c r="UTR1" s="536"/>
      <c r="UTS1" s="536"/>
      <c r="UTT1" s="536"/>
      <c r="UTU1" s="536"/>
      <c r="UTV1" s="536"/>
      <c r="UTW1" s="536"/>
      <c r="UTX1" s="536"/>
      <c r="UTY1" s="536"/>
      <c r="UTZ1" s="536"/>
      <c r="UUA1" s="536"/>
      <c r="UUB1" s="536"/>
      <c r="UUC1" s="536"/>
      <c r="UUD1" s="536"/>
      <c r="UUE1" s="536"/>
      <c r="UUF1" s="536"/>
      <c r="UUG1" s="536"/>
      <c r="UUH1" s="536"/>
      <c r="UUI1" s="536"/>
      <c r="UUJ1" s="536"/>
      <c r="UUK1" s="536"/>
      <c r="UUL1" s="536"/>
      <c r="UUM1" s="536"/>
      <c r="UUN1" s="536"/>
      <c r="UUO1" s="536"/>
      <c r="UUP1" s="536"/>
      <c r="UUQ1" s="536"/>
      <c r="UUR1" s="536"/>
      <c r="UUS1" s="536"/>
      <c r="UUT1" s="536"/>
      <c r="UUU1" s="536"/>
      <c r="UUV1" s="536"/>
      <c r="UUW1" s="536"/>
      <c r="UUX1" s="536"/>
      <c r="UUY1" s="536"/>
      <c r="UUZ1" s="536"/>
      <c r="UVA1" s="536"/>
      <c r="UVB1" s="536"/>
      <c r="UVC1" s="536"/>
      <c r="UVD1" s="536"/>
      <c r="UVE1" s="536"/>
      <c r="UVF1" s="536"/>
      <c r="UVG1" s="536"/>
      <c r="UVH1" s="536"/>
      <c r="UVI1" s="536"/>
      <c r="UVJ1" s="536"/>
      <c r="UVK1" s="536"/>
      <c r="UVL1" s="536"/>
      <c r="UVM1" s="536"/>
      <c r="UVN1" s="536"/>
      <c r="UVO1" s="536"/>
      <c r="UVP1" s="536"/>
      <c r="UVQ1" s="536"/>
      <c r="UVR1" s="536"/>
      <c r="UVS1" s="536"/>
      <c r="UVT1" s="536"/>
      <c r="UVU1" s="536"/>
      <c r="UVV1" s="536"/>
      <c r="UVW1" s="536"/>
      <c r="UVX1" s="536"/>
      <c r="UVY1" s="536"/>
      <c r="UVZ1" s="536"/>
      <c r="UWA1" s="536"/>
      <c r="UWB1" s="536"/>
      <c r="UWC1" s="536"/>
      <c r="UWD1" s="536"/>
      <c r="UWE1" s="536"/>
      <c r="UWF1" s="536"/>
      <c r="UWG1" s="536"/>
      <c r="UWH1" s="536"/>
      <c r="UWI1" s="536"/>
      <c r="UWJ1" s="536"/>
      <c r="UWK1" s="536"/>
      <c r="UWL1" s="536"/>
      <c r="UWM1" s="536"/>
      <c r="UWN1" s="536"/>
      <c r="UWO1" s="536"/>
      <c r="UWP1" s="536"/>
      <c r="UWQ1" s="536"/>
      <c r="UWR1" s="536"/>
      <c r="UWS1" s="536"/>
      <c r="UWT1" s="536"/>
      <c r="UWU1" s="536"/>
      <c r="UWV1" s="536"/>
      <c r="UWW1" s="536"/>
      <c r="UWX1" s="536"/>
      <c r="UWY1" s="536"/>
      <c r="UWZ1" s="536"/>
      <c r="UXA1" s="536"/>
      <c r="UXB1" s="536"/>
      <c r="UXC1" s="536"/>
      <c r="UXD1" s="536"/>
      <c r="UXE1" s="536"/>
      <c r="UXF1" s="536"/>
      <c r="UXG1" s="536"/>
      <c r="UXH1" s="536"/>
      <c r="UXI1" s="536"/>
      <c r="UXJ1" s="536"/>
      <c r="UXK1" s="536"/>
      <c r="UXL1" s="536"/>
      <c r="UXM1" s="536"/>
      <c r="UXN1" s="536"/>
      <c r="UXO1" s="536"/>
      <c r="UXP1" s="536"/>
      <c r="UXQ1" s="536"/>
      <c r="UXR1" s="536"/>
      <c r="UXS1" s="536"/>
      <c r="UXT1" s="536"/>
      <c r="UXU1" s="536"/>
      <c r="UXV1" s="536"/>
      <c r="UXW1" s="536"/>
      <c r="UXX1" s="536"/>
      <c r="UXY1" s="536"/>
      <c r="UXZ1" s="536"/>
      <c r="UYA1" s="536"/>
      <c r="UYB1" s="536"/>
      <c r="UYC1" s="536"/>
      <c r="UYD1" s="536"/>
      <c r="UYE1" s="536"/>
      <c r="UYF1" s="536"/>
      <c r="UYG1" s="536"/>
      <c r="UYH1" s="536"/>
      <c r="UYI1" s="536"/>
      <c r="UYJ1" s="536"/>
      <c r="UYK1" s="536"/>
      <c r="UYL1" s="536"/>
      <c r="UYM1" s="536"/>
      <c r="UYN1" s="536"/>
      <c r="UYO1" s="536"/>
      <c r="UYP1" s="536"/>
      <c r="UYQ1" s="536"/>
      <c r="UYR1" s="536"/>
      <c r="UYS1" s="536"/>
      <c r="UYT1" s="536"/>
      <c r="UYU1" s="536"/>
      <c r="UYV1" s="536"/>
      <c r="UYW1" s="536"/>
      <c r="UYX1" s="536"/>
      <c r="UYY1" s="536"/>
      <c r="UYZ1" s="536"/>
      <c r="UZA1" s="536"/>
      <c r="UZB1" s="536"/>
      <c r="UZC1" s="536"/>
      <c r="UZD1" s="536"/>
      <c r="UZE1" s="536"/>
      <c r="UZF1" s="536"/>
      <c r="UZG1" s="536"/>
      <c r="UZH1" s="536"/>
      <c r="UZI1" s="536"/>
      <c r="UZJ1" s="536"/>
      <c r="UZK1" s="536"/>
      <c r="UZL1" s="536"/>
      <c r="UZM1" s="536"/>
      <c r="UZN1" s="536"/>
      <c r="UZO1" s="536"/>
      <c r="UZP1" s="536"/>
      <c r="UZQ1" s="536"/>
      <c r="UZR1" s="536"/>
      <c r="UZS1" s="536"/>
      <c r="UZT1" s="536"/>
      <c r="UZU1" s="536"/>
      <c r="UZV1" s="536"/>
      <c r="UZW1" s="536"/>
      <c r="UZX1" s="536"/>
      <c r="UZY1" s="536"/>
      <c r="UZZ1" s="536"/>
      <c r="VAA1" s="536"/>
      <c r="VAB1" s="536"/>
      <c r="VAC1" s="536"/>
      <c r="VAD1" s="536"/>
      <c r="VAE1" s="536"/>
      <c r="VAF1" s="536"/>
      <c r="VAG1" s="536"/>
      <c r="VAH1" s="536"/>
      <c r="VAI1" s="536"/>
      <c r="VAJ1" s="536"/>
      <c r="VAK1" s="536"/>
      <c r="VAL1" s="536"/>
      <c r="VAM1" s="536"/>
      <c r="VAN1" s="536"/>
      <c r="VAO1" s="536"/>
      <c r="VAP1" s="536"/>
      <c r="VAQ1" s="536"/>
      <c r="VAR1" s="536"/>
      <c r="VAS1" s="536"/>
      <c r="VAT1" s="536"/>
      <c r="VAU1" s="536"/>
      <c r="VAV1" s="536"/>
      <c r="VAW1" s="536"/>
      <c r="VAX1" s="536"/>
      <c r="VAY1" s="536"/>
      <c r="VAZ1" s="536"/>
      <c r="VBA1" s="536"/>
      <c r="VBB1" s="536"/>
      <c r="VBC1" s="536"/>
      <c r="VBD1" s="536"/>
      <c r="VBE1" s="536"/>
      <c r="VBF1" s="536"/>
      <c r="VBG1" s="536"/>
      <c r="VBH1" s="536"/>
      <c r="VBI1" s="536"/>
      <c r="VBJ1" s="536"/>
      <c r="VBK1" s="536"/>
      <c r="VBL1" s="536"/>
      <c r="VBM1" s="536"/>
      <c r="VBN1" s="536"/>
      <c r="VBO1" s="536"/>
      <c r="VBP1" s="536"/>
      <c r="VBQ1" s="536"/>
      <c r="VBR1" s="536"/>
      <c r="VBS1" s="536"/>
      <c r="VBT1" s="536"/>
      <c r="VBU1" s="536"/>
      <c r="VBV1" s="536"/>
      <c r="VBW1" s="536"/>
      <c r="VBX1" s="536"/>
      <c r="VBY1" s="536"/>
      <c r="VBZ1" s="536"/>
      <c r="VCA1" s="536"/>
      <c r="VCB1" s="536"/>
      <c r="VCC1" s="536"/>
      <c r="VCD1" s="536"/>
      <c r="VCE1" s="536"/>
      <c r="VCF1" s="536"/>
      <c r="VCG1" s="536"/>
      <c r="VCH1" s="536"/>
      <c r="VCI1" s="536"/>
      <c r="VCJ1" s="536"/>
      <c r="VCK1" s="536"/>
      <c r="VCL1" s="536"/>
      <c r="VCM1" s="536"/>
      <c r="VCN1" s="536"/>
      <c r="VCO1" s="536"/>
      <c r="VCP1" s="536"/>
      <c r="VCQ1" s="536"/>
      <c r="VCR1" s="536"/>
      <c r="VCS1" s="536"/>
      <c r="VCT1" s="536"/>
      <c r="VCU1" s="536"/>
      <c r="VCV1" s="536"/>
      <c r="VCW1" s="536"/>
      <c r="VCX1" s="536"/>
      <c r="VCY1" s="536"/>
      <c r="VCZ1" s="536"/>
      <c r="VDA1" s="536"/>
      <c r="VDB1" s="536"/>
      <c r="VDC1" s="536"/>
      <c r="VDD1" s="536"/>
      <c r="VDE1" s="536"/>
      <c r="VDF1" s="536"/>
      <c r="VDG1" s="536"/>
      <c r="VDH1" s="536"/>
      <c r="VDI1" s="536"/>
      <c r="VDJ1" s="536"/>
      <c r="VDK1" s="536"/>
      <c r="VDL1" s="536"/>
      <c r="VDM1" s="536"/>
      <c r="VDN1" s="536"/>
      <c r="VDO1" s="536"/>
      <c r="VDP1" s="536"/>
      <c r="VDQ1" s="536"/>
      <c r="VDR1" s="536"/>
      <c r="VDS1" s="536"/>
      <c r="VDT1" s="536"/>
      <c r="VDU1" s="536"/>
      <c r="VDV1" s="536"/>
      <c r="VDW1" s="536"/>
      <c r="VDX1" s="536"/>
      <c r="VDY1" s="536"/>
      <c r="VDZ1" s="536"/>
      <c r="VEA1" s="536"/>
      <c r="VEB1" s="536"/>
      <c r="VEC1" s="536"/>
      <c r="VED1" s="536"/>
      <c r="VEE1" s="536"/>
      <c r="VEF1" s="536"/>
      <c r="VEG1" s="536"/>
      <c r="VEH1" s="536"/>
      <c r="VEI1" s="536"/>
      <c r="VEJ1" s="536"/>
      <c r="VEK1" s="536"/>
      <c r="VEL1" s="536"/>
      <c r="VEM1" s="536"/>
      <c r="VEN1" s="536"/>
      <c r="VEO1" s="536"/>
      <c r="VEP1" s="536"/>
      <c r="VEQ1" s="536"/>
      <c r="VER1" s="536"/>
      <c r="VES1" s="536"/>
      <c r="VET1" s="536"/>
      <c r="VEU1" s="536"/>
      <c r="VEV1" s="536"/>
      <c r="VEW1" s="536"/>
      <c r="VEX1" s="536"/>
      <c r="VEY1" s="536"/>
      <c r="VEZ1" s="536"/>
      <c r="VFA1" s="536"/>
      <c r="VFB1" s="536"/>
      <c r="VFC1" s="536"/>
      <c r="VFD1" s="536"/>
      <c r="VFE1" s="536"/>
      <c r="VFF1" s="536"/>
      <c r="VFG1" s="536"/>
      <c r="VFH1" s="536"/>
      <c r="VFI1" s="536"/>
      <c r="VFJ1" s="536"/>
      <c r="VFK1" s="536"/>
      <c r="VFL1" s="536"/>
      <c r="VFM1" s="536"/>
      <c r="VFN1" s="536"/>
      <c r="VFO1" s="536"/>
      <c r="VFP1" s="536"/>
      <c r="VFQ1" s="536"/>
      <c r="VFR1" s="536"/>
      <c r="VFS1" s="536"/>
      <c r="VFT1" s="536"/>
      <c r="VFU1" s="536"/>
      <c r="VFV1" s="536"/>
      <c r="VFW1" s="536"/>
      <c r="VFX1" s="536"/>
      <c r="VFY1" s="536"/>
      <c r="VFZ1" s="536"/>
      <c r="VGA1" s="536"/>
      <c r="VGB1" s="536"/>
      <c r="VGC1" s="536"/>
      <c r="VGD1" s="536"/>
      <c r="VGE1" s="536"/>
      <c r="VGF1" s="536"/>
      <c r="VGG1" s="536"/>
      <c r="VGH1" s="536"/>
      <c r="VGI1" s="536"/>
      <c r="VGJ1" s="536"/>
      <c r="VGK1" s="536"/>
      <c r="VGL1" s="536"/>
      <c r="VGM1" s="536"/>
      <c r="VGN1" s="536"/>
      <c r="VGO1" s="536"/>
      <c r="VGP1" s="536"/>
      <c r="VGQ1" s="536"/>
      <c r="VGR1" s="536"/>
      <c r="VGS1" s="536"/>
      <c r="VGT1" s="536"/>
      <c r="VGU1" s="536"/>
      <c r="VGV1" s="536"/>
      <c r="VGW1" s="536"/>
      <c r="VGX1" s="536"/>
      <c r="VGY1" s="536"/>
      <c r="VGZ1" s="536"/>
      <c r="VHA1" s="536"/>
      <c r="VHB1" s="536"/>
      <c r="VHC1" s="536"/>
      <c r="VHD1" s="536"/>
      <c r="VHE1" s="536"/>
      <c r="VHF1" s="536"/>
      <c r="VHG1" s="536"/>
      <c r="VHH1" s="536"/>
      <c r="VHI1" s="536"/>
      <c r="VHJ1" s="536"/>
      <c r="VHK1" s="536"/>
      <c r="VHL1" s="536"/>
      <c r="VHM1" s="536"/>
      <c r="VHN1" s="536"/>
      <c r="VHO1" s="536"/>
      <c r="VHP1" s="536"/>
      <c r="VHQ1" s="536"/>
      <c r="VHR1" s="536"/>
      <c r="VHS1" s="536"/>
      <c r="VHT1" s="536"/>
      <c r="VHU1" s="536"/>
      <c r="VHV1" s="536"/>
      <c r="VHW1" s="536"/>
      <c r="VHX1" s="536"/>
      <c r="VHY1" s="536"/>
      <c r="VHZ1" s="536"/>
      <c r="VIA1" s="536"/>
      <c r="VIB1" s="536"/>
      <c r="VIC1" s="536"/>
      <c r="VID1" s="536"/>
      <c r="VIE1" s="536"/>
      <c r="VIF1" s="536"/>
      <c r="VIG1" s="536"/>
      <c r="VIH1" s="536"/>
      <c r="VII1" s="536"/>
      <c r="VIJ1" s="536"/>
      <c r="VIK1" s="536"/>
      <c r="VIL1" s="536"/>
      <c r="VIM1" s="536"/>
      <c r="VIN1" s="536"/>
      <c r="VIO1" s="536"/>
      <c r="VIP1" s="536"/>
      <c r="VIQ1" s="536"/>
      <c r="VIR1" s="536"/>
      <c r="VIS1" s="536"/>
      <c r="VIT1" s="536"/>
      <c r="VIU1" s="536"/>
      <c r="VIV1" s="536"/>
      <c r="VIW1" s="536"/>
      <c r="VIX1" s="536"/>
      <c r="VIY1" s="536"/>
      <c r="VIZ1" s="536"/>
      <c r="VJA1" s="536"/>
      <c r="VJB1" s="536"/>
      <c r="VJC1" s="536"/>
      <c r="VJD1" s="536"/>
      <c r="VJE1" s="536"/>
      <c r="VJF1" s="536"/>
      <c r="VJG1" s="536"/>
      <c r="VJH1" s="536"/>
      <c r="VJI1" s="536"/>
      <c r="VJJ1" s="536"/>
      <c r="VJK1" s="536"/>
      <c r="VJL1" s="536"/>
      <c r="VJM1" s="536"/>
      <c r="VJN1" s="536"/>
      <c r="VJO1" s="536"/>
      <c r="VJP1" s="536"/>
      <c r="VJQ1" s="536"/>
      <c r="VJR1" s="536"/>
      <c r="VJS1" s="536"/>
      <c r="VJT1" s="536"/>
      <c r="VJU1" s="536"/>
      <c r="VJV1" s="536"/>
      <c r="VJW1" s="536"/>
      <c r="VJX1" s="536"/>
      <c r="VJY1" s="536"/>
      <c r="VJZ1" s="536"/>
      <c r="VKA1" s="536"/>
      <c r="VKB1" s="536"/>
      <c r="VKC1" s="536"/>
      <c r="VKD1" s="536"/>
      <c r="VKE1" s="536"/>
      <c r="VKF1" s="536"/>
      <c r="VKG1" s="536"/>
      <c r="VKH1" s="536"/>
      <c r="VKI1" s="536"/>
      <c r="VKJ1" s="536"/>
      <c r="VKK1" s="536"/>
      <c r="VKL1" s="536"/>
      <c r="VKM1" s="536"/>
      <c r="VKN1" s="536"/>
      <c r="VKO1" s="536"/>
      <c r="VKP1" s="536"/>
      <c r="VKQ1" s="536"/>
      <c r="VKR1" s="536"/>
      <c r="VKS1" s="536"/>
      <c r="VKT1" s="536"/>
      <c r="VKU1" s="536"/>
      <c r="VKV1" s="536"/>
      <c r="VKW1" s="536"/>
      <c r="VKX1" s="536"/>
      <c r="VKY1" s="536"/>
      <c r="VKZ1" s="536"/>
      <c r="VLA1" s="536"/>
      <c r="VLB1" s="536"/>
      <c r="VLC1" s="536"/>
      <c r="VLD1" s="536"/>
      <c r="VLE1" s="536"/>
      <c r="VLF1" s="536"/>
      <c r="VLG1" s="536"/>
      <c r="VLH1" s="536"/>
      <c r="VLI1" s="536"/>
      <c r="VLJ1" s="536"/>
      <c r="VLK1" s="536"/>
      <c r="VLL1" s="536"/>
      <c r="VLM1" s="536"/>
      <c r="VLN1" s="536"/>
      <c r="VLO1" s="536"/>
      <c r="VLP1" s="536"/>
      <c r="VLQ1" s="536"/>
      <c r="VLR1" s="536"/>
      <c r="VLS1" s="536"/>
      <c r="VLT1" s="536"/>
      <c r="VLU1" s="536"/>
      <c r="VLV1" s="536"/>
      <c r="VLW1" s="536"/>
      <c r="VLX1" s="536"/>
      <c r="VLY1" s="536"/>
      <c r="VLZ1" s="536"/>
      <c r="VMA1" s="536"/>
      <c r="VMB1" s="536"/>
      <c r="VMC1" s="536"/>
      <c r="VMD1" s="536"/>
      <c r="VME1" s="536"/>
      <c r="VMF1" s="536"/>
      <c r="VMG1" s="536"/>
      <c r="VMH1" s="536"/>
      <c r="VMI1" s="536"/>
      <c r="VMJ1" s="536"/>
      <c r="VMK1" s="536"/>
      <c r="VML1" s="536"/>
      <c r="VMM1" s="536"/>
      <c r="VMN1" s="536"/>
      <c r="VMO1" s="536"/>
      <c r="VMP1" s="536"/>
      <c r="VMQ1" s="536"/>
      <c r="VMR1" s="536"/>
      <c r="VMS1" s="536"/>
      <c r="VMT1" s="536"/>
      <c r="VMU1" s="536"/>
      <c r="VMV1" s="536"/>
      <c r="VMW1" s="536"/>
      <c r="VMX1" s="536"/>
      <c r="VMY1" s="536"/>
      <c r="VMZ1" s="536"/>
      <c r="VNA1" s="536"/>
      <c r="VNB1" s="536"/>
      <c r="VNC1" s="536"/>
      <c r="VND1" s="536"/>
      <c r="VNE1" s="536"/>
      <c r="VNF1" s="536"/>
      <c r="VNG1" s="536"/>
      <c r="VNH1" s="536"/>
      <c r="VNI1" s="536"/>
      <c r="VNJ1" s="536"/>
      <c r="VNK1" s="536"/>
      <c r="VNL1" s="536"/>
      <c r="VNM1" s="536"/>
      <c r="VNN1" s="536"/>
      <c r="VNO1" s="536"/>
      <c r="VNP1" s="536"/>
      <c r="VNQ1" s="536"/>
      <c r="VNR1" s="536"/>
      <c r="VNS1" s="536"/>
      <c r="VNT1" s="536"/>
      <c r="VNU1" s="536"/>
      <c r="VNV1" s="536"/>
      <c r="VNW1" s="536"/>
      <c r="VNX1" s="536"/>
      <c r="VNY1" s="536"/>
      <c r="VNZ1" s="536"/>
      <c r="VOA1" s="536"/>
      <c r="VOB1" s="536"/>
      <c r="VOC1" s="536"/>
      <c r="VOD1" s="536"/>
      <c r="VOE1" s="536"/>
      <c r="VOF1" s="536"/>
      <c r="VOG1" s="536"/>
      <c r="VOH1" s="536"/>
      <c r="VOI1" s="536"/>
      <c r="VOJ1" s="536"/>
      <c r="VOK1" s="536"/>
      <c r="VOL1" s="536"/>
      <c r="VOM1" s="536"/>
      <c r="VON1" s="536"/>
      <c r="VOO1" s="536"/>
      <c r="VOP1" s="536"/>
      <c r="VOQ1" s="536"/>
      <c r="VOR1" s="536"/>
      <c r="VOS1" s="536"/>
      <c r="VOT1" s="536"/>
      <c r="VOU1" s="536"/>
      <c r="VOV1" s="536"/>
      <c r="VOW1" s="536"/>
      <c r="VOX1" s="536"/>
      <c r="VOY1" s="536"/>
      <c r="VOZ1" s="536"/>
      <c r="VPA1" s="536"/>
      <c r="VPB1" s="536"/>
      <c r="VPC1" s="536"/>
      <c r="VPD1" s="536"/>
      <c r="VPE1" s="536"/>
      <c r="VPF1" s="536"/>
      <c r="VPG1" s="536"/>
      <c r="VPH1" s="536"/>
      <c r="VPI1" s="536"/>
      <c r="VPJ1" s="536"/>
      <c r="VPK1" s="536"/>
      <c r="VPL1" s="536"/>
      <c r="VPM1" s="536"/>
      <c r="VPN1" s="536"/>
      <c r="VPO1" s="536"/>
      <c r="VPP1" s="536"/>
      <c r="VPQ1" s="536"/>
      <c r="VPR1" s="536"/>
      <c r="VPS1" s="536"/>
      <c r="VPT1" s="536"/>
      <c r="VPU1" s="536"/>
      <c r="VPV1" s="536"/>
      <c r="VPW1" s="536"/>
      <c r="VPX1" s="536"/>
      <c r="VPY1" s="536"/>
      <c r="VPZ1" s="536"/>
      <c r="VQA1" s="536"/>
      <c r="VQB1" s="536"/>
      <c r="VQC1" s="536"/>
      <c r="VQD1" s="536"/>
      <c r="VQE1" s="536"/>
      <c r="VQF1" s="536"/>
      <c r="VQG1" s="536"/>
      <c r="VQH1" s="536"/>
      <c r="VQI1" s="536"/>
      <c r="VQJ1" s="536"/>
      <c r="VQK1" s="536"/>
      <c r="VQL1" s="536"/>
      <c r="VQM1" s="536"/>
      <c r="VQN1" s="536"/>
      <c r="VQO1" s="536"/>
      <c r="VQP1" s="536"/>
      <c r="VQQ1" s="536"/>
      <c r="VQR1" s="536"/>
      <c r="VQS1" s="536"/>
      <c r="VQT1" s="536"/>
      <c r="VQU1" s="536"/>
      <c r="VQV1" s="536"/>
      <c r="VQW1" s="536"/>
      <c r="VQX1" s="536"/>
      <c r="VQY1" s="536"/>
      <c r="VQZ1" s="536"/>
      <c r="VRA1" s="536"/>
      <c r="VRB1" s="536"/>
      <c r="VRC1" s="536"/>
      <c r="VRD1" s="536"/>
      <c r="VRE1" s="536"/>
      <c r="VRF1" s="536"/>
      <c r="VRG1" s="536"/>
      <c r="VRH1" s="536"/>
      <c r="VRI1" s="536"/>
      <c r="VRJ1" s="536"/>
      <c r="VRK1" s="536"/>
      <c r="VRL1" s="536"/>
      <c r="VRM1" s="536"/>
      <c r="VRN1" s="536"/>
      <c r="VRO1" s="536"/>
      <c r="VRP1" s="536"/>
      <c r="VRQ1" s="536"/>
      <c r="VRR1" s="536"/>
      <c r="VRS1" s="536"/>
      <c r="VRT1" s="536"/>
      <c r="VRU1" s="536"/>
      <c r="VRV1" s="536"/>
      <c r="VRW1" s="536"/>
      <c r="VRX1" s="536"/>
      <c r="VRY1" s="536"/>
      <c r="VRZ1" s="536"/>
      <c r="VSA1" s="536"/>
      <c r="VSB1" s="536"/>
      <c r="VSC1" s="536"/>
      <c r="VSD1" s="536"/>
      <c r="VSE1" s="536"/>
      <c r="VSF1" s="536"/>
      <c r="VSG1" s="536"/>
      <c r="VSH1" s="536"/>
      <c r="VSI1" s="536"/>
      <c r="VSJ1" s="536"/>
      <c r="VSK1" s="536"/>
      <c r="VSL1" s="536"/>
      <c r="VSM1" s="536"/>
      <c r="VSN1" s="536"/>
      <c r="VSO1" s="536"/>
      <c r="VSP1" s="536"/>
      <c r="VSQ1" s="536"/>
      <c r="VSR1" s="536"/>
      <c r="VSS1" s="536"/>
      <c r="VST1" s="536"/>
      <c r="VSU1" s="536"/>
      <c r="VSV1" s="536"/>
      <c r="VSW1" s="536"/>
      <c r="VSX1" s="536"/>
      <c r="VSY1" s="536"/>
      <c r="VSZ1" s="536"/>
      <c r="VTA1" s="536"/>
      <c r="VTB1" s="536"/>
      <c r="VTC1" s="536"/>
      <c r="VTD1" s="536"/>
      <c r="VTE1" s="536"/>
      <c r="VTF1" s="536"/>
      <c r="VTG1" s="536"/>
      <c r="VTH1" s="536"/>
      <c r="VTI1" s="536"/>
      <c r="VTJ1" s="536"/>
      <c r="VTK1" s="536"/>
      <c r="VTL1" s="536"/>
      <c r="VTM1" s="536"/>
      <c r="VTN1" s="536"/>
      <c r="VTO1" s="536"/>
      <c r="VTP1" s="536"/>
      <c r="VTQ1" s="536"/>
      <c r="VTR1" s="536"/>
      <c r="VTS1" s="536"/>
      <c r="VTT1" s="536"/>
      <c r="VTU1" s="536"/>
      <c r="VTV1" s="536"/>
      <c r="VTW1" s="536"/>
      <c r="VTX1" s="536"/>
      <c r="VTY1" s="536"/>
      <c r="VTZ1" s="536"/>
      <c r="VUA1" s="536"/>
      <c r="VUB1" s="536"/>
      <c r="VUC1" s="536"/>
      <c r="VUD1" s="536"/>
      <c r="VUE1" s="536"/>
      <c r="VUF1" s="536"/>
      <c r="VUG1" s="536"/>
      <c r="VUH1" s="536"/>
      <c r="VUI1" s="536"/>
      <c r="VUJ1" s="536"/>
      <c r="VUK1" s="536"/>
      <c r="VUL1" s="536"/>
      <c r="VUM1" s="536"/>
      <c r="VUN1" s="536"/>
      <c r="VUO1" s="536"/>
      <c r="VUP1" s="536"/>
      <c r="VUQ1" s="536"/>
      <c r="VUR1" s="536"/>
      <c r="VUS1" s="536"/>
      <c r="VUT1" s="536"/>
      <c r="VUU1" s="536"/>
      <c r="VUV1" s="536"/>
      <c r="VUW1" s="536"/>
      <c r="VUX1" s="536"/>
      <c r="VUY1" s="536"/>
      <c r="VUZ1" s="536"/>
      <c r="VVA1" s="536"/>
      <c r="VVB1" s="536"/>
      <c r="VVC1" s="536"/>
      <c r="VVD1" s="536"/>
      <c r="VVE1" s="536"/>
      <c r="VVF1" s="536"/>
      <c r="VVG1" s="536"/>
      <c r="VVH1" s="536"/>
      <c r="VVI1" s="536"/>
      <c r="VVJ1" s="536"/>
      <c r="VVK1" s="536"/>
      <c r="VVL1" s="536"/>
      <c r="VVM1" s="536"/>
      <c r="VVN1" s="536"/>
      <c r="VVO1" s="536"/>
      <c r="VVP1" s="536"/>
      <c r="VVQ1" s="536"/>
      <c r="VVR1" s="536"/>
      <c r="VVS1" s="536"/>
      <c r="VVT1" s="536"/>
      <c r="VVU1" s="536"/>
      <c r="VVV1" s="536"/>
      <c r="VVW1" s="536"/>
      <c r="VVX1" s="536"/>
      <c r="VVY1" s="536"/>
      <c r="VVZ1" s="536"/>
      <c r="VWA1" s="536"/>
      <c r="VWB1" s="536"/>
      <c r="VWC1" s="536"/>
      <c r="VWD1" s="536"/>
      <c r="VWE1" s="536"/>
      <c r="VWF1" s="536"/>
      <c r="VWG1" s="536"/>
      <c r="VWH1" s="536"/>
      <c r="VWI1" s="536"/>
      <c r="VWJ1" s="536"/>
      <c r="VWK1" s="536"/>
      <c r="VWL1" s="536"/>
      <c r="VWM1" s="536"/>
      <c r="VWN1" s="536"/>
      <c r="VWO1" s="536"/>
      <c r="VWP1" s="536"/>
      <c r="VWQ1" s="536"/>
      <c r="VWR1" s="536"/>
      <c r="VWS1" s="536"/>
      <c r="VWT1" s="536"/>
      <c r="VWU1" s="536"/>
      <c r="VWV1" s="536"/>
      <c r="VWW1" s="536"/>
      <c r="VWX1" s="536"/>
      <c r="VWY1" s="536"/>
      <c r="VWZ1" s="536"/>
      <c r="VXA1" s="536"/>
      <c r="VXB1" s="536"/>
      <c r="VXC1" s="536"/>
      <c r="VXD1" s="536"/>
      <c r="VXE1" s="536"/>
      <c r="VXF1" s="536"/>
      <c r="VXG1" s="536"/>
      <c r="VXH1" s="536"/>
      <c r="VXI1" s="536"/>
      <c r="VXJ1" s="536"/>
      <c r="VXK1" s="536"/>
      <c r="VXL1" s="536"/>
      <c r="VXM1" s="536"/>
      <c r="VXN1" s="536"/>
      <c r="VXO1" s="536"/>
      <c r="VXP1" s="536"/>
      <c r="VXQ1" s="536"/>
      <c r="VXR1" s="536"/>
      <c r="VXS1" s="536"/>
      <c r="VXT1" s="536"/>
      <c r="VXU1" s="536"/>
      <c r="VXV1" s="536"/>
      <c r="VXW1" s="536"/>
      <c r="VXX1" s="536"/>
      <c r="VXY1" s="536"/>
      <c r="VXZ1" s="536"/>
      <c r="VYA1" s="536"/>
      <c r="VYB1" s="536"/>
      <c r="VYC1" s="536"/>
      <c r="VYD1" s="536"/>
      <c r="VYE1" s="536"/>
      <c r="VYF1" s="536"/>
      <c r="VYG1" s="536"/>
      <c r="VYH1" s="536"/>
      <c r="VYI1" s="536"/>
      <c r="VYJ1" s="536"/>
      <c r="VYK1" s="536"/>
      <c r="VYL1" s="536"/>
      <c r="VYM1" s="536"/>
      <c r="VYN1" s="536"/>
      <c r="VYO1" s="536"/>
      <c r="VYP1" s="536"/>
      <c r="VYQ1" s="536"/>
      <c r="VYR1" s="536"/>
      <c r="VYS1" s="536"/>
      <c r="VYT1" s="536"/>
      <c r="VYU1" s="536"/>
      <c r="VYV1" s="536"/>
      <c r="VYW1" s="536"/>
      <c r="VYX1" s="536"/>
      <c r="VYY1" s="536"/>
      <c r="VYZ1" s="536"/>
      <c r="VZA1" s="536"/>
      <c r="VZB1" s="536"/>
      <c r="VZC1" s="536"/>
      <c r="VZD1" s="536"/>
      <c r="VZE1" s="536"/>
      <c r="VZF1" s="536"/>
      <c r="VZG1" s="536"/>
      <c r="VZH1" s="536"/>
      <c r="VZI1" s="536"/>
      <c r="VZJ1" s="536"/>
      <c r="VZK1" s="536"/>
      <c r="VZL1" s="536"/>
      <c r="VZM1" s="536"/>
      <c r="VZN1" s="536"/>
      <c r="VZO1" s="536"/>
      <c r="VZP1" s="536"/>
      <c r="VZQ1" s="536"/>
      <c r="VZR1" s="536"/>
      <c r="VZS1" s="536"/>
      <c r="VZT1" s="536"/>
      <c r="VZU1" s="536"/>
      <c r="VZV1" s="536"/>
      <c r="VZW1" s="536"/>
      <c r="VZX1" s="536"/>
      <c r="VZY1" s="536"/>
      <c r="VZZ1" s="536"/>
      <c r="WAA1" s="536"/>
      <c r="WAB1" s="536"/>
      <c r="WAC1" s="536"/>
      <c r="WAD1" s="536"/>
      <c r="WAE1" s="536"/>
      <c r="WAF1" s="536"/>
      <c r="WAG1" s="536"/>
      <c r="WAH1" s="536"/>
      <c r="WAI1" s="536"/>
      <c r="WAJ1" s="536"/>
      <c r="WAK1" s="536"/>
      <c r="WAL1" s="536"/>
      <c r="WAM1" s="536"/>
      <c r="WAN1" s="536"/>
      <c r="WAO1" s="536"/>
      <c r="WAP1" s="536"/>
      <c r="WAQ1" s="536"/>
      <c r="WAR1" s="536"/>
      <c r="WAS1" s="536"/>
      <c r="WAT1" s="536"/>
      <c r="WAU1" s="536"/>
      <c r="WAV1" s="536"/>
      <c r="WAW1" s="536"/>
      <c r="WAX1" s="536"/>
      <c r="WAY1" s="536"/>
      <c r="WAZ1" s="536"/>
      <c r="WBA1" s="536"/>
      <c r="WBB1" s="536"/>
      <c r="WBC1" s="536"/>
      <c r="WBD1" s="536"/>
      <c r="WBE1" s="536"/>
      <c r="WBF1" s="536"/>
      <c r="WBG1" s="536"/>
      <c r="WBH1" s="536"/>
      <c r="WBI1" s="536"/>
      <c r="WBJ1" s="536"/>
      <c r="WBK1" s="536"/>
      <c r="WBL1" s="536"/>
      <c r="WBM1" s="536"/>
      <c r="WBN1" s="536"/>
      <c r="WBO1" s="536"/>
      <c r="WBP1" s="536"/>
      <c r="WBQ1" s="536"/>
      <c r="WBR1" s="536"/>
      <c r="WBS1" s="536"/>
      <c r="WBT1" s="536"/>
      <c r="WBU1" s="536"/>
      <c r="WBV1" s="536"/>
      <c r="WBW1" s="536"/>
      <c r="WBX1" s="536"/>
      <c r="WBY1" s="536"/>
      <c r="WBZ1" s="536"/>
      <c r="WCA1" s="536"/>
      <c r="WCB1" s="536"/>
      <c r="WCC1" s="536"/>
      <c r="WCD1" s="536"/>
      <c r="WCE1" s="536"/>
      <c r="WCF1" s="536"/>
      <c r="WCG1" s="536"/>
      <c r="WCH1" s="536"/>
      <c r="WCI1" s="536"/>
      <c r="WCJ1" s="536"/>
      <c r="WCK1" s="536"/>
      <c r="WCL1" s="536"/>
      <c r="WCM1" s="536"/>
      <c r="WCN1" s="536"/>
      <c r="WCO1" s="536"/>
      <c r="WCP1" s="536"/>
      <c r="WCQ1" s="536"/>
      <c r="WCR1" s="536"/>
      <c r="WCS1" s="536"/>
      <c r="WCT1" s="536"/>
      <c r="WCU1" s="536"/>
      <c r="WCV1" s="536"/>
      <c r="WCW1" s="536"/>
      <c r="WCX1" s="536"/>
      <c r="WCY1" s="536"/>
      <c r="WCZ1" s="536"/>
      <c r="WDA1" s="536"/>
      <c r="WDB1" s="536"/>
      <c r="WDC1" s="536"/>
      <c r="WDD1" s="536"/>
      <c r="WDE1" s="536"/>
      <c r="WDF1" s="536"/>
      <c r="WDG1" s="536"/>
      <c r="WDH1" s="536"/>
      <c r="WDI1" s="536"/>
      <c r="WDJ1" s="536"/>
      <c r="WDK1" s="536"/>
      <c r="WDL1" s="536"/>
      <c r="WDM1" s="536"/>
      <c r="WDN1" s="536"/>
      <c r="WDO1" s="536"/>
      <c r="WDP1" s="536"/>
      <c r="WDQ1" s="536"/>
      <c r="WDR1" s="536"/>
      <c r="WDS1" s="536"/>
      <c r="WDT1" s="536"/>
      <c r="WDU1" s="536"/>
      <c r="WDV1" s="536"/>
      <c r="WDW1" s="536"/>
      <c r="WDX1" s="536"/>
      <c r="WDY1" s="536"/>
      <c r="WDZ1" s="536"/>
      <c r="WEA1" s="536"/>
      <c r="WEB1" s="536"/>
      <c r="WEC1" s="536"/>
      <c r="WED1" s="536"/>
      <c r="WEE1" s="536"/>
      <c r="WEF1" s="536"/>
      <c r="WEG1" s="536"/>
      <c r="WEH1" s="536"/>
      <c r="WEI1" s="536"/>
      <c r="WEJ1" s="536"/>
      <c r="WEK1" s="536"/>
      <c r="WEL1" s="536"/>
      <c r="WEM1" s="536"/>
      <c r="WEN1" s="536"/>
      <c r="WEO1" s="536"/>
      <c r="WEP1" s="536"/>
      <c r="WEQ1" s="536"/>
      <c r="WER1" s="536"/>
      <c r="WES1" s="536"/>
      <c r="WET1" s="536"/>
      <c r="WEU1" s="536"/>
      <c r="WEV1" s="536"/>
      <c r="WEW1" s="536"/>
      <c r="WEX1" s="536"/>
      <c r="WEY1" s="536"/>
      <c r="WEZ1" s="536"/>
      <c r="WFA1" s="536"/>
      <c r="WFB1" s="536"/>
      <c r="WFC1" s="536"/>
      <c r="WFD1" s="536"/>
      <c r="WFE1" s="536"/>
      <c r="WFF1" s="536"/>
      <c r="WFG1" s="536"/>
      <c r="WFH1" s="536"/>
      <c r="WFI1" s="536"/>
      <c r="WFJ1" s="536"/>
      <c r="WFK1" s="536"/>
      <c r="WFL1" s="536"/>
      <c r="WFM1" s="536"/>
      <c r="WFN1" s="536"/>
      <c r="WFO1" s="536"/>
      <c r="WFP1" s="536"/>
      <c r="WFQ1" s="536"/>
      <c r="WFR1" s="536"/>
      <c r="WFS1" s="536"/>
      <c r="WFT1" s="536"/>
      <c r="WFU1" s="536"/>
      <c r="WFV1" s="536"/>
      <c r="WFW1" s="536"/>
      <c r="WFX1" s="536"/>
      <c r="WFY1" s="536"/>
      <c r="WFZ1" s="536"/>
      <c r="WGA1" s="536"/>
      <c r="WGB1" s="536"/>
      <c r="WGC1" s="536"/>
      <c r="WGD1" s="536"/>
      <c r="WGE1" s="536"/>
      <c r="WGF1" s="536"/>
      <c r="WGG1" s="536"/>
      <c r="WGH1" s="536"/>
      <c r="WGI1" s="536"/>
      <c r="WGJ1" s="536"/>
      <c r="WGK1" s="536"/>
      <c r="WGL1" s="536"/>
      <c r="WGM1" s="536"/>
      <c r="WGN1" s="536"/>
      <c r="WGO1" s="536"/>
      <c r="WGP1" s="536"/>
      <c r="WGQ1" s="536"/>
      <c r="WGR1" s="536"/>
      <c r="WGS1" s="536"/>
      <c r="WGT1" s="536"/>
      <c r="WGU1" s="536"/>
      <c r="WGV1" s="536"/>
      <c r="WGW1" s="536"/>
      <c r="WGX1" s="536"/>
      <c r="WGY1" s="536"/>
      <c r="WGZ1" s="536"/>
      <c r="WHA1" s="536"/>
      <c r="WHB1" s="536"/>
      <c r="WHC1" s="536"/>
      <c r="WHD1" s="536"/>
      <c r="WHE1" s="536"/>
      <c r="WHF1" s="536"/>
      <c r="WHG1" s="536"/>
      <c r="WHH1" s="536"/>
      <c r="WHI1" s="536"/>
      <c r="WHJ1" s="536"/>
      <c r="WHK1" s="536"/>
      <c r="WHL1" s="536"/>
      <c r="WHM1" s="536"/>
      <c r="WHN1" s="536"/>
      <c r="WHO1" s="536"/>
      <c r="WHP1" s="536"/>
      <c r="WHQ1" s="536"/>
      <c r="WHR1" s="536"/>
      <c r="WHS1" s="536"/>
      <c r="WHT1" s="536"/>
      <c r="WHU1" s="536"/>
      <c r="WHV1" s="536"/>
      <c r="WHW1" s="536"/>
      <c r="WHX1" s="536"/>
      <c r="WHY1" s="536"/>
      <c r="WHZ1" s="536"/>
      <c r="WIA1" s="536"/>
      <c r="WIB1" s="536"/>
      <c r="WIC1" s="536"/>
      <c r="WID1" s="536"/>
      <c r="WIE1" s="536"/>
      <c r="WIF1" s="536"/>
      <c r="WIG1" s="536"/>
      <c r="WIH1" s="536"/>
      <c r="WII1" s="536"/>
      <c r="WIJ1" s="536"/>
      <c r="WIK1" s="536"/>
      <c r="WIL1" s="536"/>
      <c r="WIM1" s="536"/>
      <c r="WIN1" s="536"/>
      <c r="WIO1" s="536"/>
      <c r="WIP1" s="536"/>
      <c r="WIQ1" s="536"/>
      <c r="WIR1" s="536"/>
      <c r="WIS1" s="536"/>
      <c r="WIT1" s="536"/>
      <c r="WIU1" s="536"/>
      <c r="WIV1" s="536"/>
      <c r="WIW1" s="536"/>
      <c r="WIX1" s="536"/>
      <c r="WIY1" s="536"/>
      <c r="WIZ1" s="536"/>
      <c r="WJA1" s="536"/>
      <c r="WJB1" s="536"/>
      <c r="WJC1" s="536"/>
      <c r="WJD1" s="536"/>
      <c r="WJE1" s="536"/>
      <c r="WJF1" s="536"/>
      <c r="WJG1" s="536"/>
      <c r="WJH1" s="536"/>
      <c r="WJI1" s="536"/>
      <c r="WJJ1" s="536"/>
      <c r="WJK1" s="536"/>
      <c r="WJL1" s="536"/>
      <c r="WJM1" s="536"/>
      <c r="WJN1" s="536"/>
      <c r="WJO1" s="536"/>
      <c r="WJP1" s="536"/>
      <c r="WJQ1" s="536"/>
      <c r="WJR1" s="536"/>
      <c r="WJS1" s="536"/>
      <c r="WJT1" s="536"/>
      <c r="WJU1" s="536"/>
      <c r="WJV1" s="536"/>
      <c r="WJW1" s="536"/>
      <c r="WJX1" s="536"/>
      <c r="WJY1" s="536"/>
      <c r="WJZ1" s="536"/>
      <c r="WKA1" s="536"/>
      <c r="WKB1" s="536"/>
      <c r="WKC1" s="536"/>
      <c r="WKD1" s="536"/>
      <c r="WKE1" s="536"/>
      <c r="WKF1" s="536"/>
      <c r="WKG1" s="536"/>
      <c r="WKH1" s="536"/>
      <c r="WKI1" s="536"/>
      <c r="WKJ1" s="536"/>
      <c r="WKK1" s="536"/>
      <c r="WKL1" s="536"/>
      <c r="WKM1" s="536"/>
      <c r="WKN1" s="536"/>
      <c r="WKO1" s="536"/>
      <c r="WKP1" s="536"/>
      <c r="WKQ1" s="536"/>
      <c r="WKR1" s="536"/>
      <c r="WKS1" s="536"/>
      <c r="WKT1" s="536"/>
      <c r="WKU1" s="536"/>
      <c r="WKV1" s="536"/>
      <c r="WKW1" s="536"/>
      <c r="WKX1" s="536"/>
      <c r="WKY1" s="536"/>
      <c r="WKZ1" s="536"/>
      <c r="WLA1" s="536"/>
      <c r="WLB1" s="536"/>
      <c r="WLC1" s="536"/>
      <c r="WLD1" s="536"/>
      <c r="WLE1" s="536"/>
      <c r="WLF1" s="536"/>
      <c r="WLG1" s="536"/>
      <c r="WLH1" s="536"/>
      <c r="WLI1" s="536"/>
      <c r="WLJ1" s="536"/>
      <c r="WLK1" s="536"/>
      <c r="WLL1" s="536"/>
      <c r="WLM1" s="536"/>
      <c r="WLN1" s="536"/>
      <c r="WLO1" s="536"/>
      <c r="WLP1" s="536"/>
      <c r="WLQ1" s="536"/>
      <c r="WLR1" s="536"/>
      <c r="WLS1" s="536"/>
      <c r="WLT1" s="536"/>
      <c r="WLU1" s="536"/>
      <c r="WLV1" s="536"/>
      <c r="WLW1" s="536"/>
      <c r="WLX1" s="536"/>
      <c r="WLY1" s="536"/>
      <c r="WLZ1" s="536"/>
      <c r="WMA1" s="536"/>
      <c r="WMB1" s="536"/>
      <c r="WMC1" s="536"/>
      <c r="WMD1" s="536"/>
      <c r="WME1" s="536"/>
      <c r="WMF1" s="536"/>
      <c r="WMG1" s="536"/>
      <c r="WMH1" s="536"/>
      <c r="WMI1" s="536"/>
      <c r="WMJ1" s="536"/>
      <c r="WMK1" s="536"/>
      <c r="WML1" s="536"/>
      <c r="WMM1" s="536"/>
      <c r="WMN1" s="536"/>
      <c r="WMO1" s="536"/>
      <c r="WMP1" s="536"/>
      <c r="WMQ1" s="536"/>
      <c r="WMR1" s="536"/>
      <c r="WMS1" s="536"/>
      <c r="WMT1" s="536"/>
      <c r="WMU1" s="536"/>
      <c r="WMV1" s="536"/>
      <c r="WMW1" s="536"/>
      <c r="WMX1" s="536"/>
      <c r="WMY1" s="536"/>
      <c r="WMZ1" s="536"/>
      <c r="WNA1" s="536"/>
      <c r="WNB1" s="536"/>
      <c r="WNC1" s="536"/>
      <c r="WND1" s="536"/>
      <c r="WNE1" s="536"/>
      <c r="WNF1" s="536"/>
      <c r="WNG1" s="536"/>
      <c r="WNH1" s="536"/>
      <c r="WNI1" s="536"/>
      <c r="WNJ1" s="536"/>
      <c r="WNK1" s="536"/>
      <c r="WNL1" s="536"/>
      <c r="WNM1" s="536"/>
      <c r="WNN1" s="536"/>
      <c r="WNO1" s="536"/>
      <c r="WNP1" s="536"/>
      <c r="WNQ1" s="536"/>
      <c r="WNR1" s="536"/>
      <c r="WNS1" s="536"/>
      <c r="WNT1" s="536"/>
      <c r="WNU1" s="536"/>
      <c r="WNV1" s="536"/>
      <c r="WNW1" s="536"/>
      <c r="WNX1" s="536"/>
      <c r="WNY1" s="536"/>
      <c r="WNZ1" s="536"/>
      <c r="WOA1" s="536"/>
      <c r="WOB1" s="536"/>
      <c r="WOC1" s="536"/>
      <c r="WOD1" s="536"/>
      <c r="WOE1" s="536"/>
      <c r="WOF1" s="536"/>
      <c r="WOG1" s="536"/>
      <c r="WOH1" s="536"/>
      <c r="WOI1" s="536"/>
      <c r="WOJ1" s="536"/>
      <c r="WOK1" s="536"/>
      <c r="WOL1" s="536"/>
      <c r="WOM1" s="536"/>
      <c r="WON1" s="536"/>
      <c r="WOO1" s="536"/>
      <c r="WOP1" s="536"/>
      <c r="WOQ1" s="536"/>
      <c r="WOR1" s="536"/>
      <c r="WOS1" s="536"/>
      <c r="WOT1" s="536"/>
      <c r="WOU1" s="536"/>
      <c r="WOV1" s="536"/>
      <c r="WOW1" s="536"/>
      <c r="WOX1" s="536"/>
      <c r="WOY1" s="536"/>
      <c r="WOZ1" s="536"/>
      <c r="WPA1" s="536"/>
      <c r="WPB1" s="536"/>
      <c r="WPC1" s="536"/>
      <c r="WPD1" s="536"/>
      <c r="WPE1" s="536"/>
      <c r="WPF1" s="536"/>
      <c r="WPG1" s="536"/>
      <c r="WPH1" s="536"/>
      <c r="WPI1" s="536"/>
      <c r="WPJ1" s="536"/>
      <c r="WPK1" s="536"/>
      <c r="WPL1" s="536"/>
      <c r="WPM1" s="536"/>
      <c r="WPN1" s="536"/>
      <c r="WPO1" s="536"/>
      <c r="WPP1" s="536"/>
      <c r="WPQ1" s="536"/>
      <c r="WPR1" s="536"/>
      <c r="WPS1" s="536"/>
      <c r="WPT1" s="536"/>
      <c r="WPU1" s="536"/>
      <c r="WPV1" s="536"/>
      <c r="WPW1" s="536"/>
      <c r="WPX1" s="536"/>
      <c r="WPY1" s="536"/>
      <c r="WPZ1" s="536"/>
      <c r="WQA1" s="536"/>
      <c r="WQB1" s="536"/>
      <c r="WQC1" s="536"/>
      <c r="WQD1" s="536"/>
      <c r="WQE1" s="536"/>
      <c r="WQF1" s="536"/>
      <c r="WQG1" s="536"/>
      <c r="WQH1" s="536"/>
      <c r="WQI1" s="536"/>
      <c r="WQJ1" s="536"/>
      <c r="WQK1" s="536"/>
      <c r="WQL1" s="536"/>
      <c r="WQM1" s="536"/>
      <c r="WQN1" s="536"/>
      <c r="WQO1" s="536"/>
      <c r="WQP1" s="536"/>
      <c r="WQQ1" s="536"/>
      <c r="WQR1" s="536"/>
      <c r="WQS1" s="536"/>
      <c r="WQT1" s="536"/>
      <c r="WQU1" s="536"/>
      <c r="WQV1" s="536"/>
      <c r="WQW1" s="536"/>
      <c r="WQX1" s="536"/>
      <c r="WQY1" s="536"/>
      <c r="WQZ1" s="536"/>
      <c r="WRA1" s="536"/>
      <c r="WRB1" s="536"/>
      <c r="WRC1" s="536"/>
      <c r="WRD1" s="536"/>
      <c r="WRE1" s="536"/>
      <c r="WRF1" s="536"/>
      <c r="WRG1" s="536"/>
      <c r="WRH1" s="536"/>
      <c r="WRI1" s="536"/>
      <c r="WRJ1" s="536"/>
      <c r="WRK1" s="536"/>
      <c r="WRL1" s="536"/>
      <c r="WRM1" s="536"/>
      <c r="WRN1" s="536"/>
      <c r="WRO1" s="536"/>
      <c r="WRP1" s="536"/>
      <c r="WRQ1" s="536"/>
      <c r="WRR1" s="536"/>
      <c r="WRS1" s="536"/>
      <c r="WRT1" s="536"/>
      <c r="WRU1" s="536"/>
      <c r="WRV1" s="536"/>
      <c r="WRW1" s="536"/>
      <c r="WRX1" s="536"/>
      <c r="WRY1" s="536"/>
      <c r="WRZ1" s="536"/>
      <c r="WSA1" s="536"/>
      <c r="WSB1" s="536"/>
      <c r="WSC1" s="536"/>
      <c r="WSD1" s="536"/>
      <c r="WSE1" s="536"/>
      <c r="WSF1" s="536"/>
      <c r="WSG1" s="536"/>
      <c r="WSH1" s="536"/>
      <c r="WSI1" s="536"/>
      <c r="WSJ1" s="536"/>
      <c r="WSK1" s="536"/>
      <c r="WSL1" s="536"/>
      <c r="WSM1" s="536"/>
      <c r="WSN1" s="536"/>
      <c r="WSO1" s="536"/>
      <c r="WSP1" s="536"/>
      <c r="WSQ1" s="536"/>
      <c r="WSR1" s="536"/>
      <c r="WSS1" s="536"/>
      <c r="WST1" s="536"/>
      <c r="WSU1" s="536"/>
      <c r="WSV1" s="536"/>
      <c r="WSW1" s="536"/>
      <c r="WSX1" s="536"/>
      <c r="WSY1" s="536"/>
      <c r="WSZ1" s="536"/>
      <c r="WTA1" s="536"/>
      <c r="WTB1" s="536"/>
      <c r="WTC1" s="536"/>
      <c r="WTD1" s="536"/>
      <c r="WTE1" s="536"/>
      <c r="WTF1" s="536"/>
      <c r="WTG1" s="536"/>
      <c r="WTH1" s="536"/>
      <c r="WTI1" s="536"/>
      <c r="WTJ1" s="536"/>
      <c r="WTK1" s="536"/>
      <c r="WTL1" s="536"/>
      <c r="WTM1" s="536"/>
      <c r="WTN1" s="536"/>
      <c r="WTO1" s="536"/>
      <c r="WTP1" s="536"/>
      <c r="WTQ1" s="536"/>
      <c r="WTR1" s="536"/>
      <c r="WTS1" s="536"/>
      <c r="WTT1" s="536"/>
      <c r="WTU1" s="536"/>
      <c r="WTV1" s="536"/>
      <c r="WTW1" s="536"/>
      <c r="WTX1" s="536"/>
      <c r="WTY1" s="536"/>
      <c r="WTZ1" s="536"/>
      <c r="WUA1" s="536"/>
      <c r="WUB1" s="536"/>
      <c r="WUC1" s="536"/>
      <c r="WUD1" s="536"/>
      <c r="WUE1" s="536"/>
      <c r="WUF1" s="536"/>
      <c r="WUG1" s="536"/>
      <c r="WUH1" s="536"/>
      <c r="WUI1" s="536"/>
      <c r="WUJ1" s="536"/>
      <c r="WUK1" s="536"/>
      <c r="WUL1" s="536"/>
      <c r="WUM1" s="536"/>
      <c r="WUN1" s="536"/>
      <c r="WUO1" s="536"/>
      <c r="WUP1" s="536"/>
      <c r="WUQ1" s="536"/>
      <c r="WUR1" s="536"/>
      <c r="WUS1" s="536"/>
      <c r="WUT1" s="536"/>
      <c r="WUU1" s="536"/>
      <c r="WUV1" s="536"/>
      <c r="WUW1" s="536"/>
      <c r="WUX1" s="536"/>
      <c r="WUY1" s="536"/>
      <c r="WUZ1" s="536"/>
      <c r="WVA1" s="536"/>
      <c r="WVB1" s="536"/>
      <c r="WVC1" s="536"/>
      <c r="WVD1" s="536"/>
      <c r="WVE1" s="536"/>
      <c r="WVF1" s="536"/>
      <c r="WVG1" s="536"/>
      <c r="WVH1" s="536"/>
      <c r="WVI1" s="536"/>
      <c r="WVJ1" s="536"/>
      <c r="WVK1" s="536"/>
      <c r="WVL1" s="536"/>
      <c r="WVM1" s="536"/>
      <c r="WVN1" s="536"/>
      <c r="WVO1" s="536"/>
      <c r="WVP1" s="536"/>
      <c r="WVQ1" s="536"/>
      <c r="WVR1" s="536"/>
      <c r="WVS1" s="536"/>
      <c r="WVT1" s="536"/>
      <c r="WVU1" s="536"/>
      <c r="WVV1" s="536"/>
      <c r="WVW1" s="536"/>
      <c r="WVX1" s="536"/>
      <c r="WVY1" s="536"/>
      <c r="WVZ1" s="536"/>
      <c r="WWA1" s="536"/>
      <c r="WWB1" s="536"/>
      <c r="WWC1" s="536"/>
      <c r="WWD1" s="536"/>
      <c r="WWE1" s="536"/>
      <c r="WWF1" s="536"/>
      <c r="WWG1" s="536"/>
      <c r="WWH1" s="536"/>
      <c r="WWI1" s="536"/>
      <c r="WWJ1" s="536"/>
      <c r="WWK1" s="536"/>
      <c r="WWL1" s="536"/>
      <c r="WWM1" s="536"/>
      <c r="WWN1" s="536"/>
      <c r="WWO1" s="536"/>
      <c r="WWP1" s="536"/>
      <c r="WWQ1" s="536"/>
      <c r="WWR1" s="536"/>
      <c r="WWS1" s="536"/>
      <c r="WWT1" s="536"/>
      <c r="WWU1" s="536"/>
      <c r="WWV1" s="536"/>
      <c r="WWW1" s="536"/>
      <c r="WWX1" s="536"/>
      <c r="WWY1" s="536"/>
      <c r="WWZ1" s="536"/>
      <c r="WXA1" s="536"/>
      <c r="WXB1" s="536"/>
      <c r="WXC1" s="536"/>
      <c r="WXD1" s="536"/>
      <c r="WXE1" s="536"/>
      <c r="WXF1" s="536"/>
      <c r="WXG1" s="536"/>
      <c r="WXH1" s="536"/>
      <c r="WXI1" s="536"/>
      <c r="WXJ1" s="536"/>
      <c r="WXK1" s="536"/>
      <c r="WXL1" s="536"/>
      <c r="WXM1" s="536"/>
      <c r="WXN1" s="536"/>
      <c r="WXO1" s="536"/>
      <c r="WXP1" s="536"/>
      <c r="WXQ1" s="536"/>
      <c r="WXR1" s="536"/>
      <c r="WXS1" s="536"/>
      <c r="WXT1" s="536"/>
      <c r="WXU1" s="536"/>
      <c r="WXV1" s="536"/>
      <c r="WXW1" s="536"/>
      <c r="WXX1" s="536"/>
      <c r="WXY1" s="536"/>
      <c r="WXZ1" s="536"/>
      <c r="WYA1" s="536"/>
      <c r="WYB1" s="536"/>
      <c r="WYC1" s="536"/>
      <c r="WYD1" s="536"/>
      <c r="WYE1" s="536"/>
      <c r="WYF1" s="536"/>
      <c r="WYG1" s="536"/>
      <c r="WYH1" s="536"/>
      <c r="WYI1" s="536"/>
      <c r="WYJ1" s="536"/>
      <c r="WYK1" s="536"/>
      <c r="WYL1" s="536"/>
      <c r="WYM1" s="536"/>
      <c r="WYN1" s="536"/>
      <c r="WYO1" s="536"/>
      <c r="WYP1" s="536"/>
      <c r="WYQ1" s="536"/>
      <c r="WYR1" s="536"/>
      <c r="WYS1" s="536"/>
      <c r="WYT1" s="536"/>
      <c r="WYU1" s="536"/>
      <c r="WYV1" s="536"/>
      <c r="WYW1" s="536"/>
      <c r="WYX1" s="536"/>
      <c r="WYY1" s="536"/>
      <c r="WYZ1" s="536"/>
      <c r="WZA1" s="536"/>
      <c r="WZB1" s="536"/>
      <c r="WZC1" s="536"/>
      <c r="WZD1" s="536"/>
      <c r="WZE1" s="536"/>
      <c r="WZF1" s="536"/>
      <c r="WZG1" s="536"/>
      <c r="WZH1" s="536"/>
      <c r="WZI1" s="536"/>
      <c r="WZJ1" s="536"/>
      <c r="WZK1" s="536"/>
      <c r="WZL1" s="536"/>
      <c r="WZM1" s="536"/>
      <c r="WZN1" s="536"/>
      <c r="WZO1" s="536"/>
      <c r="WZP1" s="536"/>
      <c r="WZQ1" s="536"/>
      <c r="WZR1" s="536"/>
      <c r="WZS1" s="536"/>
      <c r="WZT1" s="536"/>
      <c r="WZU1" s="536"/>
      <c r="WZV1" s="536"/>
      <c r="WZW1" s="536"/>
      <c r="WZX1" s="536"/>
      <c r="WZY1" s="536"/>
      <c r="WZZ1" s="536"/>
      <c r="XAA1" s="536"/>
      <c r="XAB1" s="536"/>
      <c r="XAC1" s="536"/>
      <c r="XAD1" s="536"/>
      <c r="XAE1" s="536"/>
      <c r="XAF1" s="536"/>
      <c r="XAG1" s="536"/>
      <c r="XAH1" s="536"/>
      <c r="XAI1" s="536"/>
      <c r="XAJ1" s="536"/>
      <c r="XAK1" s="536"/>
      <c r="XAL1" s="536"/>
      <c r="XAM1" s="536"/>
      <c r="XAN1" s="536"/>
      <c r="XAO1" s="536"/>
      <c r="XAP1" s="536"/>
      <c r="XAQ1" s="536"/>
      <c r="XAR1" s="536"/>
      <c r="XAS1" s="536"/>
      <c r="XAT1" s="536"/>
      <c r="XAU1" s="536"/>
      <c r="XAV1" s="536"/>
      <c r="XAW1" s="536"/>
      <c r="XAX1" s="536"/>
      <c r="XAY1" s="536"/>
      <c r="XAZ1" s="536"/>
      <c r="XBA1" s="536"/>
      <c r="XBB1" s="536"/>
      <c r="XBC1" s="536"/>
      <c r="XBD1" s="536"/>
      <c r="XBE1" s="536"/>
      <c r="XBF1" s="536"/>
      <c r="XBG1" s="536"/>
      <c r="XBH1" s="536"/>
      <c r="XBI1" s="536"/>
      <c r="XBJ1" s="536"/>
      <c r="XBK1" s="536"/>
      <c r="XBL1" s="536"/>
      <c r="XBM1" s="536"/>
      <c r="XBN1" s="536"/>
      <c r="XBO1" s="536"/>
      <c r="XBP1" s="536"/>
      <c r="XBQ1" s="536"/>
      <c r="XBR1" s="536"/>
      <c r="XBS1" s="536"/>
      <c r="XBT1" s="536"/>
      <c r="XBU1" s="536"/>
      <c r="XBV1" s="536"/>
      <c r="XBW1" s="536"/>
      <c r="XBX1" s="536"/>
      <c r="XBY1" s="536"/>
      <c r="XBZ1" s="536"/>
      <c r="XCA1" s="536"/>
      <c r="XCB1" s="536"/>
      <c r="XCC1" s="536"/>
      <c r="XCD1" s="536"/>
      <c r="XCE1" s="536"/>
      <c r="XCF1" s="536"/>
      <c r="XCG1" s="536"/>
      <c r="XCH1" s="536"/>
      <c r="XCI1" s="536"/>
      <c r="XCJ1" s="536"/>
      <c r="XCK1" s="536"/>
      <c r="XCL1" s="536"/>
      <c r="XCM1" s="536"/>
      <c r="XCN1" s="536"/>
      <c r="XCO1" s="536"/>
      <c r="XCP1" s="536"/>
      <c r="XCQ1" s="536"/>
      <c r="XCR1" s="536"/>
      <c r="XCS1" s="536"/>
      <c r="XCT1" s="536"/>
      <c r="XCU1" s="536"/>
      <c r="XCV1" s="536"/>
      <c r="XCW1" s="536"/>
      <c r="XCX1" s="536"/>
      <c r="XCY1" s="536"/>
      <c r="XCZ1" s="536"/>
      <c r="XDA1" s="536"/>
      <c r="XDB1" s="536"/>
      <c r="XDC1" s="536"/>
      <c r="XDD1" s="536"/>
      <c r="XDE1" s="536"/>
      <c r="XDF1" s="536"/>
      <c r="XDG1" s="536"/>
      <c r="XDH1" s="536"/>
      <c r="XDI1" s="536"/>
      <c r="XDJ1" s="536"/>
      <c r="XDK1" s="536"/>
      <c r="XDL1" s="536"/>
      <c r="XDM1" s="536"/>
      <c r="XDN1" s="536"/>
      <c r="XDO1" s="536"/>
      <c r="XDP1" s="536"/>
      <c r="XDQ1" s="536"/>
      <c r="XDR1" s="536"/>
      <c r="XDS1" s="536"/>
      <c r="XDT1" s="536"/>
      <c r="XDU1" s="536"/>
      <c r="XDV1" s="536"/>
      <c r="XDW1" s="536"/>
      <c r="XDX1" s="536"/>
      <c r="XDY1" s="536"/>
      <c r="XDZ1" s="536"/>
      <c r="XEA1" s="536"/>
      <c r="XEB1" s="536"/>
      <c r="XEC1" s="536"/>
      <c r="XED1" s="536"/>
      <c r="XEE1" s="536"/>
      <c r="XEF1" s="536"/>
      <c r="XEG1" s="536"/>
      <c r="XEH1" s="536"/>
      <c r="XEI1" s="536"/>
      <c r="XEJ1" s="536"/>
      <c r="XEK1" s="536"/>
      <c r="XEL1" s="536"/>
      <c r="XEM1" s="536"/>
      <c r="XEN1" s="536"/>
      <c r="XEO1" s="536"/>
      <c r="XEP1" s="536"/>
      <c r="XEQ1" s="536"/>
      <c r="XER1" s="536"/>
      <c r="XES1" s="536"/>
      <c r="XET1" s="536"/>
      <c r="XEU1" s="536"/>
      <c r="XEV1" s="536"/>
    </row>
    <row r="2" spans="1:16376" s="131" customFormat="1" x14ac:dyDescent="0.25">
      <c r="A2" s="225" t="s">
        <v>84</v>
      </c>
      <c r="B2" s="225" t="s">
        <v>352</v>
      </c>
      <c r="C2" s="225" t="s">
        <v>353</v>
      </c>
    </row>
    <row r="3" spans="1:16376" s="131" customFormat="1" x14ac:dyDescent="0.25">
      <c r="A3" s="228"/>
      <c r="B3" s="228" t="s">
        <v>214</v>
      </c>
      <c r="C3" s="134"/>
    </row>
    <row r="4" spans="1:16376" s="120" customFormat="1" x14ac:dyDescent="0.25">
      <c r="A4" s="227" t="s">
        <v>354</v>
      </c>
      <c r="B4" s="119" t="s">
        <v>352</v>
      </c>
      <c r="C4" s="135" t="s">
        <v>215</v>
      </c>
    </row>
    <row r="5" spans="1:16376" s="131" customFormat="1" x14ac:dyDescent="0.25">
      <c r="A5" s="217" t="s">
        <v>1830</v>
      </c>
      <c r="B5" s="136" t="s">
        <v>168</v>
      </c>
      <c r="C5" s="137">
        <v>2</v>
      </c>
    </row>
    <row r="6" spans="1:16376" s="131" customFormat="1" x14ac:dyDescent="0.25">
      <c r="A6" s="217" t="s">
        <v>984</v>
      </c>
      <c r="B6" s="136" t="s">
        <v>168</v>
      </c>
      <c r="C6" s="137">
        <v>15</v>
      </c>
    </row>
    <row r="7" spans="1:16376" s="131" customFormat="1" x14ac:dyDescent="0.25">
      <c r="A7" s="217" t="s">
        <v>986</v>
      </c>
      <c r="B7" s="136" t="s">
        <v>168</v>
      </c>
      <c r="C7" s="137">
        <v>2</v>
      </c>
    </row>
    <row r="8" spans="1:16376" s="138" customFormat="1" x14ac:dyDescent="0.25">
      <c r="A8" s="227" t="s">
        <v>355</v>
      </c>
      <c r="B8" s="119"/>
      <c r="C8" s="135" t="s">
        <v>215</v>
      </c>
    </row>
    <row r="9" spans="1:16376" s="131" customFormat="1" x14ac:dyDescent="0.25">
      <c r="A9" s="217" t="s">
        <v>356</v>
      </c>
      <c r="B9" s="136" t="s">
        <v>168</v>
      </c>
      <c r="C9" s="137">
        <v>16</v>
      </c>
    </row>
    <row r="10" spans="1:16376" s="138" customFormat="1" x14ac:dyDescent="0.25">
      <c r="A10" s="227" t="s">
        <v>357</v>
      </c>
      <c r="B10" s="119"/>
      <c r="C10" s="135" t="s">
        <v>215</v>
      </c>
    </row>
    <row r="11" spans="1:16376" s="131" customFormat="1" x14ac:dyDescent="0.25">
      <c r="A11" s="217" t="s">
        <v>792</v>
      </c>
      <c r="B11" s="130" t="s">
        <v>168</v>
      </c>
      <c r="C11" s="137">
        <v>16</v>
      </c>
    </row>
    <row r="12" spans="1:16376" s="131" customFormat="1" x14ac:dyDescent="0.25">
      <c r="A12" s="217" t="s">
        <v>793</v>
      </c>
      <c r="B12" s="130" t="s">
        <v>168</v>
      </c>
      <c r="C12" s="139">
        <v>17</v>
      </c>
    </row>
    <row r="13" spans="1:16376" s="131" customFormat="1" x14ac:dyDescent="0.25">
      <c r="A13" s="217" t="s">
        <v>794</v>
      </c>
      <c r="B13" s="130" t="s">
        <v>168</v>
      </c>
      <c r="C13" s="137">
        <v>18</v>
      </c>
    </row>
    <row r="14" spans="1:16376" s="131" customFormat="1" ht="30" x14ac:dyDescent="0.25">
      <c r="A14" s="140" t="s">
        <v>358</v>
      </c>
      <c r="B14" s="130" t="s">
        <v>168</v>
      </c>
      <c r="C14" s="137">
        <v>14</v>
      </c>
    </row>
    <row r="15" spans="1:16376" s="131" customFormat="1" ht="30" x14ac:dyDescent="0.25">
      <c r="A15" s="140" t="s">
        <v>504</v>
      </c>
      <c r="B15" s="130" t="s">
        <v>168</v>
      </c>
      <c r="C15" s="137">
        <v>16</v>
      </c>
    </row>
    <row r="16" spans="1:16376" s="131" customFormat="1" ht="30" x14ac:dyDescent="0.25">
      <c r="A16" s="140" t="s">
        <v>325</v>
      </c>
      <c r="B16" s="130" t="s">
        <v>168</v>
      </c>
      <c r="C16" s="137">
        <v>16</v>
      </c>
    </row>
    <row r="17" spans="1:3" s="131" customFormat="1" ht="30" x14ac:dyDescent="0.25">
      <c r="A17" s="140" t="s">
        <v>327</v>
      </c>
      <c r="B17" s="130" t="s">
        <v>168</v>
      </c>
      <c r="C17" s="137">
        <v>1</v>
      </c>
    </row>
    <row r="18" spans="1:3" s="131" customFormat="1" ht="30" x14ac:dyDescent="0.25">
      <c r="A18" s="344" t="s">
        <v>359</v>
      </c>
      <c r="B18" s="130" t="s">
        <v>168</v>
      </c>
      <c r="C18" s="137">
        <v>1</v>
      </c>
    </row>
    <row r="19" spans="1:3" s="131" customFormat="1" ht="30" x14ac:dyDescent="0.25">
      <c r="A19" s="214" t="s">
        <v>331</v>
      </c>
      <c r="B19" s="218" t="s">
        <v>168</v>
      </c>
      <c r="C19" s="141">
        <v>37</v>
      </c>
    </row>
    <row r="20" spans="1:3" s="131" customFormat="1" x14ac:dyDescent="0.25">
      <c r="A20" s="219" t="s">
        <v>360</v>
      </c>
      <c r="B20" s="218" t="s">
        <v>168</v>
      </c>
      <c r="C20" s="141">
        <v>16</v>
      </c>
    </row>
    <row r="21" spans="1:3" s="131" customFormat="1" x14ac:dyDescent="0.25">
      <c r="A21" s="219" t="s">
        <v>361</v>
      </c>
      <c r="B21" s="218" t="s">
        <v>168</v>
      </c>
      <c r="C21" s="141">
        <v>12</v>
      </c>
    </row>
    <row r="22" spans="1:3" s="131" customFormat="1" ht="30" x14ac:dyDescent="0.25">
      <c r="A22" s="214" t="s">
        <v>795</v>
      </c>
      <c r="B22" s="218" t="s">
        <v>168</v>
      </c>
      <c r="C22" s="141">
        <v>9</v>
      </c>
    </row>
    <row r="23" spans="1:3" s="131" customFormat="1" ht="30" x14ac:dyDescent="0.25">
      <c r="A23" s="214" t="s">
        <v>519</v>
      </c>
      <c r="B23" s="218" t="s">
        <v>168</v>
      </c>
      <c r="C23" s="141">
        <v>2</v>
      </c>
    </row>
    <row r="24" spans="1:3" s="131" customFormat="1" ht="30" x14ac:dyDescent="0.25">
      <c r="A24" s="214" t="s">
        <v>522</v>
      </c>
      <c r="B24" s="218" t="s">
        <v>168</v>
      </c>
      <c r="C24" s="141">
        <v>2</v>
      </c>
    </row>
    <row r="25" spans="1:3" s="131" customFormat="1" ht="30" x14ac:dyDescent="0.25">
      <c r="A25" s="214" t="s">
        <v>333</v>
      </c>
      <c r="B25" s="218" t="s">
        <v>168</v>
      </c>
      <c r="C25" s="141">
        <v>41</v>
      </c>
    </row>
    <row r="26" spans="1:3" s="131" customFormat="1" ht="30" x14ac:dyDescent="0.25">
      <c r="A26" s="214" t="s">
        <v>524</v>
      </c>
      <c r="B26" s="218" t="s">
        <v>168</v>
      </c>
      <c r="C26" s="141">
        <v>38</v>
      </c>
    </row>
    <row r="27" spans="1:3" s="131" customFormat="1" x14ac:dyDescent="0.25">
      <c r="A27" s="219" t="s">
        <v>1831</v>
      </c>
      <c r="B27" s="218" t="s">
        <v>168</v>
      </c>
      <c r="C27" s="141">
        <v>7</v>
      </c>
    </row>
    <row r="28" spans="1:3" s="131" customFormat="1" x14ac:dyDescent="0.25">
      <c r="A28" s="219" t="s">
        <v>796</v>
      </c>
      <c r="B28" s="218" t="s">
        <v>168</v>
      </c>
      <c r="C28" s="141">
        <v>16</v>
      </c>
    </row>
    <row r="29" spans="1:3" s="131" customFormat="1" ht="30" x14ac:dyDescent="0.25">
      <c r="A29" s="214" t="s">
        <v>335</v>
      </c>
      <c r="B29" s="218" t="s">
        <v>12</v>
      </c>
      <c r="C29" s="141">
        <v>183</v>
      </c>
    </row>
    <row r="30" spans="1:3" s="131" customFormat="1" ht="30" x14ac:dyDescent="0.25">
      <c r="A30" s="214" t="s">
        <v>337</v>
      </c>
      <c r="B30" s="218" t="s">
        <v>12</v>
      </c>
      <c r="C30" s="141">
        <v>130</v>
      </c>
    </row>
    <row r="31" spans="1:3" s="131" customFormat="1" ht="30" x14ac:dyDescent="0.25">
      <c r="A31" s="214" t="s">
        <v>339</v>
      </c>
      <c r="B31" s="218" t="s">
        <v>12</v>
      </c>
      <c r="C31" s="141">
        <v>57</v>
      </c>
    </row>
    <row r="32" spans="1:3" s="131" customFormat="1" ht="30" x14ac:dyDescent="0.25">
      <c r="A32" s="140" t="s">
        <v>797</v>
      </c>
      <c r="B32" s="130" t="s">
        <v>168</v>
      </c>
      <c r="C32" s="137">
        <v>20</v>
      </c>
    </row>
    <row r="33" spans="1:3" s="131" customFormat="1" x14ac:dyDescent="0.25">
      <c r="A33" s="219" t="s">
        <v>818</v>
      </c>
      <c r="B33" s="218" t="s">
        <v>168</v>
      </c>
      <c r="C33" s="141">
        <v>2</v>
      </c>
    </row>
    <row r="34" spans="1:3" x14ac:dyDescent="0.25">
      <c r="A34" s="227" t="s">
        <v>1832</v>
      </c>
      <c r="B34" s="119"/>
      <c r="C34" s="135" t="s">
        <v>215</v>
      </c>
    </row>
    <row r="35" spans="1:3" s="131" customFormat="1" ht="15.75" thickBot="1" x14ac:dyDescent="0.3">
      <c r="A35" s="345" t="s">
        <v>975</v>
      </c>
      <c r="B35" s="166" t="s">
        <v>12</v>
      </c>
      <c r="C35" s="166">
        <v>5.2</v>
      </c>
    </row>
    <row r="36" spans="1:3" s="131" customFormat="1" ht="28.5" x14ac:dyDescent="0.25">
      <c r="A36" s="346" t="s">
        <v>977</v>
      </c>
      <c r="B36" s="166" t="s">
        <v>12</v>
      </c>
      <c r="C36" s="166">
        <v>53.4</v>
      </c>
    </row>
    <row r="37" spans="1:3" s="131" customFormat="1" x14ac:dyDescent="0.25">
      <c r="A37" s="345" t="s">
        <v>979</v>
      </c>
      <c r="B37" s="166" t="s">
        <v>12</v>
      </c>
      <c r="C37" s="166">
        <v>76.599999999999994</v>
      </c>
    </row>
    <row r="38" spans="1:3" s="131" customFormat="1" x14ac:dyDescent="0.25">
      <c r="A38" s="345" t="s">
        <v>981</v>
      </c>
      <c r="B38" s="166" t="s">
        <v>12</v>
      </c>
      <c r="C38" s="166">
        <v>52</v>
      </c>
    </row>
    <row r="39" spans="1:3" s="131" customFormat="1" x14ac:dyDescent="0.25">
      <c r="A39" s="345" t="s">
        <v>992</v>
      </c>
      <c r="B39" s="166" t="s">
        <v>12</v>
      </c>
      <c r="C39" s="166">
        <v>183</v>
      </c>
    </row>
    <row r="40" spans="1:3" x14ac:dyDescent="0.25">
      <c r="A40" s="165"/>
      <c r="B40" s="165"/>
      <c r="C40" s="165"/>
    </row>
  </sheetData>
  <mergeCells count="1489">
    <mergeCell ref="CC1:CM1"/>
    <mergeCell ref="CN1:CX1"/>
    <mergeCell ref="CY1:DI1"/>
    <mergeCell ref="DJ1:DT1"/>
    <mergeCell ref="DU1:EE1"/>
    <mergeCell ref="EF1:EP1"/>
    <mergeCell ref="O1:Y1"/>
    <mergeCell ref="Z1:AJ1"/>
    <mergeCell ref="AK1:AU1"/>
    <mergeCell ref="AV1:BF1"/>
    <mergeCell ref="BG1:BQ1"/>
    <mergeCell ref="BR1:CB1"/>
    <mergeCell ref="D1:N1"/>
    <mergeCell ref="JS1:KC1"/>
    <mergeCell ref="KD1:KN1"/>
    <mergeCell ref="KO1:KY1"/>
    <mergeCell ref="KZ1:LJ1"/>
    <mergeCell ref="LK1:LU1"/>
    <mergeCell ref="LV1:MF1"/>
    <mergeCell ref="HE1:HO1"/>
    <mergeCell ref="HP1:HZ1"/>
    <mergeCell ref="IA1:IK1"/>
    <mergeCell ref="IL1:IV1"/>
    <mergeCell ref="IW1:JG1"/>
    <mergeCell ref="JH1:JR1"/>
    <mergeCell ref="EQ1:FA1"/>
    <mergeCell ref="FB1:FL1"/>
    <mergeCell ref="FM1:FW1"/>
    <mergeCell ref="FX1:GH1"/>
    <mergeCell ref="GI1:GS1"/>
    <mergeCell ref="GT1:HD1"/>
    <mergeCell ref="RI1:RS1"/>
    <mergeCell ref="RT1:SD1"/>
    <mergeCell ref="SE1:SO1"/>
    <mergeCell ref="SP1:SZ1"/>
    <mergeCell ref="TA1:TK1"/>
    <mergeCell ref="TL1:TV1"/>
    <mergeCell ref="OU1:PE1"/>
    <mergeCell ref="PF1:PP1"/>
    <mergeCell ref="PQ1:QA1"/>
    <mergeCell ref="QB1:QL1"/>
    <mergeCell ref="QM1:QW1"/>
    <mergeCell ref="QX1:RH1"/>
    <mergeCell ref="MG1:MQ1"/>
    <mergeCell ref="MR1:NB1"/>
    <mergeCell ref="NC1:NM1"/>
    <mergeCell ref="NN1:NX1"/>
    <mergeCell ref="NY1:OI1"/>
    <mergeCell ref="OJ1:OT1"/>
    <mergeCell ref="YY1:ZI1"/>
    <mergeCell ref="ZJ1:ZT1"/>
    <mergeCell ref="ZU1:AAE1"/>
    <mergeCell ref="AAF1:AAP1"/>
    <mergeCell ref="AAQ1:ABA1"/>
    <mergeCell ref="ABB1:ABL1"/>
    <mergeCell ref="WK1:WU1"/>
    <mergeCell ref="WV1:XF1"/>
    <mergeCell ref="XG1:XQ1"/>
    <mergeCell ref="XR1:YB1"/>
    <mergeCell ref="YC1:YM1"/>
    <mergeCell ref="YN1:YX1"/>
    <mergeCell ref="TW1:UG1"/>
    <mergeCell ref="UH1:UR1"/>
    <mergeCell ref="US1:VC1"/>
    <mergeCell ref="VD1:VN1"/>
    <mergeCell ref="VO1:VY1"/>
    <mergeCell ref="VZ1:WJ1"/>
    <mergeCell ref="AGO1:AGY1"/>
    <mergeCell ref="AGZ1:AHJ1"/>
    <mergeCell ref="AHK1:AHU1"/>
    <mergeCell ref="AHV1:AIF1"/>
    <mergeCell ref="AIG1:AIQ1"/>
    <mergeCell ref="AIR1:AJB1"/>
    <mergeCell ref="AEA1:AEK1"/>
    <mergeCell ref="AEL1:AEV1"/>
    <mergeCell ref="AEW1:AFG1"/>
    <mergeCell ref="AFH1:AFR1"/>
    <mergeCell ref="AFS1:AGC1"/>
    <mergeCell ref="AGD1:AGN1"/>
    <mergeCell ref="ABM1:ABW1"/>
    <mergeCell ref="ABX1:ACH1"/>
    <mergeCell ref="ACI1:ACS1"/>
    <mergeCell ref="ACT1:ADD1"/>
    <mergeCell ref="ADE1:ADO1"/>
    <mergeCell ref="ADP1:ADZ1"/>
    <mergeCell ref="AOE1:AOO1"/>
    <mergeCell ref="AOP1:AOZ1"/>
    <mergeCell ref="APA1:APK1"/>
    <mergeCell ref="APL1:APV1"/>
    <mergeCell ref="APW1:AQG1"/>
    <mergeCell ref="AQH1:AQR1"/>
    <mergeCell ref="ALQ1:AMA1"/>
    <mergeCell ref="AMB1:AML1"/>
    <mergeCell ref="AMM1:AMW1"/>
    <mergeCell ref="AMX1:ANH1"/>
    <mergeCell ref="ANI1:ANS1"/>
    <mergeCell ref="ANT1:AOD1"/>
    <mergeCell ref="AJC1:AJM1"/>
    <mergeCell ref="AJN1:AJX1"/>
    <mergeCell ref="AJY1:AKI1"/>
    <mergeCell ref="AKJ1:AKT1"/>
    <mergeCell ref="AKU1:ALE1"/>
    <mergeCell ref="ALF1:ALP1"/>
    <mergeCell ref="AVU1:AWE1"/>
    <mergeCell ref="AWF1:AWP1"/>
    <mergeCell ref="AWQ1:AXA1"/>
    <mergeCell ref="AXB1:AXL1"/>
    <mergeCell ref="AXM1:AXW1"/>
    <mergeCell ref="AXX1:AYH1"/>
    <mergeCell ref="ATG1:ATQ1"/>
    <mergeCell ref="ATR1:AUB1"/>
    <mergeCell ref="AUC1:AUM1"/>
    <mergeCell ref="AUN1:AUX1"/>
    <mergeCell ref="AUY1:AVI1"/>
    <mergeCell ref="AVJ1:AVT1"/>
    <mergeCell ref="AQS1:ARC1"/>
    <mergeCell ref="ARD1:ARN1"/>
    <mergeCell ref="ARO1:ARY1"/>
    <mergeCell ref="ARZ1:ASJ1"/>
    <mergeCell ref="ASK1:ASU1"/>
    <mergeCell ref="ASV1:ATF1"/>
    <mergeCell ref="BDK1:BDU1"/>
    <mergeCell ref="BDV1:BEF1"/>
    <mergeCell ref="BEG1:BEQ1"/>
    <mergeCell ref="BER1:BFB1"/>
    <mergeCell ref="BFC1:BFM1"/>
    <mergeCell ref="BFN1:BFX1"/>
    <mergeCell ref="BAW1:BBG1"/>
    <mergeCell ref="BBH1:BBR1"/>
    <mergeCell ref="BBS1:BCC1"/>
    <mergeCell ref="BCD1:BCN1"/>
    <mergeCell ref="BCO1:BCY1"/>
    <mergeCell ref="BCZ1:BDJ1"/>
    <mergeCell ref="AYI1:AYS1"/>
    <mergeCell ref="AYT1:AZD1"/>
    <mergeCell ref="AZE1:AZO1"/>
    <mergeCell ref="AZP1:AZZ1"/>
    <mergeCell ref="BAA1:BAK1"/>
    <mergeCell ref="BAL1:BAV1"/>
    <mergeCell ref="BLA1:BLK1"/>
    <mergeCell ref="BLL1:BLV1"/>
    <mergeCell ref="BLW1:BMG1"/>
    <mergeCell ref="BMH1:BMR1"/>
    <mergeCell ref="BMS1:BNC1"/>
    <mergeCell ref="BND1:BNN1"/>
    <mergeCell ref="BIM1:BIW1"/>
    <mergeCell ref="BIX1:BJH1"/>
    <mergeCell ref="BJI1:BJS1"/>
    <mergeCell ref="BJT1:BKD1"/>
    <mergeCell ref="BKE1:BKO1"/>
    <mergeCell ref="BKP1:BKZ1"/>
    <mergeCell ref="BFY1:BGI1"/>
    <mergeCell ref="BGJ1:BGT1"/>
    <mergeCell ref="BGU1:BHE1"/>
    <mergeCell ref="BHF1:BHP1"/>
    <mergeCell ref="BHQ1:BIA1"/>
    <mergeCell ref="BIB1:BIL1"/>
    <mergeCell ref="BSQ1:BTA1"/>
    <mergeCell ref="BTB1:BTL1"/>
    <mergeCell ref="BTM1:BTW1"/>
    <mergeCell ref="BTX1:BUH1"/>
    <mergeCell ref="BUI1:BUS1"/>
    <mergeCell ref="BUT1:BVD1"/>
    <mergeCell ref="BQC1:BQM1"/>
    <mergeCell ref="BQN1:BQX1"/>
    <mergeCell ref="BQY1:BRI1"/>
    <mergeCell ref="BRJ1:BRT1"/>
    <mergeCell ref="BRU1:BSE1"/>
    <mergeCell ref="BSF1:BSP1"/>
    <mergeCell ref="BNO1:BNY1"/>
    <mergeCell ref="BNZ1:BOJ1"/>
    <mergeCell ref="BOK1:BOU1"/>
    <mergeCell ref="BOV1:BPF1"/>
    <mergeCell ref="BPG1:BPQ1"/>
    <mergeCell ref="BPR1:BQB1"/>
    <mergeCell ref="CAG1:CAQ1"/>
    <mergeCell ref="CAR1:CBB1"/>
    <mergeCell ref="CBC1:CBM1"/>
    <mergeCell ref="CBN1:CBX1"/>
    <mergeCell ref="CBY1:CCI1"/>
    <mergeCell ref="CCJ1:CCT1"/>
    <mergeCell ref="BXS1:BYC1"/>
    <mergeCell ref="BYD1:BYN1"/>
    <mergeCell ref="BYO1:BYY1"/>
    <mergeCell ref="BYZ1:BZJ1"/>
    <mergeCell ref="BZK1:BZU1"/>
    <mergeCell ref="BZV1:CAF1"/>
    <mergeCell ref="BVE1:BVO1"/>
    <mergeCell ref="BVP1:BVZ1"/>
    <mergeCell ref="BWA1:BWK1"/>
    <mergeCell ref="BWL1:BWV1"/>
    <mergeCell ref="BWW1:BXG1"/>
    <mergeCell ref="BXH1:BXR1"/>
    <mergeCell ref="CHW1:CIG1"/>
    <mergeCell ref="CIH1:CIR1"/>
    <mergeCell ref="CIS1:CJC1"/>
    <mergeCell ref="CJD1:CJN1"/>
    <mergeCell ref="CJO1:CJY1"/>
    <mergeCell ref="CJZ1:CKJ1"/>
    <mergeCell ref="CFI1:CFS1"/>
    <mergeCell ref="CFT1:CGD1"/>
    <mergeCell ref="CGE1:CGO1"/>
    <mergeCell ref="CGP1:CGZ1"/>
    <mergeCell ref="CHA1:CHK1"/>
    <mergeCell ref="CHL1:CHV1"/>
    <mergeCell ref="CCU1:CDE1"/>
    <mergeCell ref="CDF1:CDP1"/>
    <mergeCell ref="CDQ1:CEA1"/>
    <mergeCell ref="CEB1:CEL1"/>
    <mergeCell ref="CEM1:CEW1"/>
    <mergeCell ref="CEX1:CFH1"/>
    <mergeCell ref="CPM1:CPW1"/>
    <mergeCell ref="CPX1:CQH1"/>
    <mergeCell ref="CQI1:CQS1"/>
    <mergeCell ref="CQT1:CRD1"/>
    <mergeCell ref="CRE1:CRO1"/>
    <mergeCell ref="CRP1:CRZ1"/>
    <mergeCell ref="CMY1:CNI1"/>
    <mergeCell ref="CNJ1:CNT1"/>
    <mergeCell ref="CNU1:COE1"/>
    <mergeCell ref="COF1:COP1"/>
    <mergeCell ref="COQ1:CPA1"/>
    <mergeCell ref="CPB1:CPL1"/>
    <mergeCell ref="CKK1:CKU1"/>
    <mergeCell ref="CKV1:CLF1"/>
    <mergeCell ref="CLG1:CLQ1"/>
    <mergeCell ref="CLR1:CMB1"/>
    <mergeCell ref="CMC1:CMM1"/>
    <mergeCell ref="CMN1:CMX1"/>
    <mergeCell ref="CXC1:CXM1"/>
    <mergeCell ref="CXN1:CXX1"/>
    <mergeCell ref="CXY1:CYI1"/>
    <mergeCell ref="CYJ1:CYT1"/>
    <mergeCell ref="CYU1:CZE1"/>
    <mergeCell ref="CZF1:CZP1"/>
    <mergeCell ref="CUO1:CUY1"/>
    <mergeCell ref="CUZ1:CVJ1"/>
    <mergeCell ref="CVK1:CVU1"/>
    <mergeCell ref="CVV1:CWF1"/>
    <mergeCell ref="CWG1:CWQ1"/>
    <mergeCell ref="CWR1:CXB1"/>
    <mergeCell ref="CSA1:CSK1"/>
    <mergeCell ref="CSL1:CSV1"/>
    <mergeCell ref="CSW1:CTG1"/>
    <mergeCell ref="CTH1:CTR1"/>
    <mergeCell ref="CTS1:CUC1"/>
    <mergeCell ref="CUD1:CUN1"/>
    <mergeCell ref="DES1:DFC1"/>
    <mergeCell ref="DFD1:DFN1"/>
    <mergeCell ref="DFO1:DFY1"/>
    <mergeCell ref="DFZ1:DGJ1"/>
    <mergeCell ref="DGK1:DGU1"/>
    <mergeCell ref="DGV1:DHF1"/>
    <mergeCell ref="DCE1:DCO1"/>
    <mergeCell ref="DCP1:DCZ1"/>
    <mergeCell ref="DDA1:DDK1"/>
    <mergeCell ref="DDL1:DDV1"/>
    <mergeCell ref="DDW1:DEG1"/>
    <mergeCell ref="DEH1:DER1"/>
    <mergeCell ref="CZQ1:DAA1"/>
    <mergeCell ref="DAB1:DAL1"/>
    <mergeCell ref="DAM1:DAW1"/>
    <mergeCell ref="DAX1:DBH1"/>
    <mergeCell ref="DBI1:DBS1"/>
    <mergeCell ref="DBT1:DCD1"/>
    <mergeCell ref="DMI1:DMS1"/>
    <mergeCell ref="DMT1:DND1"/>
    <mergeCell ref="DNE1:DNO1"/>
    <mergeCell ref="DNP1:DNZ1"/>
    <mergeCell ref="DOA1:DOK1"/>
    <mergeCell ref="DOL1:DOV1"/>
    <mergeCell ref="DJU1:DKE1"/>
    <mergeCell ref="DKF1:DKP1"/>
    <mergeCell ref="DKQ1:DLA1"/>
    <mergeCell ref="DLB1:DLL1"/>
    <mergeCell ref="DLM1:DLW1"/>
    <mergeCell ref="DLX1:DMH1"/>
    <mergeCell ref="DHG1:DHQ1"/>
    <mergeCell ref="DHR1:DIB1"/>
    <mergeCell ref="DIC1:DIM1"/>
    <mergeCell ref="DIN1:DIX1"/>
    <mergeCell ref="DIY1:DJI1"/>
    <mergeCell ref="DJJ1:DJT1"/>
    <mergeCell ref="DTY1:DUI1"/>
    <mergeCell ref="DUJ1:DUT1"/>
    <mergeCell ref="DUU1:DVE1"/>
    <mergeCell ref="DVF1:DVP1"/>
    <mergeCell ref="DVQ1:DWA1"/>
    <mergeCell ref="DWB1:DWL1"/>
    <mergeCell ref="DRK1:DRU1"/>
    <mergeCell ref="DRV1:DSF1"/>
    <mergeCell ref="DSG1:DSQ1"/>
    <mergeCell ref="DSR1:DTB1"/>
    <mergeCell ref="DTC1:DTM1"/>
    <mergeCell ref="DTN1:DTX1"/>
    <mergeCell ref="DOW1:DPG1"/>
    <mergeCell ref="DPH1:DPR1"/>
    <mergeCell ref="DPS1:DQC1"/>
    <mergeCell ref="DQD1:DQN1"/>
    <mergeCell ref="DQO1:DQY1"/>
    <mergeCell ref="DQZ1:DRJ1"/>
    <mergeCell ref="EBO1:EBY1"/>
    <mergeCell ref="EBZ1:ECJ1"/>
    <mergeCell ref="ECK1:ECU1"/>
    <mergeCell ref="ECV1:EDF1"/>
    <mergeCell ref="EDG1:EDQ1"/>
    <mergeCell ref="EDR1:EEB1"/>
    <mergeCell ref="DZA1:DZK1"/>
    <mergeCell ref="DZL1:DZV1"/>
    <mergeCell ref="DZW1:EAG1"/>
    <mergeCell ref="EAH1:EAR1"/>
    <mergeCell ref="EAS1:EBC1"/>
    <mergeCell ref="EBD1:EBN1"/>
    <mergeCell ref="DWM1:DWW1"/>
    <mergeCell ref="DWX1:DXH1"/>
    <mergeCell ref="DXI1:DXS1"/>
    <mergeCell ref="DXT1:DYD1"/>
    <mergeCell ref="DYE1:DYO1"/>
    <mergeCell ref="DYP1:DYZ1"/>
    <mergeCell ref="EJE1:EJO1"/>
    <mergeCell ref="EJP1:EJZ1"/>
    <mergeCell ref="EKA1:EKK1"/>
    <mergeCell ref="EKL1:EKV1"/>
    <mergeCell ref="EKW1:ELG1"/>
    <mergeCell ref="ELH1:ELR1"/>
    <mergeCell ref="EGQ1:EHA1"/>
    <mergeCell ref="EHB1:EHL1"/>
    <mergeCell ref="EHM1:EHW1"/>
    <mergeCell ref="EHX1:EIH1"/>
    <mergeCell ref="EII1:EIS1"/>
    <mergeCell ref="EIT1:EJD1"/>
    <mergeCell ref="EEC1:EEM1"/>
    <mergeCell ref="EEN1:EEX1"/>
    <mergeCell ref="EEY1:EFI1"/>
    <mergeCell ref="EFJ1:EFT1"/>
    <mergeCell ref="EFU1:EGE1"/>
    <mergeCell ref="EGF1:EGP1"/>
    <mergeCell ref="EQU1:ERE1"/>
    <mergeCell ref="ERF1:ERP1"/>
    <mergeCell ref="ERQ1:ESA1"/>
    <mergeCell ref="ESB1:ESL1"/>
    <mergeCell ref="ESM1:ESW1"/>
    <mergeCell ref="ESX1:ETH1"/>
    <mergeCell ref="EOG1:EOQ1"/>
    <mergeCell ref="EOR1:EPB1"/>
    <mergeCell ref="EPC1:EPM1"/>
    <mergeCell ref="EPN1:EPX1"/>
    <mergeCell ref="EPY1:EQI1"/>
    <mergeCell ref="EQJ1:EQT1"/>
    <mergeCell ref="ELS1:EMC1"/>
    <mergeCell ref="EMD1:EMN1"/>
    <mergeCell ref="EMO1:EMY1"/>
    <mergeCell ref="EMZ1:ENJ1"/>
    <mergeCell ref="ENK1:ENU1"/>
    <mergeCell ref="ENV1:EOF1"/>
    <mergeCell ref="EYK1:EYU1"/>
    <mergeCell ref="EYV1:EZF1"/>
    <mergeCell ref="EZG1:EZQ1"/>
    <mergeCell ref="EZR1:FAB1"/>
    <mergeCell ref="FAC1:FAM1"/>
    <mergeCell ref="FAN1:FAX1"/>
    <mergeCell ref="EVW1:EWG1"/>
    <mergeCell ref="EWH1:EWR1"/>
    <mergeCell ref="EWS1:EXC1"/>
    <mergeCell ref="EXD1:EXN1"/>
    <mergeCell ref="EXO1:EXY1"/>
    <mergeCell ref="EXZ1:EYJ1"/>
    <mergeCell ref="ETI1:ETS1"/>
    <mergeCell ref="ETT1:EUD1"/>
    <mergeCell ref="EUE1:EUO1"/>
    <mergeCell ref="EUP1:EUZ1"/>
    <mergeCell ref="EVA1:EVK1"/>
    <mergeCell ref="EVL1:EVV1"/>
    <mergeCell ref="FGA1:FGK1"/>
    <mergeCell ref="FGL1:FGV1"/>
    <mergeCell ref="FGW1:FHG1"/>
    <mergeCell ref="FHH1:FHR1"/>
    <mergeCell ref="FHS1:FIC1"/>
    <mergeCell ref="FID1:FIN1"/>
    <mergeCell ref="FDM1:FDW1"/>
    <mergeCell ref="FDX1:FEH1"/>
    <mergeCell ref="FEI1:FES1"/>
    <mergeCell ref="FET1:FFD1"/>
    <mergeCell ref="FFE1:FFO1"/>
    <mergeCell ref="FFP1:FFZ1"/>
    <mergeCell ref="FAY1:FBI1"/>
    <mergeCell ref="FBJ1:FBT1"/>
    <mergeCell ref="FBU1:FCE1"/>
    <mergeCell ref="FCF1:FCP1"/>
    <mergeCell ref="FCQ1:FDA1"/>
    <mergeCell ref="FDB1:FDL1"/>
    <mergeCell ref="FNQ1:FOA1"/>
    <mergeCell ref="FOB1:FOL1"/>
    <mergeCell ref="FOM1:FOW1"/>
    <mergeCell ref="FOX1:FPH1"/>
    <mergeCell ref="FPI1:FPS1"/>
    <mergeCell ref="FPT1:FQD1"/>
    <mergeCell ref="FLC1:FLM1"/>
    <mergeCell ref="FLN1:FLX1"/>
    <mergeCell ref="FLY1:FMI1"/>
    <mergeCell ref="FMJ1:FMT1"/>
    <mergeCell ref="FMU1:FNE1"/>
    <mergeCell ref="FNF1:FNP1"/>
    <mergeCell ref="FIO1:FIY1"/>
    <mergeCell ref="FIZ1:FJJ1"/>
    <mergeCell ref="FJK1:FJU1"/>
    <mergeCell ref="FJV1:FKF1"/>
    <mergeCell ref="FKG1:FKQ1"/>
    <mergeCell ref="FKR1:FLB1"/>
    <mergeCell ref="FVG1:FVQ1"/>
    <mergeCell ref="FVR1:FWB1"/>
    <mergeCell ref="FWC1:FWM1"/>
    <mergeCell ref="FWN1:FWX1"/>
    <mergeCell ref="FWY1:FXI1"/>
    <mergeCell ref="FXJ1:FXT1"/>
    <mergeCell ref="FSS1:FTC1"/>
    <mergeCell ref="FTD1:FTN1"/>
    <mergeCell ref="FTO1:FTY1"/>
    <mergeCell ref="FTZ1:FUJ1"/>
    <mergeCell ref="FUK1:FUU1"/>
    <mergeCell ref="FUV1:FVF1"/>
    <mergeCell ref="FQE1:FQO1"/>
    <mergeCell ref="FQP1:FQZ1"/>
    <mergeCell ref="FRA1:FRK1"/>
    <mergeCell ref="FRL1:FRV1"/>
    <mergeCell ref="FRW1:FSG1"/>
    <mergeCell ref="FSH1:FSR1"/>
    <mergeCell ref="GCW1:GDG1"/>
    <mergeCell ref="GDH1:GDR1"/>
    <mergeCell ref="GDS1:GEC1"/>
    <mergeCell ref="GED1:GEN1"/>
    <mergeCell ref="GEO1:GEY1"/>
    <mergeCell ref="GEZ1:GFJ1"/>
    <mergeCell ref="GAI1:GAS1"/>
    <mergeCell ref="GAT1:GBD1"/>
    <mergeCell ref="GBE1:GBO1"/>
    <mergeCell ref="GBP1:GBZ1"/>
    <mergeCell ref="GCA1:GCK1"/>
    <mergeCell ref="GCL1:GCV1"/>
    <mergeCell ref="FXU1:FYE1"/>
    <mergeCell ref="FYF1:FYP1"/>
    <mergeCell ref="FYQ1:FZA1"/>
    <mergeCell ref="FZB1:FZL1"/>
    <mergeCell ref="FZM1:FZW1"/>
    <mergeCell ref="FZX1:GAH1"/>
    <mergeCell ref="GKM1:GKW1"/>
    <mergeCell ref="GKX1:GLH1"/>
    <mergeCell ref="GLI1:GLS1"/>
    <mergeCell ref="GLT1:GMD1"/>
    <mergeCell ref="GME1:GMO1"/>
    <mergeCell ref="GMP1:GMZ1"/>
    <mergeCell ref="GHY1:GII1"/>
    <mergeCell ref="GIJ1:GIT1"/>
    <mergeCell ref="GIU1:GJE1"/>
    <mergeCell ref="GJF1:GJP1"/>
    <mergeCell ref="GJQ1:GKA1"/>
    <mergeCell ref="GKB1:GKL1"/>
    <mergeCell ref="GFK1:GFU1"/>
    <mergeCell ref="GFV1:GGF1"/>
    <mergeCell ref="GGG1:GGQ1"/>
    <mergeCell ref="GGR1:GHB1"/>
    <mergeCell ref="GHC1:GHM1"/>
    <mergeCell ref="GHN1:GHX1"/>
    <mergeCell ref="GSC1:GSM1"/>
    <mergeCell ref="GSN1:GSX1"/>
    <mergeCell ref="GSY1:GTI1"/>
    <mergeCell ref="GTJ1:GTT1"/>
    <mergeCell ref="GTU1:GUE1"/>
    <mergeCell ref="GUF1:GUP1"/>
    <mergeCell ref="GPO1:GPY1"/>
    <mergeCell ref="GPZ1:GQJ1"/>
    <mergeCell ref="GQK1:GQU1"/>
    <mergeCell ref="GQV1:GRF1"/>
    <mergeCell ref="GRG1:GRQ1"/>
    <mergeCell ref="GRR1:GSB1"/>
    <mergeCell ref="GNA1:GNK1"/>
    <mergeCell ref="GNL1:GNV1"/>
    <mergeCell ref="GNW1:GOG1"/>
    <mergeCell ref="GOH1:GOR1"/>
    <mergeCell ref="GOS1:GPC1"/>
    <mergeCell ref="GPD1:GPN1"/>
    <mergeCell ref="GZS1:HAC1"/>
    <mergeCell ref="HAD1:HAN1"/>
    <mergeCell ref="HAO1:HAY1"/>
    <mergeCell ref="HAZ1:HBJ1"/>
    <mergeCell ref="HBK1:HBU1"/>
    <mergeCell ref="HBV1:HCF1"/>
    <mergeCell ref="GXE1:GXO1"/>
    <mergeCell ref="GXP1:GXZ1"/>
    <mergeCell ref="GYA1:GYK1"/>
    <mergeCell ref="GYL1:GYV1"/>
    <mergeCell ref="GYW1:GZG1"/>
    <mergeCell ref="GZH1:GZR1"/>
    <mergeCell ref="GUQ1:GVA1"/>
    <mergeCell ref="GVB1:GVL1"/>
    <mergeCell ref="GVM1:GVW1"/>
    <mergeCell ref="GVX1:GWH1"/>
    <mergeCell ref="GWI1:GWS1"/>
    <mergeCell ref="GWT1:GXD1"/>
    <mergeCell ref="HHI1:HHS1"/>
    <mergeCell ref="HHT1:HID1"/>
    <mergeCell ref="HIE1:HIO1"/>
    <mergeCell ref="HIP1:HIZ1"/>
    <mergeCell ref="HJA1:HJK1"/>
    <mergeCell ref="HJL1:HJV1"/>
    <mergeCell ref="HEU1:HFE1"/>
    <mergeCell ref="HFF1:HFP1"/>
    <mergeCell ref="HFQ1:HGA1"/>
    <mergeCell ref="HGB1:HGL1"/>
    <mergeCell ref="HGM1:HGW1"/>
    <mergeCell ref="HGX1:HHH1"/>
    <mergeCell ref="HCG1:HCQ1"/>
    <mergeCell ref="HCR1:HDB1"/>
    <mergeCell ref="HDC1:HDM1"/>
    <mergeCell ref="HDN1:HDX1"/>
    <mergeCell ref="HDY1:HEI1"/>
    <mergeCell ref="HEJ1:HET1"/>
    <mergeCell ref="HOY1:HPI1"/>
    <mergeCell ref="HPJ1:HPT1"/>
    <mergeCell ref="HPU1:HQE1"/>
    <mergeCell ref="HQF1:HQP1"/>
    <mergeCell ref="HQQ1:HRA1"/>
    <mergeCell ref="HRB1:HRL1"/>
    <mergeCell ref="HMK1:HMU1"/>
    <mergeCell ref="HMV1:HNF1"/>
    <mergeCell ref="HNG1:HNQ1"/>
    <mergeCell ref="HNR1:HOB1"/>
    <mergeCell ref="HOC1:HOM1"/>
    <mergeCell ref="HON1:HOX1"/>
    <mergeCell ref="HJW1:HKG1"/>
    <mergeCell ref="HKH1:HKR1"/>
    <mergeCell ref="HKS1:HLC1"/>
    <mergeCell ref="HLD1:HLN1"/>
    <mergeCell ref="HLO1:HLY1"/>
    <mergeCell ref="HLZ1:HMJ1"/>
    <mergeCell ref="HWO1:HWY1"/>
    <mergeCell ref="HWZ1:HXJ1"/>
    <mergeCell ref="HXK1:HXU1"/>
    <mergeCell ref="HXV1:HYF1"/>
    <mergeCell ref="HYG1:HYQ1"/>
    <mergeCell ref="HYR1:HZB1"/>
    <mergeCell ref="HUA1:HUK1"/>
    <mergeCell ref="HUL1:HUV1"/>
    <mergeCell ref="HUW1:HVG1"/>
    <mergeCell ref="HVH1:HVR1"/>
    <mergeCell ref="HVS1:HWC1"/>
    <mergeCell ref="HWD1:HWN1"/>
    <mergeCell ref="HRM1:HRW1"/>
    <mergeCell ref="HRX1:HSH1"/>
    <mergeCell ref="HSI1:HSS1"/>
    <mergeCell ref="HST1:HTD1"/>
    <mergeCell ref="HTE1:HTO1"/>
    <mergeCell ref="HTP1:HTZ1"/>
    <mergeCell ref="IEE1:IEO1"/>
    <mergeCell ref="IEP1:IEZ1"/>
    <mergeCell ref="IFA1:IFK1"/>
    <mergeCell ref="IFL1:IFV1"/>
    <mergeCell ref="IFW1:IGG1"/>
    <mergeCell ref="IGH1:IGR1"/>
    <mergeCell ref="IBQ1:ICA1"/>
    <mergeCell ref="ICB1:ICL1"/>
    <mergeCell ref="ICM1:ICW1"/>
    <mergeCell ref="ICX1:IDH1"/>
    <mergeCell ref="IDI1:IDS1"/>
    <mergeCell ref="IDT1:IED1"/>
    <mergeCell ref="HZC1:HZM1"/>
    <mergeCell ref="HZN1:HZX1"/>
    <mergeCell ref="HZY1:IAI1"/>
    <mergeCell ref="IAJ1:IAT1"/>
    <mergeCell ref="IAU1:IBE1"/>
    <mergeCell ref="IBF1:IBP1"/>
    <mergeCell ref="ILU1:IME1"/>
    <mergeCell ref="IMF1:IMP1"/>
    <mergeCell ref="IMQ1:INA1"/>
    <mergeCell ref="INB1:INL1"/>
    <mergeCell ref="INM1:INW1"/>
    <mergeCell ref="INX1:IOH1"/>
    <mergeCell ref="IJG1:IJQ1"/>
    <mergeCell ref="IJR1:IKB1"/>
    <mergeCell ref="IKC1:IKM1"/>
    <mergeCell ref="IKN1:IKX1"/>
    <mergeCell ref="IKY1:ILI1"/>
    <mergeCell ref="ILJ1:ILT1"/>
    <mergeCell ref="IGS1:IHC1"/>
    <mergeCell ref="IHD1:IHN1"/>
    <mergeCell ref="IHO1:IHY1"/>
    <mergeCell ref="IHZ1:IIJ1"/>
    <mergeCell ref="IIK1:IIU1"/>
    <mergeCell ref="IIV1:IJF1"/>
    <mergeCell ref="ITK1:ITU1"/>
    <mergeCell ref="ITV1:IUF1"/>
    <mergeCell ref="IUG1:IUQ1"/>
    <mergeCell ref="IUR1:IVB1"/>
    <mergeCell ref="IVC1:IVM1"/>
    <mergeCell ref="IVN1:IVX1"/>
    <mergeCell ref="IQW1:IRG1"/>
    <mergeCell ref="IRH1:IRR1"/>
    <mergeCell ref="IRS1:ISC1"/>
    <mergeCell ref="ISD1:ISN1"/>
    <mergeCell ref="ISO1:ISY1"/>
    <mergeCell ref="ISZ1:ITJ1"/>
    <mergeCell ref="IOI1:IOS1"/>
    <mergeCell ref="IOT1:IPD1"/>
    <mergeCell ref="IPE1:IPO1"/>
    <mergeCell ref="IPP1:IPZ1"/>
    <mergeCell ref="IQA1:IQK1"/>
    <mergeCell ref="IQL1:IQV1"/>
    <mergeCell ref="JBA1:JBK1"/>
    <mergeCell ref="JBL1:JBV1"/>
    <mergeCell ref="JBW1:JCG1"/>
    <mergeCell ref="JCH1:JCR1"/>
    <mergeCell ref="JCS1:JDC1"/>
    <mergeCell ref="JDD1:JDN1"/>
    <mergeCell ref="IYM1:IYW1"/>
    <mergeCell ref="IYX1:IZH1"/>
    <mergeCell ref="IZI1:IZS1"/>
    <mergeCell ref="IZT1:JAD1"/>
    <mergeCell ref="JAE1:JAO1"/>
    <mergeCell ref="JAP1:JAZ1"/>
    <mergeCell ref="IVY1:IWI1"/>
    <mergeCell ref="IWJ1:IWT1"/>
    <mergeCell ref="IWU1:IXE1"/>
    <mergeCell ref="IXF1:IXP1"/>
    <mergeCell ref="IXQ1:IYA1"/>
    <mergeCell ref="IYB1:IYL1"/>
    <mergeCell ref="JIQ1:JJA1"/>
    <mergeCell ref="JJB1:JJL1"/>
    <mergeCell ref="JJM1:JJW1"/>
    <mergeCell ref="JJX1:JKH1"/>
    <mergeCell ref="JKI1:JKS1"/>
    <mergeCell ref="JKT1:JLD1"/>
    <mergeCell ref="JGC1:JGM1"/>
    <mergeCell ref="JGN1:JGX1"/>
    <mergeCell ref="JGY1:JHI1"/>
    <mergeCell ref="JHJ1:JHT1"/>
    <mergeCell ref="JHU1:JIE1"/>
    <mergeCell ref="JIF1:JIP1"/>
    <mergeCell ref="JDO1:JDY1"/>
    <mergeCell ref="JDZ1:JEJ1"/>
    <mergeCell ref="JEK1:JEU1"/>
    <mergeCell ref="JEV1:JFF1"/>
    <mergeCell ref="JFG1:JFQ1"/>
    <mergeCell ref="JFR1:JGB1"/>
    <mergeCell ref="JQG1:JQQ1"/>
    <mergeCell ref="JQR1:JRB1"/>
    <mergeCell ref="JRC1:JRM1"/>
    <mergeCell ref="JRN1:JRX1"/>
    <mergeCell ref="JRY1:JSI1"/>
    <mergeCell ref="JSJ1:JST1"/>
    <mergeCell ref="JNS1:JOC1"/>
    <mergeCell ref="JOD1:JON1"/>
    <mergeCell ref="JOO1:JOY1"/>
    <mergeCell ref="JOZ1:JPJ1"/>
    <mergeCell ref="JPK1:JPU1"/>
    <mergeCell ref="JPV1:JQF1"/>
    <mergeCell ref="JLE1:JLO1"/>
    <mergeCell ref="JLP1:JLZ1"/>
    <mergeCell ref="JMA1:JMK1"/>
    <mergeCell ref="JML1:JMV1"/>
    <mergeCell ref="JMW1:JNG1"/>
    <mergeCell ref="JNH1:JNR1"/>
    <mergeCell ref="JXW1:JYG1"/>
    <mergeCell ref="JYH1:JYR1"/>
    <mergeCell ref="JYS1:JZC1"/>
    <mergeCell ref="JZD1:JZN1"/>
    <mergeCell ref="JZO1:JZY1"/>
    <mergeCell ref="JZZ1:KAJ1"/>
    <mergeCell ref="JVI1:JVS1"/>
    <mergeCell ref="JVT1:JWD1"/>
    <mergeCell ref="JWE1:JWO1"/>
    <mergeCell ref="JWP1:JWZ1"/>
    <mergeCell ref="JXA1:JXK1"/>
    <mergeCell ref="JXL1:JXV1"/>
    <mergeCell ref="JSU1:JTE1"/>
    <mergeCell ref="JTF1:JTP1"/>
    <mergeCell ref="JTQ1:JUA1"/>
    <mergeCell ref="JUB1:JUL1"/>
    <mergeCell ref="JUM1:JUW1"/>
    <mergeCell ref="JUX1:JVH1"/>
    <mergeCell ref="KFM1:KFW1"/>
    <mergeCell ref="KFX1:KGH1"/>
    <mergeCell ref="KGI1:KGS1"/>
    <mergeCell ref="KGT1:KHD1"/>
    <mergeCell ref="KHE1:KHO1"/>
    <mergeCell ref="KHP1:KHZ1"/>
    <mergeCell ref="KCY1:KDI1"/>
    <mergeCell ref="KDJ1:KDT1"/>
    <mergeCell ref="KDU1:KEE1"/>
    <mergeCell ref="KEF1:KEP1"/>
    <mergeCell ref="KEQ1:KFA1"/>
    <mergeCell ref="KFB1:KFL1"/>
    <mergeCell ref="KAK1:KAU1"/>
    <mergeCell ref="KAV1:KBF1"/>
    <mergeCell ref="KBG1:KBQ1"/>
    <mergeCell ref="KBR1:KCB1"/>
    <mergeCell ref="KCC1:KCM1"/>
    <mergeCell ref="KCN1:KCX1"/>
    <mergeCell ref="KNC1:KNM1"/>
    <mergeCell ref="KNN1:KNX1"/>
    <mergeCell ref="KNY1:KOI1"/>
    <mergeCell ref="KOJ1:KOT1"/>
    <mergeCell ref="KOU1:KPE1"/>
    <mergeCell ref="KPF1:KPP1"/>
    <mergeCell ref="KKO1:KKY1"/>
    <mergeCell ref="KKZ1:KLJ1"/>
    <mergeCell ref="KLK1:KLU1"/>
    <mergeCell ref="KLV1:KMF1"/>
    <mergeCell ref="KMG1:KMQ1"/>
    <mergeCell ref="KMR1:KNB1"/>
    <mergeCell ref="KIA1:KIK1"/>
    <mergeCell ref="KIL1:KIV1"/>
    <mergeCell ref="KIW1:KJG1"/>
    <mergeCell ref="KJH1:KJR1"/>
    <mergeCell ref="KJS1:KKC1"/>
    <mergeCell ref="KKD1:KKN1"/>
    <mergeCell ref="KUS1:KVC1"/>
    <mergeCell ref="KVD1:KVN1"/>
    <mergeCell ref="KVO1:KVY1"/>
    <mergeCell ref="KVZ1:KWJ1"/>
    <mergeCell ref="KWK1:KWU1"/>
    <mergeCell ref="KWV1:KXF1"/>
    <mergeCell ref="KSE1:KSO1"/>
    <mergeCell ref="KSP1:KSZ1"/>
    <mergeCell ref="KTA1:KTK1"/>
    <mergeCell ref="KTL1:KTV1"/>
    <mergeCell ref="KTW1:KUG1"/>
    <mergeCell ref="KUH1:KUR1"/>
    <mergeCell ref="KPQ1:KQA1"/>
    <mergeCell ref="KQB1:KQL1"/>
    <mergeCell ref="KQM1:KQW1"/>
    <mergeCell ref="KQX1:KRH1"/>
    <mergeCell ref="KRI1:KRS1"/>
    <mergeCell ref="KRT1:KSD1"/>
    <mergeCell ref="LCI1:LCS1"/>
    <mergeCell ref="LCT1:LDD1"/>
    <mergeCell ref="LDE1:LDO1"/>
    <mergeCell ref="LDP1:LDZ1"/>
    <mergeCell ref="LEA1:LEK1"/>
    <mergeCell ref="LEL1:LEV1"/>
    <mergeCell ref="KZU1:LAE1"/>
    <mergeCell ref="LAF1:LAP1"/>
    <mergeCell ref="LAQ1:LBA1"/>
    <mergeCell ref="LBB1:LBL1"/>
    <mergeCell ref="LBM1:LBW1"/>
    <mergeCell ref="LBX1:LCH1"/>
    <mergeCell ref="KXG1:KXQ1"/>
    <mergeCell ref="KXR1:KYB1"/>
    <mergeCell ref="KYC1:KYM1"/>
    <mergeCell ref="KYN1:KYX1"/>
    <mergeCell ref="KYY1:KZI1"/>
    <mergeCell ref="KZJ1:KZT1"/>
    <mergeCell ref="LJY1:LKI1"/>
    <mergeCell ref="LKJ1:LKT1"/>
    <mergeCell ref="LKU1:LLE1"/>
    <mergeCell ref="LLF1:LLP1"/>
    <mergeCell ref="LLQ1:LMA1"/>
    <mergeCell ref="LMB1:LML1"/>
    <mergeCell ref="LHK1:LHU1"/>
    <mergeCell ref="LHV1:LIF1"/>
    <mergeCell ref="LIG1:LIQ1"/>
    <mergeCell ref="LIR1:LJB1"/>
    <mergeCell ref="LJC1:LJM1"/>
    <mergeCell ref="LJN1:LJX1"/>
    <mergeCell ref="LEW1:LFG1"/>
    <mergeCell ref="LFH1:LFR1"/>
    <mergeCell ref="LFS1:LGC1"/>
    <mergeCell ref="LGD1:LGN1"/>
    <mergeCell ref="LGO1:LGY1"/>
    <mergeCell ref="LGZ1:LHJ1"/>
    <mergeCell ref="LRO1:LRY1"/>
    <mergeCell ref="LRZ1:LSJ1"/>
    <mergeCell ref="LSK1:LSU1"/>
    <mergeCell ref="LSV1:LTF1"/>
    <mergeCell ref="LTG1:LTQ1"/>
    <mergeCell ref="LTR1:LUB1"/>
    <mergeCell ref="LPA1:LPK1"/>
    <mergeCell ref="LPL1:LPV1"/>
    <mergeCell ref="LPW1:LQG1"/>
    <mergeCell ref="LQH1:LQR1"/>
    <mergeCell ref="LQS1:LRC1"/>
    <mergeCell ref="LRD1:LRN1"/>
    <mergeCell ref="LMM1:LMW1"/>
    <mergeCell ref="LMX1:LNH1"/>
    <mergeCell ref="LNI1:LNS1"/>
    <mergeCell ref="LNT1:LOD1"/>
    <mergeCell ref="LOE1:LOO1"/>
    <mergeCell ref="LOP1:LOZ1"/>
    <mergeCell ref="LZE1:LZO1"/>
    <mergeCell ref="LZP1:LZZ1"/>
    <mergeCell ref="MAA1:MAK1"/>
    <mergeCell ref="MAL1:MAV1"/>
    <mergeCell ref="MAW1:MBG1"/>
    <mergeCell ref="MBH1:MBR1"/>
    <mergeCell ref="LWQ1:LXA1"/>
    <mergeCell ref="LXB1:LXL1"/>
    <mergeCell ref="LXM1:LXW1"/>
    <mergeCell ref="LXX1:LYH1"/>
    <mergeCell ref="LYI1:LYS1"/>
    <mergeCell ref="LYT1:LZD1"/>
    <mergeCell ref="LUC1:LUM1"/>
    <mergeCell ref="LUN1:LUX1"/>
    <mergeCell ref="LUY1:LVI1"/>
    <mergeCell ref="LVJ1:LVT1"/>
    <mergeCell ref="LVU1:LWE1"/>
    <mergeCell ref="LWF1:LWP1"/>
    <mergeCell ref="MGU1:MHE1"/>
    <mergeCell ref="MHF1:MHP1"/>
    <mergeCell ref="MHQ1:MIA1"/>
    <mergeCell ref="MIB1:MIL1"/>
    <mergeCell ref="MIM1:MIW1"/>
    <mergeCell ref="MIX1:MJH1"/>
    <mergeCell ref="MEG1:MEQ1"/>
    <mergeCell ref="MER1:MFB1"/>
    <mergeCell ref="MFC1:MFM1"/>
    <mergeCell ref="MFN1:MFX1"/>
    <mergeCell ref="MFY1:MGI1"/>
    <mergeCell ref="MGJ1:MGT1"/>
    <mergeCell ref="MBS1:MCC1"/>
    <mergeCell ref="MCD1:MCN1"/>
    <mergeCell ref="MCO1:MCY1"/>
    <mergeCell ref="MCZ1:MDJ1"/>
    <mergeCell ref="MDK1:MDU1"/>
    <mergeCell ref="MDV1:MEF1"/>
    <mergeCell ref="MOK1:MOU1"/>
    <mergeCell ref="MOV1:MPF1"/>
    <mergeCell ref="MPG1:MPQ1"/>
    <mergeCell ref="MPR1:MQB1"/>
    <mergeCell ref="MQC1:MQM1"/>
    <mergeCell ref="MQN1:MQX1"/>
    <mergeCell ref="MLW1:MMG1"/>
    <mergeCell ref="MMH1:MMR1"/>
    <mergeCell ref="MMS1:MNC1"/>
    <mergeCell ref="MND1:MNN1"/>
    <mergeCell ref="MNO1:MNY1"/>
    <mergeCell ref="MNZ1:MOJ1"/>
    <mergeCell ref="MJI1:MJS1"/>
    <mergeCell ref="MJT1:MKD1"/>
    <mergeCell ref="MKE1:MKO1"/>
    <mergeCell ref="MKP1:MKZ1"/>
    <mergeCell ref="MLA1:MLK1"/>
    <mergeCell ref="MLL1:MLV1"/>
    <mergeCell ref="MWA1:MWK1"/>
    <mergeCell ref="MWL1:MWV1"/>
    <mergeCell ref="MWW1:MXG1"/>
    <mergeCell ref="MXH1:MXR1"/>
    <mergeCell ref="MXS1:MYC1"/>
    <mergeCell ref="MYD1:MYN1"/>
    <mergeCell ref="MTM1:MTW1"/>
    <mergeCell ref="MTX1:MUH1"/>
    <mergeCell ref="MUI1:MUS1"/>
    <mergeCell ref="MUT1:MVD1"/>
    <mergeCell ref="MVE1:MVO1"/>
    <mergeCell ref="MVP1:MVZ1"/>
    <mergeCell ref="MQY1:MRI1"/>
    <mergeCell ref="MRJ1:MRT1"/>
    <mergeCell ref="MRU1:MSE1"/>
    <mergeCell ref="MSF1:MSP1"/>
    <mergeCell ref="MSQ1:MTA1"/>
    <mergeCell ref="MTB1:MTL1"/>
    <mergeCell ref="NDQ1:NEA1"/>
    <mergeCell ref="NEB1:NEL1"/>
    <mergeCell ref="NEM1:NEW1"/>
    <mergeCell ref="NEX1:NFH1"/>
    <mergeCell ref="NFI1:NFS1"/>
    <mergeCell ref="NFT1:NGD1"/>
    <mergeCell ref="NBC1:NBM1"/>
    <mergeCell ref="NBN1:NBX1"/>
    <mergeCell ref="NBY1:NCI1"/>
    <mergeCell ref="NCJ1:NCT1"/>
    <mergeCell ref="NCU1:NDE1"/>
    <mergeCell ref="NDF1:NDP1"/>
    <mergeCell ref="MYO1:MYY1"/>
    <mergeCell ref="MYZ1:MZJ1"/>
    <mergeCell ref="MZK1:MZU1"/>
    <mergeCell ref="MZV1:NAF1"/>
    <mergeCell ref="NAG1:NAQ1"/>
    <mergeCell ref="NAR1:NBB1"/>
    <mergeCell ref="NLG1:NLQ1"/>
    <mergeCell ref="NLR1:NMB1"/>
    <mergeCell ref="NMC1:NMM1"/>
    <mergeCell ref="NMN1:NMX1"/>
    <mergeCell ref="NMY1:NNI1"/>
    <mergeCell ref="NNJ1:NNT1"/>
    <mergeCell ref="NIS1:NJC1"/>
    <mergeCell ref="NJD1:NJN1"/>
    <mergeCell ref="NJO1:NJY1"/>
    <mergeCell ref="NJZ1:NKJ1"/>
    <mergeCell ref="NKK1:NKU1"/>
    <mergeCell ref="NKV1:NLF1"/>
    <mergeCell ref="NGE1:NGO1"/>
    <mergeCell ref="NGP1:NGZ1"/>
    <mergeCell ref="NHA1:NHK1"/>
    <mergeCell ref="NHL1:NHV1"/>
    <mergeCell ref="NHW1:NIG1"/>
    <mergeCell ref="NIH1:NIR1"/>
    <mergeCell ref="NSW1:NTG1"/>
    <mergeCell ref="NTH1:NTR1"/>
    <mergeCell ref="NTS1:NUC1"/>
    <mergeCell ref="NUD1:NUN1"/>
    <mergeCell ref="NUO1:NUY1"/>
    <mergeCell ref="NUZ1:NVJ1"/>
    <mergeCell ref="NQI1:NQS1"/>
    <mergeCell ref="NQT1:NRD1"/>
    <mergeCell ref="NRE1:NRO1"/>
    <mergeCell ref="NRP1:NRZ1"/>
    <mergeCell ref="NSA1:NSK1"/>
    <mergeCell ref="NSL1:NSV1"/>
    <mergeCell ref="NNU1:NOE1"/>
    <mergeCell ref="NOF1:NOP1"/>
    <mergeCell ref="NOQ1:NPA1"/>
    <mergeCell ref="NPB1:NPL1"/>
    <mergeCell ref="NPM1:NPW1"/>
    <mergeCell ref="NPX1:NQH1"/>
    <mergeCell ref="OAM1:OAW1"/>
    <mergeCell ref="OAX1:OBH1"/>
    <mergeCell ref="OBI1:OBS1"/>
    <mergeCell ref="OBT1:OCD1"/>
    <mergeCell ref="OCE1:OCO1"/>
    <mergeCell ref="OCP1:OCZ1"/>
    <mergeCell ref="NXY1:NYI1"/>
    <mergeCell ref="NYJ1:NYT1"/>
    <mergeCell ref="NYU1:NZE1"/>
    <mergeCell ref="NZF1:NZP1"/>
    <mergeCell ref="NZQ1:OAA1"/>
    <mergeCell ref="OAB1:OAL1"/>
    <mergeCell ref="NVK1:NVU1"/>
    <mergeCell ref="NVV1:NWF1"/>
    <mergeCell ref="NWG1:NWQ1"/>
    <mergeCell ref="NWR1:NXB1"/>
    <mergeCell ref="NXC1:NXM1"/>
    <mergeCell ref="NXN1:NXX1"/>
    <mergeCell ref="OIC1:OIM1"/>
    <mergeCell ref="OIN1:OIX1"/>
    <mergeCell ref="OIY1:OJI1"/>
    <mergeCell ref="OJJ1:OJT1"/>
    <mergeCell ref="OJU1:OKE1"/>
    <mergeCell ref="OKF1:OKP1"/>
    <mergeCell ref="OFO1:OFY1"/>
    <mergeCell ref="OFZ1:OGJ1"/>
    <mergeCell ref="OGK1:OGU1"/>
    <mergeCell ref="OGV1:OHF1"/>
    <mergeCell ref="OHG1:OHQ1"/>
    <mergeCell ref="OHR1:OIB1"/>
    <mergeCell ref="ODA1:ODK1"/>
    <mergeCell ref="ODL1:ODV1"/>
    <mergeCell ref="ODW1:OEG1"/>
    <mergeCell ref="OEH1:OER1"/>
    <mergeCell ref="OES1:OFC1"/>
    <mergeCell ref="OFD1:OFN1"/>
    <mergeCell ref="OPS1:OQC1"/>
    <mergeCell ref="OQD1:OQN1"/>
    <mergeCell ref="OQO1:OQY1"/>
    <mergeCell ref="OQZ1:ORJ1"/>
    <mergeCell ref="ORK1:ORU1"/>
    <mergeCell ref="ORV1:OSF1"/>
    <mergeCell ref="ONE1:ONO1"/>
    <mergeCell ref="ONP1:ONZ1"/>
    <mergeCell ref="OOA1:OOK1"/>
    <mergeCell ref="OOL1:OOV1"/>
    <mergeCell ref="OOW1:OPG1"/>
    <mergeCell ref="OPH1:OPR1"/>
    <mergeCell ref="OKQ1:OLA1"/>
    <mergeCell ref="OLB1:OLL1"/>
    <mergeCell ref="OLM1:OLW1"/>
    <mergeCell ref="OLX1:OMH1"/>
    <mergeCell ref="OMI1:OMS1"/>
    <mergeCell ref="OMT1:OND1"/>
    <mergeCell ref="OXI1:OXS1"/>
    <mergeCell ref="OXT1:OYD1"/>
    <mergeCell ref="OYE1:OYO1"/>
    <mergeCell ref="OYP1:OYZ1"/>
    <mergeCell ref="OZA1:OZK1"/>
    <mergeCell ref="OZL1:OZV1"/>
    <mergeCell ref="OUU1:OVE1"/>
    <mergeCell ref="OVF1:OVP1"/>
    <mergeCell ref="OVQ1:OWA1"/>
    <mergeCell ref="OWB1:OWL1"/>
    <mergeCell ref="OWM1:OWW1"/>
    <mergeCell ref="OWX1:OXH1"/>
    <mergeCell ref="OSG1:OSQ1"/>
    <mergeCell ref="OSR1:OTB1"/>
    <mergeCell ref="OTC1:OTM1"/>
    <mergeCell ref="OTN1:OTX1"/>
    <mergeCell ref="OTY1:OUI1"/>
    <mergeCell ref="OUJ1:OUT1"/>
    <mergeCell ref="PEY1:PFI1"/>
    <mergeCell ref="PFJ1:PFT1"/>
    <mergeCell ref="PFU1:PGE1"/>
    <mergeCell ref="PGF1:PGP1"/>
    <mergeCell ref="PGQ1:PHA1"/>
    <mergeCell ref="PHB1:PHL1"/>
    <mergeCell ref="PCK1:PCU1"/>
    <mergeCell ref="PCV1:PDF1"/>
    <mergeCell ref="PDG1:PDQ1"/>
    <mergeCell ref="PDR1:PEB1"/>
    <mergeCell ref="PEC1:PEM1"/>
    <mergeCell ref="PEN1:PEX1"/>
    <mergeCell ref="OZW1:PAG1"/>
    <mergeCell ref="PAH1:PAR1"/>
    <mergeCell ref="PAS1:PBC1"/>
    <mergeCell ref="PBD1:PBN1"/>
    <mergeCell ref="PBO1:PBY1"/>
    <mergeCell ref="PBZ1:PCJ1"/>
    <mergeCell ref="PMO1:PMY1"/>
    <mergeCell ref="PMZ1:PNJ1"/>
    <mergeCell ref="PNK1:PNU1"/>
    <mergeCell ref="PNV1:POF1"/>
    <mergeCell ref="POG1:POQ1"/>
    <mergeCell ref="POR1:PPB1"/>
    <mergeCell ref="PKA1:PKK1"/>
    <mergeCell ref="PKL1:PKV1"/>
    <mergeCell ref="PKW1:PLG1"/>
    <mergeCell ref="PLH1:PLR1"/>
    <mergeCell ref="PLS1:PMC1"/>
    <mergeCell ref="PMD1:PMN1"/>
    <mergeCell ref="PHM1:PHW1"/>
    <mergeCell ref="PHX1:PIH1"/>
    <mergeCell ref="PII1:PIS1"/>
    <mergeCell ref="PIT1:PJD1"/>
    <mergeCell ref="PJE1:PJO1"/>
    <mergeCell ref="PJP1:PJZ1"/>
    <mergeCell ref="PUE1:PUO1"/>
    <mergeCell ref="PUP1:PUZ1"/>
    <mergeCell ref="PVA1:PVK1"/>
    <mergeCell ref="PVL1:PVV1"/>
    <mergeCell ref="PVW1:PWG1"/>
    <mergeCell ref="PWH1:PWR1"/>
    <mergeCell ref="PRQ1:PSA1"/>
    <mergeCell ref="PSB1:PSL1"/>
    <mergeCell ref="PSM1:PSW1"/>
    <mergeCell ref="PSX1:PTH1"/>
    <mergeCell ref="PTI1:PTS1"/>
    <mergeCell ref="PTT1:PUD1"/>
    <mergeCell ref="PPC1:PPM1"/>
    <mergeCell ref="PPN1:PPX1"/>
    <mergeCell ref="PPY1:PQI1"/>
    <mergeCell ref="PQJ1:PQT1"/>
    <mergeCell ref="PQU1:PRE1"/>
    <mergeCell ref="PRF1:PRP1"/>
    <mergeCell ref="QBU1:QCE1"/>
    <mergeCell ref="QCF1:QCP1"/>
    <mergeCell ref="QCQ1:QDA1"/>
    <mergeCell ref="QDB1:QDL1"/>
    <mergeCell ref="QDM1:QDW1"/>
    <mergeCell ref="QDX1:QEH1"/>
    <mergeCell ref="PZG1:PZQ1"/>
    <mergeCell ref="PZR1:QAB1"/>
    <mergeCell ref="QAC1:QAM1"/>
    <mergeCell ref="QAN1:QAX1"/>
    <mergeCell ref="QAY1:QBI1"/>
    <mergeCell ref="QBJ1:QBT1"/>
    <mergeCell ref="PWS1:PXC1"/>
    <mergeCell ref="PXD1:PXN1"/>
    <mergeCell ref="PXO1:PXY1"/>
    <mergeCell ref="PXZ1:PYJ1"/>
    <mergeCell ref="PYK1:PYU1"/>
    <mergeCell ref="PYV1:PZF1"/>
    <mergeCell ref="QJK1:QJU1"/>
    <mergeCell ref="QJV1:QKF1"/>
    <mergeCell ref="QKG1:QKQ1"/>
    <mergeCell ref="QKR1:QLB1"/>
    <mergeCell ref="QLC1:QLM1"/>
    <mergeCell ref="QLN1:QLX1"/>
    <mergeCell ref="QGW1:QHG1"/>
    <mergeCell ref="QHH1:QHR1"/>
    <mergeCell ref="QHS1:QIC1"/>
    <mergeCell ref="QID1:QIN1"/>
    <mergeCell ref="QIO1:QIY1"/>
    <mergeCell ref="QIZ1:QJJ1"/>
    <mergeCell ref="QEI1:QES1"/>
    <mergeCell ref="QET1:QFD1"/>
    <mergeCell ref="QFE1:QFO1"/>
    <mergeCell ref="QFP1:QFZ1"/>
    <mergeCell ref="QGA1:QGK1"/>
    <mergeCell ref="QGL1:QGV1"/>
    <mergeCell ref="QRA1:QRK1"/>
    <mergeCell ref="QRL1:QRV1"/>
    <mergeCell ref="QRW1:QSG1"/>
    <mergeCell ref="QSH1:QSR1"/>
    <mergeCell ref="QSS1:QTC1"/>
    <mergeCell ref="QTD1:QTN1"/>
    <mergeCell ref="QOM1:QOW1"/>
    <mergeCell ref="QOX1:QPH1"/>
    <mergeCell ref="QPI1:QPS1"/>
    <mergeCell ref="QPT1:QQD1"/>
    <mergeCell ref="QQE1:QQO1"/>
    <mergeCell ref="QQP1:QQZ1"/>
    <mergeCell ref="QLY1:QMI1"/>
    <mergeCell ref="QMJ1:QMT1"/>
    <mergeCell ref="QMU1:QNE1"/>
    <mergeCell ref="QNF1:QNP1"/>
    <mergeCell ref="QNQ1:QOA1"/>
    <mergeCell ref="QOB1:QOL1"/>
    <mergeCell ref="QYQ1:QZA1"/>
    <mergeCell ref="QZB1:QZL1"/>
    <mergeCell ref="QZM1:QZW1"/>
    <mergeCell ref="QZX1:RAH1"/>
    <mergeCell ref="RAI1:RAS1"/>
    <mergeCell ref="RAT1:RBD1"/>
    <mergeCell ref="QWC1:QWM1"/>
    <mergeCell ref="QWN1:QWX1"/>
    <mergeCell ref="QWY1:QXI1"/>
    <mergeCell ref="QXJ1:QXT1"/>
    <mergeCell ref="QXU1:QYE1"/>
    <mergeCell ref="QYF1:QYP1"/>
    <mergeCell ref="QTO1:QTY1"/>
    <mergeCell ref="QTZ1:QUJ1"/>
    <mergeCell ref="QUK1:QUU1"/>
    <mergeCell ref="QUV1:QVF1"/>
    <mergeCell ref="QVG1:QVQ1"/>
    <mergeCell ref="QVR1:QWB1"/>
    <mergeCell ref="RGG1:RGQ1"/>
    <mergeCell ref="RGR1:RHB1"/>
    <mergeCell ref="RHC1:RHM1"/>
    <mergeCell ref="RHN1:RHX1"/>
    <mergeCell ref="RHY1:RII1"/>
    <mergeCell ref="RIJ1:RIT1"/>
    <mergeCell ref="RDS1:REC1"/>
    <mergeCell ref="RED1:REN1"/>
    <mergeCell ref="REO1:REY1"/>
    <mergeCell ref="REZ1:RFJ1"/>
    <mergeCell ref="RFK1:RFU1"/>
    <mergeCell ref="RFV1:RGF1"/>
    <mergeCell ref="RBE1:RBO1"/>
    <mergeCell ref="RBP1:RBZ1"/>
    <mergeCell ref="RCA1:RCK1"/>
    <mergeCell ref="RCL1:RCV1"/>
    <mergeCell ref="RCW1:RDG1"/>
    <mergeCell ref="RDH1:RDR1"/>
    <mergeCell ref="RNW1:ROG1"/>
    <mergeCell ref="ROH1:ROR1"/>
    <mergeCell ref="ROS1:RPC1"/>
    <mergeCell ref="RPD1:RPN1"/>
    <mergeCell ref="RPO1:RPY1"/>
    <mergeCell ref="RPZ1:RQJ1"/>
    <mergeCell ref="RLI1:RLS1"/>
    <mergeCell ref="RLT1:RMD1"/>
    <mergeCell ref="RME1:RMO1"/>
    <mergeCell ref="RMP1:RMZ1"/>
    <mergeCell ref="RNA1:RNK1"/>
    <mergeCell ref="RNL1:RNV1"/>
    <mergeCell ref="RIU1:RJE1"/>
    <mergeCell ref="RJF1:RJP1"/>
    <mergeCell ref="RJQ1:RKA1"/>
    <mergeCell ref="RKB1:RKL1"/>
    <mergeCell ref="RKM1:RKW1"/>
    <mergeCell ref="RKX1:RLH1"/>
    <mergeCell ref="RVM1:RVW1"/>
    <mergeCell ref="RVX1:RWH1"/>
    <mergeCell ref="RWI1:RWS1"/>
    <mergeCell ref="RWT1:RXD1"/>
    <mergeCell ref="RXE1:RXO1"/>
    <mergeCell ref="RXP1:RXZ1"/>
    <mergeCell ref="RSY1:RTI1"/>
    <mergeCell ref="RTJ1:RTT1"/>
    <mergeCell ref="RTU1:RUE1"/>
    <mergeCell ref="RUF1:RUP1"/>
    <mergeCell ref="RUQ1:RVA1"/>
    <mergeCell ref="RVB1:RVL1"/>
    <mergeCell ref="RQK1:RQU1"/>
    <mergeCell ref="RQV1:RRF1"/>
    <mergeCell ref="RRG1:RRQ1"/>
    <mergeCell ref="RRR1:RSB1"/>
    <mergeCell ref="RSC1:RSM1"/>
    <mergeCell ref="RSN1:RSX1"/>
    <mergeCell ref="SDC1:SDM1"/>
    <mergeCell ref="SDN1:SDX1"/>
    <mergeCell ref="SDY1:SEI1"/>
    <mergeCell ref="SEJ1:SET1"/>
    <mergeCell ref="SEU1:SFE1"/>
    <mergeCell ref="SFF1:SFP1"/>
    <mergeCell ref="SAO1:SAY1"/>
    <mergeCell ref="SAZ1:SBJ1"/>
    <mergeCell ref="SBK1:SBU1"/>
    <mergeCell ref="SBV1:SCF1"/>
    <mergeCell ref="SCG1:SCQ1"/>
    <mergeCell ref="SCR1:SDB1"/>
    <mergeCell ref="RYA1:RYK1"/>
    <mergeCell ref="RYL1:RYV1"/>
    <mergeCell ref="RYW1:RZG1"/>
    <mergeCell ref="RZH1:RZR1"/>
    <mergeCell ref="RZS1:SAC1"/>
    <mergeCell ref="SAD1:SAN1"/>
    <mergeCell ref="SKS1:SLC1"/>
    <mergeCell ref="SLD1:SLN1"/>
    <mergeCell ref="SLO1:SLY1"/>
    <mergeCell ref="SLZ1:SMJ1"/>
    <mergeCell ref="SMK1:SMU1"/>
    <mergeCell ref="SMV1:SNF1"/>
    <mergeCell ref="SIE1:SIO1"/>
    <mergeCell ref="SIP1:SIZ1"/>
    <mergeCell ref="SJA1:SJK1"/>
    <mergeCell ref="SJL1:SJV1"/>
    <mergeCell ref="SJW1:SKG1"/>
    <mergeCell ref="SKH1:SKR1"/>
    <mergeCell ref="SFQ1:SGA1"/>
    <mergeCell ref="SGB1:SGL1"/>
    <mergeCell ref="SGM1:SGW1"/>
    <mergeCell ref="SGX1:SHH1"/>
    <mergeCell ref="SHI1:SHS1"/>
    <mergeCell ref="SHT1:SID1"/>
    <mergeCell ref="SSI1:SSS1"/>
    <mergeCell ref="SST1:STD1"/>
    <mergeCell ref="STE1:STO1"/>
    <mergeCell ref="STP1:STZ1"/>
    <mergeCell ref="SUA1:SUK1"/>
    <mergeCell ref="SUL1:SUV1"/>
    <mergeCell ref="SPU1:SQE1"/>
    <mergeCell ref="SQF1:SQP1"/>
    <mergeCell ref="SQQ1:SRA1"/>
    <mergeCell ref="SRB1:SRL1"/>
    <mergeCell ref="SRM1:SRW1"/>
    <mergeCell ref="SRX1:SSH1"/>
    <mergeCell ref="SNG1:SNQ1"/>
    <mergeCell ref="SNR1:SOB1"/>
    <mergeCell ref="SOC1:SOM1"/>
    <mergeCell ref="SON1:SOX1"/>
    <mergeCell ref="SOY1:SPI1"/>
    <mergeCell ref="SPJ1:SPT1"/>
    <mergeCell ref="SZY1:TAI1"/>
    <mergeCell ref="TAJ1:TAT1"/>
    <mergeCell ref="TAU1:TBE1"/>
    <mergeCell ref="TBF1:TBP1"/>
    <mergeCell ref="TBQ1:TCA1"/>
    <mergeCell ref="TCB1:TCL1"/>
    <mergeCell ref="SXK1:SXU1"/>
    <mergeCell ref="SXV1:SYF1"/>
    <mergeCell ref="SYG1:SYQ1"/>
    <mergeCell ref="SYR1:SZB1"/>
    <mergeCell ref="SZC1:SZM1"/>
    <mergeCell ref="SZN1:SZX1"/>
    <mergeCell ref="SUW1:SVG1"/>
    <mergeCell ref="SVH1:SVR1"/>
    <mergeCell ref="SVS1:SWC1"/>
    <mergeCell ref="SWD1:SWN1"/>
    <mergeCell ref="SWO1:SWY1"/>
    <mergeCell ref="SWZ1:SXJ1"/>
    <mergeCell ref="THO1:THY1"/>
    <mergeCell ref="THZ1:TIJ1"/>
    <mergeCell ref="TIK1:TIU1"/>
    <mergeCell ref="TIV1:TJF1"/>
    <mergeCell ref="TJG1:TJQ1"/>
    <mergeCell ref="TJR1:TKB1"/>
    <mergeCell ref="TFA1:TFK1"/>
    <mergeCell ref="TFL1:TFV1"/>
    <mergeCell ref="TFW1:TGG1"/>
    <mergeCell ref="TGH1:TGR1"/>
    <mergeCell ref="TGS1:THC1"/>
    <mergeCell ref="THD1:THN1"/>
    <mergeCell ref="TCM1:TCW1"/>
    <mergeCell ref="TCX1:TDH1"/>
    <mergeCell ref="TDI1:TDS1"/>
    <mergeCell ref="TDT1:TED1"/>
    <mergeCell ref="TEE1:TEO1"/>
    <mergeCell ref="TEP1:TEZ1"/>
    <mergeCell ref="TPE1:TPO1"/>
    <mergeCell ref="TPP1:TPZ1"/>
    <mergeCell ref="TQA1:TQK1"/>
    <mergeCell ref="TQL1:TQV1"/>
    <mergeCell ref="TQW1:TRG1"/>
    <mergeCell ref="TRH1:TRR1"/>
    <mergeCell ref="TMQ1:TNA1"/>
    <mergeCell ref="TNB1:TNL1"/>
    <mergeCell ref="TNM1:TNW1"/>
    <mergeCell ref="TNX1:TOH1"/>
    <mergeCell ref="TOI1:TOS1"/>
    <mergeCell ref="TOT1:TPD1"/>
    <mergeCell ref="TKC1:TKM1"/>
    <mergeCell ref="TKN1:TKX1"/>
    <mergeCell ref="TKY1:TLI1"/>
    <mergeCell ref="TLJ1:TLT1"/>
    <mergeCell ref="TLU1:TME1"/>
    <mergeCell ref="TMF1:TMP1"/>
    <mergeCell ref="TWU1:TXE1"/>
    <mergeCell ref="TXF1:TXP1"/>
    <mergeCell ref="TXQ1:TYA1"/>
    <mergeCell ref="TYB1:TYL1"/>
    <mergeCell ref="TYM1:TYW1"/>
    <mergeCell ref="TYX1:TZH1"/>
    <mergeCell ref="TUG1:TUQ1"/>
    <mergeCell ref="TUR1:TVB1"/>
    <mergeCell ref="TVC1:TVM1"/>
    <mergeCell ref="TVN1:TVX1"/>
    <mergeCell ref="TVY1:TWI1"/>
    <mergeCell ref="TWJ1:TWT1"/>
    <mergeCell ref="TRS1:TSC1"/>
    <mergeCell ref="TSD1:TSN1"/>
    <mergeCell ref="TSO1:TSY1"/>
    <mergeCell ref="TSZ1:TTJ1"/>
    <mergeCell ref="TTK1:TTU1"/>
    <mergeCell ref="TTV1:TUF1"/>
    <mergeCell ref="UEK1:UEU1"/>
    <mergeCell ref="UEV1:UFF1"/>
    <mergeCell ref="UFG1:UFQ1"/>
    <mergeCell ref="UFR1:UGB1"/>
    <mergeCell ref="UGC1:UGM1"/>
    <mergeCell ref="UGN1:UGX1"/>
    <mergeCell ref="UBW1:UCG1"/>
    <mergeCell ref="UCH1:UCR1"/>
    <mergeCell ref="UCS1:UDC1"/>
    <mergeCell ref="UDD1:UDN1"/>
    <mergeCell ref="UDO1:UDY1"/>
    <mergeCell ref="UDZ1:UEJ1"/>
    <mergeCell ref="TZI1:TZS1"/>
    <mergeCell ref="TZT1:UAD1"/>
    <mergeCell ref="UAE1:UAO1"/>
    <mergeCell ref="UAP1:UAZ1"/>
    <mergeCell ref="UBA1:UBK1"/>
    <mergeCell ref="UBL1:UBV1"/>
    <mergeCell ref="UMA1:UMK1"/>
    <mergeCell ref="UML1:UMV1"/>
    <mergeCell ref="UMW1:UNG1"/>
    <mergeCell ref="UNH1:UNR1"/>
    <mergeCell ref="UNS1:UOC1"/>
    <mergeCell ref="UOD1:UON1"/>
    <mergeCell ref="UJM1:UJW1"/>
    <mergeCell ref="UJX1:UKH1"/>
    <mergeCell ref="UKI1:UKS1"/>
    <mergeCell ref="UKT1:ULD1"/>
    <mergeCell ref="ULE1:ULO1"/>
    <mergeCell ref="ULP1:ULZ1"/>
    <mergeCell ref="UGY1:UHI1"/>
    <mergeCell ref="UHJ1:UHT1"/>
    <mergeCell ref="UHU1:UIE1"/>
    <mergeCell ref="UIF1:UIP1"/>
    <mergeCell ref="UIQ1:UJA1"/>
    <mergeCell ref="UJB1:UJL1"/>
    <mergeCell ref="UTQ1:UUA1"/>
    <mergeCell ref="UUB1:UUL1"/>
    <mergeCell ref="UUM1:UUW1"/>
    <mergeCell ref="UUX1:UVH1"/>
    <mergeCell ref="UVI1:UVS1"/>
    <mergeCell ref="UVT1:UWD1"/>
    <mergeCell ref="URC1:URM1"/>
    <mergeCell ref="URN1:URX1"/>
    <mergeCell ref="URY1:USI1"/>
    <mergeCell ref="USJ1:UST1"/>
    <mergeCell ref="USU1:UTE1"/>
    <mergeCell ref="UTF1:UTP1"/>
    <mergeCell ref="UOO1:UOY1"/>
    <mergeCell ref="UOZ1:UPJ1"/>
    <mergeCell ref="UPK1:UPU1"/>
    <mergeCell ref="UPV1:UQF1"/>
    <mergeCell ref="UQG1:UQQ1"/>
    <mergeCell ref="UQR1:URB1"/>
    <mergeCell ref="VBG1:VBQ1"/>
    <mergeCell ref="VBR1:VCB1"/>
    <mergeCell ref="VCC1:VCM1"/>
    <mergeCell ref="VCN1:VCX1"/>
    <mergeCell ref="VCY1:VDI1"/>
    <mergeCell ref="VDJ1:VDT1"/>
    <mergeCell ref="UYS1:UZC1"/>
    <mergeCell ref="UZD1:UZN1"/>
    <mergeCell ref="UZO1:UZY1"/>
    <mergeCell ref="UZZ1:VAJ1"/>
    <mergeCell ref="VAK1:VAU1"/>
    <mergeCell ref="VAV1:VBF1"/>
    <mergeCell ref="UWE1:UWO1"/>
    <mergeCell ref="UWP1:UWZ1"/>
    <mergeCell ref="UXA1:UXK1"/>
    <mergeCell ref="UXL1:UXV1"/>
    <mergeCell ref="UXW1:UYG1"/>
    <mergeCell ref="UYH1:UYR1"/>
    <mergeCell ref="VIW1:VJG1"/>
    <mergeCell ref="VJH1:VJR1"/>
    <mergeCell ref="VJS1:VKC1"/>
    <mergeCell ref="VKD1:VKN1"/>
    <mergeCell ref="VKO1:VKY1"/>
    <mergeCell ref="VKZ1:VLJ1"/>
    <mergeCell ref="VGI1:VGS1"/>
    <mergeCell ref="VGT1:VHD1"/>
    <mergeCell ref="VHE1:VHO1"/>
    <mergeCell ref="VHP1:VHZ1"/>
    <mergeCell ref="VIA1:VIK1"/>
    <mergeCell ref="VIL1:VIV1"/>
    <mergeCell ref="VDU1:VEE1"/>
    <mergeCell ref="VEF1:VEP1"/>
    <mergeCell ref="VEQ1:VFA1"/>
    <mergeCell ref="VFB1:VFL1"/>
    <mergeCell ref="VFM1:VFW1"/>
    <mergeCell ref="VFX1:VGH1"/>
    <mergeCell ref="VQM1:VQW1"/>
    <mergeCell ref="VQX1:VRH1"/>
    <mergeCell ref="VRI1:VRS1"/>
    <mergeCell ref="VRT1:VSD1"/>
    <mergeCell ref="VSE1:VSO1"/>
    <mergeCell ref="VSP1:VSZ1"/>
    <mergeCell ref="VNY1:VOI1"/>
    <mergeCell ref="VOJ1:VOT1"/>
    <mergeCell ref="VOU1:VPE1"/>
    <mergeCell ref="VPF1:VPP1"/>
    <mergeCell ref="VPQ1:VQA1"/>
    <mergeCell ref="VQB1:VQL1"/>
    <mergeCell ref="VLK1:VLU1"/>
    <mergeCell ref="VLV1:VMF1"/>
    <mergeCell ref="VMG1:VMQ1"/>
    <mergeCell ref="VMR1:VNB1"/>
    <mergeCell ref="VNC1:VNM1"/>
    <mergeCell ref="VNN1:VNX1"/>
    <mergeCell ref="VYC1:VYM1"/>
    <mergeCell ref="VYN1:VYX1"/>
    <mergeCell ref="VYY1:VZI1"/>
    <mergeCell ref="VZJ1:VZT1"/>
    <mergeCell ref="VZU1:WAE1"/>
    <mergeCell ref="WAF1:WAP1"/>
    <mergeCell ref="VVO1:VVY1"/>
    <mergeCell ref="VVZ1:VWJ1"/>
    <mergeCell ref="VWK1:VWU1"/>
    <mergeCell ref="VWV1:VXF1"/>
    <mergeCell ref="VXG1:VXQ1"/>
    <mergeCell ref="VXR1:VYB1"/>
    <mergeCell ref="VTA1:VTK1"/>
    <mergeCell ref="VTL1:VTV1"/>
    <mergeCell ref="VTW1:VUG1"/>
    <mergeCell ref="VUH1:VUR1"/>
    <mergeCell ref="VUS1:VVC1"/>
    <mergeCell ref="VVD1:VVN1"/>
    <mergeCell ref="WFS1:WGC1"/>
    <mergeCell ref="WGD1:WGN1"/>
    <mergeCell ref="WGO1:WGY1"/>
    <mergeCell ref="WGZ1:WHJ1"/>
    <mergeCell ref="WHK1:WHU1"/>
    <mergeCell ref="WHV1:WIF1"/>
    <mergeCell ref="WDE1:WDO1"/>
    <mergeCell ref="WDP1:WDZ1"/>
    <mergeCell ref="WEA1:WEK1"/>
    <mergeCell ref="WEL1:WEV1"/>
    <mergeCell ref="WEW1:WFG1"/>
    <mergeCell ref="WFH1:WFR1"/>
    <mergeCell ref="WAQ1:WBA1"/>
    <mergeCell ref="WBB1:WBL1"/>
    <mergeCell ref="WBM1:WBW1"/>
    <mergeCell ref="WBX1:WCH1"/>
    <mergeCell ref="WCI1:WCS1"/>
    <mergeCell ref="WCT1:WDD1"/>
    <mergeCell ref="WNI1:WNS1"/>
    <mergeCell ref="WNT1:WOD1"/>
    <mergeCell ref="WOE1:WOO1"/>
    <mergeCell ref="WOP1:WOZ1"/>
    <mergeCell ref="WPA1:WPK1"/>
    <mergeCell ref="WPL1:WPV1"/>
    <mergeCell ref="WKU1:WLE1"/>
    <mergeCell ref="WLF1:WLP1"/>
    <mergeCell ref="WLQ1:WMA1"/>
    <mergeCell ref="WMB1:WML1"/>
    <mergeCell ref="WMM1:WMW1"/>
    <mergeCell ref="WMX1:WNH1"/>
    <mergeCell ref="WIG1:WIQ1"/>
    <mergeCell ref="WIR1:WJB1"/>
    <mergeCell ref="WJC1:WJM1"/>
    <mergeCell ref="WJN1:WJX1"/>
    <mergeCell ref="WJY1:WKI1"/>
    <mergeCell ref="WKJ1:WKT1"/>
    <mergeCell ref="WUY1:WVI1"/>
    <mergeCell ref="WVJ1:WVT1"/>
    <mergeCell ref="WVU1:WWE1"/>
    <mergeCell ref="WWF1:WWP1"/>
    <mergeCell ref="WWQ1:WXA1"/>
    <mergeCell ref="WXB1:WXL1"/>
    <mergeCell ref="WSK1:WSU1"/>
    <mergeCell ref="WSV1:WTF1"/>
    <mergeCell ref="WTG1:WTQ1"/>
    <mergeCell ref="WTR1:WUB1"/>
    <mergeCell ref="WUC1:WUM1"/>
    <mergeCell ref="WUN1:WUX1"/>
    <mergeCell ref="WPW1:WQG1"/>
    <mergeCell ref="WQH1:WQR1"/>
    <mergeCell ref="WQS1:WRC1"/>
    <mergeCell ref="WRD1:WRN1"/>
    <mergeCell ref="WRO1:WRY1"/>
    <mergeCell ref="WRZ1:WSJ1"/>
    <mergeCell ref="XCO1:XCY1"/>
    <mergeCell ref="XCZ1:XDJ1"/>
    <mergeCell ref="XDK1:XDU1"/>
    <mergeCell ref="XDV1:XEF1"/>
    <mergeCell ref="XEG1:XEQ1"/>
    <mergeCell ref="XER1:XEV1"/>
    <mergeCell ref="XAA1:XAK1"/>
    <mergeCell ref="XAL1:XAV1"/>
    <mergeCell ref="XAW1:XBG1"/>
    <mergeCell ref="XBH1:XBR1"/>
    <mergeCell ref="XBS1:XCC1"/>
    <mergeCell ref="XCD1:XCN1"/>
    <mergeCell ref="WXM1:WXW1"/>
    <mergeCell ref="WXX1:WYH1"/>
    <mergeCell ref="WYI1:WYS1"/>
    <mergeCell ref="WYT1:WZD1"/>
    <mergeCell ref="WZE1:WZO1"/>
    <mergeCell ref="WZP1:WZZ1"/>
  </mergeCells>
  <pageMargins left="0.25" right="0.25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1"/>
  <sheetViews>
    <sheetView showGridLines="0" zoomScale="78" zoomScaleNormal="78" workbookViewId="0">
      <selection activeCell="A7" sqref="A7"/>
    </sheetView>
  </sheetViews>
  <sheetFormatPr defaultColWidth="1.125" defaultRowHeight="20.100000000000001" customHeight="1" x14ac:dyDescent="0.25"/>
  <cols>
    <col min="1" max="1" width="100.125" style="151" customWidth="1"/>
    <col min="2" max="2" width="10" style="151" customWidth="1"/>
    <col min="3" max="3" width="11.25" style="151" customWidth="1"/>
    <col min="4" max="16375" width="0" style="151" hidden="1" customWidth="1"/>
    <col min="16376" max="16376" width="0.75" style="151" hidden="1" customWidth="1"/>
    <col min="16377" max="16383" width="0" style="151" hidden="1" customWidth="1"/>
    <col min="16384" max="16384" width="2.25" style="151" hidden="1" customWidth="1"/>
  </cols>
  <sheetData>
    <row r="1" spans="1:16376" s="143" customFormat="1" ht="20.100000000000001" customHeight="1" x14ac:dyDescent="0.25">
      <c r="A1" s="347" t="s">
        <v>1810</v>
      </c>
      <c r="B1" s="348"/>
      <c r="C1" s="348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536"/>
      <c r="BZ1" s="536"/>
      <c r="CA1" s="536"/>
      <c r="CB1" s="536"/>
      <c r="CC1" s="536"/>
      <c r="CD1" s="536"/>
      <c r="CE1" s="536"/>
      <c r="CF1" s="536"/>
      <c r="CG1" s="536"/>
      <c r="CH1" s="536"/>
      <c r="CI1" s="536"/>
      <c r="CJ1" s="536"/>
      <c r="CK1" s="536"/>
      <c r="CL1" s="536"/>
      <c r="CM1" s="536"/>
      <c r="CN1" s="536"/>
      <c r="CO1" s="536"/>
      <c r="CP1" s="536"/>
      <c r="CQ1" s="536"/>
      <c r="CR1" s="536"/>
      <c r="CS1" s="536"/>
      <c r="CT1" s="536"/>
      <c r="CU1" s="536"/>
      <c r="CV1" s="536"/>
      <c r="CW1" s="536"/>
      <c r="CX1" s="536"/>
      <c r="CY1" s="536"/>
      <c r="CZ1" s="536"/>
      <c r="DA1" s="536"/>
      <c r="DB1" s="536"/>
      <c r="DC1" s="536"/>
      <c r="DD1" s="536"/>
      <c r="DE1" s="536"/>
      <c r="DF1" s="536"/>
      <c r="DG1" s="536"/>
      <c r="DH1" s="536"/>
      <c r="DI1" s="536"/>
      <c r="DJ1" s="536"/>
      <c r="DK1" s="536"/>
      <c r="DL1" s="536"/>
      <c r="DM1" s="536"/>
      <c r="DN1" s="536"/>
      <c r="DO1" s="536"/>
      <c r="DP1" s="536"/>
      <c r="DQ1" s="536"/>
      <c r="DR1" s="536"/>
      <c r="DS1" s="536"/>
      <c r="DT1" s="536"/>
      <c r="DU1" s="536"/>
      <c r="DV1" s="536"/>
      <c r="DW1" s="536"/>
      <c r="DX1" s="536"/>
      <c r="DY1" s="536"/>
      <c r="DZ1" s="536"/>
      <c r="EA1" s="536"/>
      <c r="EB1" s="536"/>
      <c r="EC1" s="536"/>
      <c r="ED1" s="536"/>
      <c r="EE1" s="536"/>
      <c r="EF1" s="536"/>
      <c r="EG1" s="536"/>
      <c r="EH1" s="536"/>
      <c r="EI1" s="536"/>
      <c r="EJ1" s="536"/>
      <c r="EK1" s="536"/>
      <c r="EL1" s="536"/>
      <c r="EM1" s="536"/>
      <c r="EN1" s="536"/>
      <c r="EO1" s="536"/>
      <c r="EP1" s="536"/>
      <c r="EQ1" s="536"/>
      <c r="ER1" s="536"/>
      <c r="ES1" s="536"/>
      <c r="ET1" s="536"/>
      <c r="EU1" s="536"/>
      <c r="EV1" s="536"/>
      <c r="EW1" s="536"/>
      <c r="EX1" s="536"/>
      <c r="EY1" s="536"/>
      <c r="EZ1" s="536"/>
      <c r="FA1" s="536"/>
      <c r="FB1" s="536"/>
      <c r="FC1" s="536"/>
      <c r="FD1" s="536"/>
      <c r="FE1" s="536"/>
      <c r="FF1" s="536"/>
      <c r="FG1" s="536"/>
      <c r="FH1" s="536"/>
      <c r="FI1" s="536"/>
      <c r="FJ1" s="536"/>
      <c r="FK1" s="536"/>
      <c r="FL1" s="536"/>
      <c r="FM1" s="536"/>
      <c r="FN1" s="536"/>
      <c r="FO1" s="536"/>
      <c r="FP1" s="536"/>
      <c r="FQ1" s="536"/>
      <c r="FR1" s="536"/>
      <c r="FS1" s="536"/>
      <c r="FT1" s="536"/>
      <c r="FU1" s="536"/>
      <c r="FV1" s="536"/>
      <c r="FW1" s="536"/>
      <c r="FX1" s="536"/>
      <c r="FY1" s="536"/>
      <c r="FZ1" s="536"/>
      <c r="GA1" s="536"/>
      <c r="GB1" s="536"/>
      <c r="GC1" s="536"/>
      <c r="GD1" s="536"/>
      <c r="GE1" s="536"/>
      <c r="GF1" s="536"/>
      <c r="GG1" s="536"/>
      <c r="GH1" s="536"/>
      <c r="GI1" s="536"/>
      <c r="GJ1" s="536"/>
      <c r="GK1" s="536"/>
      <c r="GL1" s="536"/>
      <c r="GM1" s="536"/>
      <c r="GN1" s="536"/>
      <c r="GO1" s="536"/>
      <c r="GP1" s="536"/>
      <c r="GQ1" s="536"/>
      <c r="GR1" s="536"/>
      <c r="GS1" s="536"/>
      <c r="GT1" s="536"/>
      <c r="GU1" s="536"/>
      <c r="GV1" s="536"/>
      <c r="GW1" s="536"/>
      <c r="GX1" s="536"/>
      <c r="GY1" s="536"/>
      <c r="GZ1" s="536"/>
      <c r="HA1" s="536"/>
      <c r="HB1" s="536"/>
      <c r="HC1" s="536"/>
      <c r="HD1" s="536"/>
      <c r="HE1" s="536"/>
      <c r="HF1" s="536"/>
      <c r="HG1" s="536"/>
      <c r="HH1" s="536"/>
      <c r="HI1" s="536"/>
      <c r="HJ1" s="536"/>
      <c r="HK1" s="536"/>
      <c r="HL1" s="536"/>
      <c r="HM1" s="536"/>
      <c r="HN1" s="536"/>
      <c r="HO1" s="536"/>
      <c r="HP1" s="536"/>
      <c r="HQ1" s="536"/>
      <c r="HR1" s="536"/>
      <c r="HS1" s="536"/>
      <c r="HT1" s="536"/>
      <c r="HU1" s="536"/>
      <c r="HV1" s="536"/>
      <c r="HW1" s="536"/>
      <c r="HX1" s="536"/>
      <c r="HY1" s="536"/>
      <c r="HZ1" s="536"/>
      <c r="IA1" s="536"/>
      <c r="IB1" s="536"/>
      <c r="IC1" s="536"/>
      <c r="ID1" s="536"/>
      <c r="IE1" s="536"/>
      <c r="IF1" s="536"/>
      <c r="IG1" s="536"/>
      <c r="IH1" s="536"/>
      <c r="II1" s="536"/>
      <c r="IJ1" s="536"/>
      <c r="IK1" s="536"/>
      <c r="IL1" s="536"/>
      <c r="IM1" s="536"/>
      <c r="IN1" s="536"/>
      <c r="IO1" s="536"/>
      <c r="IP1" s="536"/>
      <c r="IQ1" s="536"/>
      <c r="IR1" s="536"/>
      <c r="IS1" s="536"/>
      <c r="IT1" s="536"/>
      <c r="IU1" s="536"/>
      <c r="IV1" s="536"/>
      <c r="IW1" s="536"/>
      <c r="IX1" s="536"/>
      <c r="IY1" s="536"/>
      <c r="IZ1" s="536"/>
      <c r="JA1" s="536"/>
      <c r="JB1" s="536"/>
      <c r="JC1" s="536"/>
      <c r="JD1" s="536"/>
      <c r="JE1" s="536"/>
      <c r="JF1" s="536"/>
      <c r="JG1" s="536"/>
      <c r="JH1" s="536"/>
      <c r="JI1" s="536"/>
      <c r="JJ1" s="536"/>
      <c r="JK1" s="536"/>
      <c r="JL1" s="536"/>
      <c r="JM1" s="536"/>
      <c r="JN1" s="536"/>
      <c r="JO1" s="536"/>
      <c r="JP1" s="536"/>
      <c r="JQ1" s="536"/>
      <c r="JR1" s="536"/>
      <c r="JS1" s="536"/>
      <c r="JT1" s="536"/>
      <c r="JU1" s="536"/>
      <c r="JV1" s="536"/>
      <c r="JW1" s="536"/>
      <c r="JX1" s="536"/>
      <c r="JY1" s="536"/>
      <c r="JZ1" s="536"/>
      <c r="KA1" s="536"/>
      <c r="KB1" s="536"/>
      <c r="KC1" s="536"/>
      <c r="KD1" s="536"/>
      <c r="KE1" s="536"/>
      <c r="KF1" s="536"/>
      <c r="KG1" s="536"/>
      <c r="KH1" s="536"/>
      <c r="KI1" s="536"/>
      <c r="KJ1" s="536"/>
      <c r="KK1" s="536"/>
      <c r="KL1" s="536"/>
      <c r="KM1" s="536"/>
      <c r="KN1" s="536"/>
      <c r="KO1" s="536"/>
      <c r="KP1" s="536"/>
      <c r="KQ1" s="536"/>
      <c r="KR1" s="536"/>
      <c r="KS1" s="536"/>
      <c r="KT1" s="536"/>
      <c r="KU1" s="536"/>
      <c r="KV1" s="536"/>
      <c r="KW1" s="536"/>
      <c r="KX1" s="536"/>
      <c r="KY1" s="536"/>
      <c r="KZ1" s="536"/>
      <c r="LA1" s="536"/>
      <c r="LB1" s="536"/>
      <c r="LC1" s="536"/>
      <c r="LD1" s="536"/>
      <c r="LE1" s="536"/>
      <c r="LF1" s="536"/>
      <c r="LG1" s="536"/>
      <c r="LH1" s="536"/>
      <c r="LI1" s="536"/>
      <c r="LJ1" s="536"/>
      <c r="LK1" s="536"/>
      <c r="LL1" s="536"/>
      <c r="LM1" s="536"/>
      <c r="LN1" s="536"/>
      <c r="LO1" s="536"/>
      <c r="LP1" s="536"/>
      <c r="LQ1" s="536"/>
      <c r="LR1" s="536"/>
      <c r="LS1" s="536"/>
      <c r="LT1" s="536"/>
      <c r="LU1" s="536"/>
      <c r="LV1" s="536"/>
      <c r="LW1" s="536"/>
      <c r="LX1" s="536"/>
      <c r="LY1" s="536"/>
      <c r="LZ1" s="536"/>
      <c r="MA1" s="536"/>
      <c r="MB1" s="536"/>
      <c r="MC1" s="536"/>
      <c r="MD1" s="536"/>
      <c r="ME1" s="536"/>
      <c r="MF1" s="536"/>
      <c r="MG1" s="536"/>
      <c r="MH1" s="536"/>
      <c r="MI1" s="536"/>
      <c r="MJ1" s="536"/>
      <c r="MK1" s="536"/>
      <c r="ML1" s="536"/>
      <c r="MM1" s="536"/>
      <c r="MN1" s="536"/>
      <c r="MO1" s="536"/>
      <c r="MP1" s="536"/>
      <c r="MQ1" s="536"/>
      <c r="MR1" s="536"/>
      <c r="MS1" s="536"/>
      <c r="MT1" s="536"/>
      <c r="MU1" s="536"/>
      <c r="MV1" s="536"/>
      <c r="MW1" s="536"/>
      <c r="MX1" s="536"/>
      <c r="MY1" s="536"/>
      <c r="MZ1" s="536"/>
      <c r="NA1" s="536"/>
      <c r="NB1" s="536"/>
      <c r="NC1" s="536"/>
      <c r="ND1" s="536"/>
      <c r="NE1" s="536"/>
      <c r="NF1" s="536"/>
      <c r="NG1" s="536"/>
      <c r="NH1" s="536"/>
      <c r="NI1" s="536"/>
      <c r="NJ1" s="536"/>
      <c r="NK1" s="536"/>
      <c r="NL1" s="536"/>
      <c r="NM1" s="536"/>
      <c r="NN1" s="536"/>
      <c r="NO1" s="536"/>
      <c r="NP1" s="536"/>
      <c r="NQ1" s="536"/>
      <c r="NR1" s="536"/>
      <c r="NS1" s="536"/>
      <c r="NT1" s="536"/>
      <c r="NU1" s="536"/>
      <c r="NV1" s="536"/>
      <c r="NW1" s="536"/>
      <c r="NX1" s="536"/>
      <c r="NY1" s="536"/>
      <c r="NZ1" s="536"/>
      <c r="OA1" s="536"/>
      <c r="OB1" s="536"/>
      <c r="OC1" s="536"/>
      <c r="OD1" s="536"/>
      <c r="OE1" s="536"/>
      <c r="OF1" s="536"/>
      <c r="OG1" s="536"/>
      <c r="OH1" s="536"/>
      <c r="OI1" s="536"/>
      <c r="OJ1" s="536"/>
      <c r="OK1" s="536"/>
      <c r="OL1" s="536"/>
      <c r="OM1" s="536"/>
      <c r="ON1" s="536"/>
      <c r="OO1" s="536"/>
      <c r="OP1" s="536"/>
      <c r="OQ1" s="536"/>
      <c r="OR1" s="536"/>
      <c r="OS1" s="536"/>
      <c r="OT1" s="536"/>
      <c r="OU1" s="536"/>
      <c r="OV1" s="536"/>
      <c r="OW1" s="536"/>
      <c r="OX1" s="536"/>
      <c r="OY1" s="536"/>
      <c r="OZ1" s="536"/>
      <c r="PA1" s="536"/>
      <c r="PB1" s="536"/>
      <c r="PC1" s="536"/>
      <c r="PD1" s="536"/>
      <c r="PE1" s="536"/>
      <c r="PF1" s="536"/>
      <c r="PG1" s="536"/>
      <c r="PH1" s="536"/>
      <c r="PI1" s="536"/>
      <c r="PJ1" s="536"/>
      <c r="PK1" s="536"/>
      <c r="PL1" s="536"/>
      <c r="PM1" s="536"/>
      <c r="PN1" s="536"/>
      <c r="PO1" s="536"/>
      <c r="PP1" s="536"/>
      <c r="PQ1" s="536"/>
      <c r="PR1" s="536"/>
      <c r="PS1" s="536"/>
      <c r="PT1" s="536"/>
      <c r="PU1" s="536"/>
      <c r="PV1" s="536"/>
      <c r="PW1" s="536"/>
      <c r="PX1" s="536"/>
      <c r="PY1" s="536"/>
      <c r="PZ1" s="536"/>
      <c r="QA1" s="536"/>
      <c r="QB1" s="536"/>
      <c r="QC1" s="536"/>
      <c r="QD1" s="536"/>
      <c r="QE1" s="536"/>
      <c r="QF1" s="536"/>
      <c r="QG1" s="536"/>
      <c r="QH1" s="536"/>
      <c r="QI1" s="536"/>
      <c r="QJ1" s="536"/>
      <c r="QK1" s="536"/>
      <c r="QL1" s="536"/>
      <c r="QM1" s="536"/>
      <c r="QN1" s="536"/>
      <c r="QO1" s="536"/>
      <c r="QP1" s="536"/>
      <c r="QQ1" s="536"/>
      <c r="QR1" s="536"/>
      <c r="QS1" s="536"/>
      <c r="QT1" s="536"/>
      <c r="QU1" s="536"/>
      <c r="QV1" s="536"/>
      <c r="QW1" s="536"/>
      <c r="QX1" s="536"/>
      <c r="QY1" s="536"/>
      <c r="QZ1" s="536"/>
      <c r="RA1" s="536"/>
      <c r="RB1" s="536"/>
      <c r="RC1" s="536"/>
      <c r="RD1" s="536"/>
      <c r="RE1" s="536"/>
      <c r="RF1" s="536"/>
      <c r="RG1" s="536"/>
      <c r="RH1" s="536"/>
      <c r="RI1" s="536"/>
      <c r="RJ1" s="536"/>
      <c r="RK1" s="536"/>
      <c r="RL1" s="536"/>
      <c r="RM1" s="536"/>
      <c r="RN1" s="536"/>
      <c r="RO1" s="536"/>
      <c r="RP1" s="536"/>
      <c r="RQ1" s="536"/>
      <c r="RR1" s="536"/>
      <c r="RS1" s="536"/>
      <c r="RT1" s="536"/>
      <c r="RU1" s="536"/>
      <c r="RV1" s="536"/>
      <c r="RW1" s="536"/>
      <c r="RX1" s="536"/>
      <c r="RY1" s="536"/>
      <c r="RZ1" s="536"/>
      <c r="SA1" s="536"/>
      <c r="SB1" s="536"/>
      <c r="SC1" s="536"/>
      <c r="SD1" s="536"/>
      <c r="SE1" s="536"/>
      <c r="SF1" s="536"/>
      <c r="SG1" s="536"/>
      <c r="SH1" s="536"/>
      <c r="SI1" s="536"/>
      <c r="SJ1" s="536"/>
      <c r="SK1" s="536"/>
      <c r="SL1" s="536"/>
      <c r="SM1" s="536"/>
      <c r="SN1" s="536"/>
      <c r="SO1" s="536"/>
      <c r="SP1" s="536"/>
      <c r="SQ1" s="536"/>
      <c r="SR1" s="536"/>
      <c r="SS1" s="536"/>
      <c r="ST1" s="536"/>
      <c r="SU1" s="536"/>
      <c r="SV1" s="536"/>
      <c r="SW1" s="536"/>
      <c r="SX1" s="536"/>
      <c r="SY1" s="536"/>
      <c r="SZ1" s="536"/>
      <c r="TA1" s="536"/>
      <c r="TB1" s="536"/>
      <c r="TC1" s="536"/>
      <c r="TD1" s="536"/>
      <c r="TE1" s="536"/>
      <c r="TF1" s="536"/>
      <c r="TG1" s="536"/>
      <c r="TH1" s="536"/>
      <c r="TI1" s="536"/>
      <c r="TJ1" s="536"/>
      <c r="TK1" s="536"/>
      <c r="TL1" s="536"/>
      <c r="TM1" s="536"/>
      <c r="TN1" s="536"/>
      <c r="TO1" s="536"/>
      <c r="TP1" s="536"/>
      <c r="TQ1" s="536"/>
      <c r="TR1" s="536"/>
      <c r="TS1" s="536"/>
      <c r="TT1" s="536"/>
      <c r="TU1" s="536"/>
      <c r="TV1" s="536"/>
      <c r="TW1" s="536"/>
      <c r="TX1" s="536"/>
      <c r="TY1" s="536"/>
      <c r="TZ1" s="536"/>
      <c r="UA1" s="536"/>
      <c r="UB1" s="536"/>
      <c r="UC1" s="536"/>
      <c r="UD1" s="536"/>
      <c r="UE1" s="536"/>
      <c r="UF1" s="536"/>
      <c r="UG1" s="536"/>
      <c r="UH1" s="536"/>
      <c r="UI1" s="536"/>
      <c r="UJ1" s="536"/>
      <c r="UK1" s="536"/>
      <c r="UL1" s="536"/>
      <c r="UM1" s="536"/>
      <c r="UN1" s="536"/>
      <c r="UO1" s="536"/>
      <c r="UP1" s="536"/>
      <c r="UQ1" s="536"/>
      <c r="UR1" s="536"/>
      <c r="US1" s="536"/>
      <c r="UT1" s="536"/>
      <c r="UU1" s="536"/>
      <c r="UV1" s="536"/>
      <c r="UW1" s="536"/>
      <c r="UX1" s="536"/>
      <c r="UY1" s="536"/>
      <c r="UZ1" s="536"/>
      <c r="VA1" s="536"/>
      <c r="VB1" s="536"/>
      <c r="VC1" s="536"/>
      <c r="VD1" s="536"/>
      <c r="VE1" s="536"/>
      <c r="VF1" s="536"/>
      <c r="VG1" s="536"/>
      <c r="VH1" s="536"/>
      <c r="VI1" s="536"/>
      <c r="VJ1" s="536"/>
      <c r="VK1" s="536"/>
      <c r="VL1" s="536"/>
      <c r="VM1" s="536"/>
      <c r="VN1" s="536"/>
      <c r="VO1" s="536"/>
      <c r="VP1" s="536"/>
      <c r="VQ1" s="536"/>
      <c r="VR1" s="536"/>
      <c r="VS1" s="536"/>
      <c r="VT1" s="536"/>
      <c r="VU1" s="536"/>
      <c r="VV1" s="536"/>
      <c r="VW1" s="536"/>
      <c r="VX1" s="536"/>
      <c r="VY1" s="536"/>
      <c r="VZ1" s="536"/>
      <c r="WA1" s="536"/>
      <c r="WB1" s="536"/>
      <c r="WC1" s="536"/>
      <c r="WD1" s="536"/>
      <c r="WE1" s="536"/>
      <c r="WF1" s="536"/>
      <c r="WG1" s="536"/>
      <c r="WH1" s="536"/>
      <c r="WI1" s="536"/>
      <c r="WJ1" s="536"/>
      <c r="WK1" s="536"/>
      <c r="WL1" s="536"/>
      <c r="WM1" s="536"/>
      <c r="WN1" s="536"/>
      <c r="WO1" s="536"/>
      <c r="WP1" s="536"/>
      <c r="WQ1" s="536"/>
      <c r="WR1" s="536"/>
      <c r="WS1" s="536"/>
      <c r="WT1" s="536"/>
      <c r="WU1" s="536"/>
      <c r="WV1" s="536"/>
      <c r="WW1" s="536"/>
      <c r="WX1" s="536"/>
      <c r="WY1" s="536"/>
      <c r="WZ1" s="536"/>
      <c r="XA1" s="536"/>
      <c r="XB1" s="536"/>
      <c r="XC1" s="536"/>
      <c r="XD1" s="536"/>
      <c r="XE1" s="536"/>
      <c r="XF1" s="536"/>
      <c r="XG1" s="536"/>
      <c r="XH1" s="536"/>
      <c r="XI1" s="536"/>
      <c r="XJ1" s="536"/>
      <c r="XK1" s="536"/>
      <c r="XL1" s="536"/>
      <c r="XM1" s="536"/>
      <c r="XN1" s="536"/>
      <c r="XO1" s="536"/>
      <c r="XP1" s="536"/>
      <c r="XQ1" s="536"/>
      <c r="XR1" s="536"/>
      <c r="XS1" s="536"/>
      <c r="XT1" s="536"/>
      <c r="XU1" s="536"/>
      <c r="XV1" s="536"/>
      <c r="XW1" s="536"/>
      <c r="XX1" s="536"/>
      <c r="XY1" s="536"/>
      <c r="XZ1" s="536"/>
      <c r="YA1" s="536"/>
      <c r="YB1" s="536"/>
      <c r="YC1" s="536"/>
      <c r="YD1" s="536"/>
      <c r="YE1" s="536"/>
      <c r="YF1" s="536"/>
      <c r="YG1" s="536"/>
      <c r="YH1" s="536"/>
      <c r="YI1" s="536"/>
      <c r="YJ1" s="536"/>
      <c r="YK1" s="536"/>
      <c r="YL1" s="536"/>
      <c r="YM1" s="536"/>
      <c r="YN1" s="536"/>
      <c r="YO1" s="536"/>
      <c r="YP1" s="536"/>
      <c r="YQ1" s="536"/>
      <c r="YR1" s="536"/>
      <c r="YS1" s="536"/>
      <c r="YT1" s="536"/>
      <c r="YU1" s="536"/>
      <c r="YV1" s="536"/>
      <c r="YW1" s="536"/>
      <c r="YX1" s="536"/>
      <c r="YY1" s="536"/>
      <c r="YZ1" s="536"/>
      <c r="ZA1" s="536"/>
      <c r="ZB1" s="536"/>
      <c r="ZC1" s="536"/>
      <c r="ZD1" s="536"/>
      <c r="ZE1" s="536"/>
      <c r="ZF1" s="536"/>
      <c r="ZG1" s="536"/>
      <c r="ZH1" s="536"/>
      <c r="ZI1" s="536"/>
      <c r="ZJ1" s="536"/>
      <c r="ZK1" s="536"/>
      <c r="ZL1" s="536"/>
      <c r="ZM1" s="536"/>
      <c r="ZN1" s="536"/>
      <c r="ZO1" s="536"/>
      <c r="ZP1" s="536"/>
      <c r="ZQ1" s="536"/>
      <c r="ZR1" s="536"/>
      <c r="ZS1" s="536"/>
      <c r="ZT1" s="536"/>
      <c r="ZU1" s="536"/>
      <c r="ZV1" s="536"/>
      <c r="ZW1" s="536"/>
      <c r="ZX1" s="536"/>
      <c r="ZY1" s="536"/>
      <c r="ZZ1" s="536"/>
      <c r="AAA1" s="536"/>
      <c r="AAB1" s="536"/>
      <c r="AAC1" s="536"/>
      <c r="AAD1" s="536"/>
      <c r="AAE1" s="536"/>
      <c r="AAF1" s="536"/>
      <c r="AAG1" s="536"/>
      <c r="AAH1" s="536"/>
      <c r="AAI1" s="536"/>
      <c r="AAJ1" s="536"/>
      <c r="AAK1" s="536"/>
      <c r="AAL1" s="536"/>
      <c r="AAM1" s="536"/>
      <c r="AAN1" s="536"/>
      <c r="AAO1" s="536"/>
      <c r="AAP1" s="536"/>
      <c r="AAQ1" s="536"/>
      <c r="AAR1" s="536"/>
      <c r="AAS1" s="536"/>
      <c r="AAT1" s="536"/>
      <c r="AAU1" s="536"/>
      <c r="AAV1" s="536"/>
      <c r="AAW1" s="536"/>
      <c r="AAX1" s="536"/>
      <c r="AAY1" s="536"/>
      <c r="AAZ1" s="536"/>
      <c r="ABA1" s="536"/>
      <c r="ABB1" s="536"/>
      <c r="ABC1" s="536"/>
      <c r="ABD1" s="536"/>
      <c r="ABE1" s="536"/>
      <c r="ABF1" s="536"/>
      <c r="ABG1" s="536"/>
      <c r="ABH1" s="536"/>
      <c r="ABI1" s="536"/>
      <c r="ABJ1" s="536"/>
      <c r="ABK1" s="536"/>
      <c r="ABL1" s="536"/>
      <c r="ABM1" s="536"/>
      <c r="ABN1" s="536"/>
      <c r="ABO1" s="536"/>
      <c r="ABP1" s="536"/>
      <c r="ABQ1" s="536"/>
      <c r="ABR1" s="536"/>
      <c r="ABS1" s="536"/>
      <c r="ABT1" s="536"/>
      <c r="ABU1" s="536"/>
      <c r="ABV1" s="536"/>
      <c r="ABW1" s="536"/>
      <c r="ABX1" s="536"/>
      <c r="ABY1" s="536"/>
      <c r="ABZ1" s="536"/>
      <c r="ACA1" s="536"/>
      <c r="ACB1" s="536"/>
      <c r="ACC1" s="536"/>
      <c r="ACD1" s="536"/>
      <c r="ACE1" s="536"/>
      <c r="ACF1" s="536"/>
      <c r="ACG1" s="536"/>
      <c r="ACH1" s="536"/>
      <c r="ACI1" s="536"/>
      <c r="ACJ1" s="536"/>
      <c r="ACK1" s="536"/>
      <c r="ACL1" s="536"/>
      <c r="ACM1" s="536"/>
      <c r="ACN1" s="536"/>
      <c r="ACO1" s="536"/>
      <c r="ACP1" s="536"/>
      <c r="ACQ1" s="536"/>
      <c r="ACR1" s="536"/>
      <c r="ACS1" s="536"/>
      <c r="ACT1" s="536"/>
      <c r="ACU1" s="536"/>
      <c r="ACV1" s="536"/>
      <c r="ACW1" s="536"/>
      <c r="ACX1" s="536"/>
      <c r="ACY1" s="536"/>
      <c r="ACZ1" s="536"/>
      <c r="ADA1" s="536"/>
      <c r="ADB1" s="536"/>
      <c r="ADC1" s="536"/>
      <c r="ADD1" s="536"/>
      <c r="ADE1" s="536"/>
      <c r="ADF1" s="536"/>
      <c r="ADG1" s="536"/>
      <c r="ADH1" s="536"/>
      <c r="ADI1" s="536"/>
      <c r="ADJ1" s="536"/>
      <c r="ADK1" s="536"/>
      <c r="ADL1" s="536"/>
      <c r="ADM1" s="536"/>
      <c r="ADN1" s="536"/>
      <c r="ADO1" s="536"/>
      <c r="ADP1" s="536"/>
      <c r="ADQ1" s="536"/>
      <c r="ADR1" s="536"/>
      <c r="ADS1" s="536"/>
      <c r="ADT1" s="536"/>
      <c r="ADU1" s="536"/>
      <c r="ADV1" s="536"/>
      <c r="ADW1" s="536"/>
      <c r="ADX1" s="536"/>
      <c r="ADY1" s="536"/>
      <c r="ADZ1" s="536"/>
      <c r="AEA1" s="536"/>
      <c r="AEB1" s="536"/>
      <c r="AEC1" s="536"/>
      <c r="AED1" s="536"/>
      <c r="AEE1" s="536"/>
      <c r="AEF1" s="536"/>
      <c r="AEG1" s="536"/>
      <c r="AEH1" s="536"/>
      <c r="AEI1" s="536"/>
      <c r="AEJ1" s="536"/>
      <c r="AEK1" s="536"/>
      <c r="AEL1" s="536"/>
      <c r="AEM1" s="536"/>
      <c r="AEN1" s="536"/>
      <c r="AEO1" s="536"/>
      <c r="AEP1" s="536"/>
      <c r="AEQ1" s="536"/>
      <c r="AER1" s="536"/>
      <c r="AES1" s="536"/>
      <c r="AET1" s="536"/>
      <c r="AEU1" s="536"/>
      <c r="AEV1" s="536"/>
      <c r="AEW1" s="536"/>
      <c r="AEX1" s="536"/>
      <c r="AEY1" s="536"/>
      <c r="AEZ1" s="536"/>
      <c r="AFA1" s="536"/>
      <c r="AFB1" s="536"/>
      <c r="AFC1" s="536"/>
      <c r="AFD1" s="536"/>
      <c r="AFE1" s="536"/>
      <c r="AFF1" s="536"/>
      <c r="AFG1" s="536"/>
      <c r="AFH1" s="536"/>
      <c r="AFI1" s="536"/>
      <c r="AFJ1" s="536"/>
      <c r="AFK1" s="536"/>
      <c r="AFL1" s="536"/>
      <c r="AFM1" s="536"/>
      <c r="AFN1" s="536"/>
      <c r="AFO1" s="536"/>
      <c r="AFP1" s="536"/>
      <c r="AFQ1" s="536"/>
      <c r="AFR1" s="536"/>
      <c r="AFS1" s="536"/>
      <c r="AFT1" s="536"/>
      <c r="AFU1" s="536"/>
      <c r="AFV1" s="536"/>
      <c r="AFW1" s="536"/>
      <c r="AFX1" s="536"/>
      <c r="AFY1" s="536"/>
      <c r="AFZ1" s="536"/>
      <c r="AGA1" s="536"/>
      <c r="AGB1" s="536"/>
      <c r="AGC1" s="536"/>
      <c r="AGD1" s="536"/>
      <c r="AGE1" s="536"/>
      <c r="AGF1" s="536"/>
      <c r="AGG1" s="536"/>
      <c r="AGH1" s="536"/>
      <c r="AGI1" s="536"/>
      <c r="AGJ1" s="536"/>
      <c r="AGK1" s="536"/>
      <c r="AGL1" s="536"/>
      <c r="AGM1" s="536"/>
      <c r="AGN1" s="536"/>
      <c r="AGO1" s="536"/>
      <c r="AGP1" s="536"/>
      <c r="AGQ1" s="536"/>
      <c r="AGR1" s="536"/>
      <c r="AGS1" s="536"/>
      <c r="AGT1" s="536"/>
      <c r="AGU1" s="536"/>
      <c r="AGV1" s="536"/>
      <c r="AGW1" s="536"/>
      <c r="AGX1" s="536"/>
      <c r="AGY1" s="536"/>
      <c r="AGZ1" s="536"/>
      <c r="AHA1" s="536"/>
      <c r="AHB1" s="536"/>
      <c r="AHC1" s="536"/>
      <c r="AHD1" s="536"/>
      <c r="AHE1" s="536"/>
      <c r="AHF1" s="536"/>
      <c r="AHG1" s="536"/>
      <c r="AHH1" s="536"/>
      <c r="AHI1" s="536"/>
      <c r="AHJ1" s="536"/>
      <c r="AHK1" s="536"/>
      <c r="AHL1" s="536"/>
      <c r="AHM1" s="536"/>
      <c r="AHN1" s="536"/>
      <c r="AHO1" s="536"/>
      <c r="AHP1" s="536"/>
      <c r="AHQ1" s="536"/>
      <c r="AHR1" s="536"/>
      <c r="AHS1" s="536"/>
      <c r="AHT1" s="536"/>
      <c r="AHU1" s="536"/>
      <c r="AHV1" s="536"/>
      <c r="AHW1" s="536"/>
      <c r="AHX1" s="536"/>
      <c r="AHY1" s="536"/>
      <c r="AHZ1" s="536"/>
      <c r="AIA1" s="536"/>
      <c r="AIB1" s="536"/>
      <c r="AIC1" s="536"/>
      <c r="AID1" s="536"/>
      <c r="AIE1" s="536"/>
      <c r="AIF1" s="536"/>
      <c r="AIG1" s="536"/>
      <c r="AIH1" s="536"/>
      <c r="AII1" s="536"/>
      <c r="AIJ1" s="536"/>
      <c r="AIK1" s="536"/>
      <c r="AIL1" s="536"/>
      <c r="AIM1" s="536"/>
      <c r="AIN1" s="536"/>
      <c r="AIO1" s="536"/>
      <c r="AIP1" s="536"/>
      <c r="AIQ1" s="536"/>
      <c r="AIR1" s="536"/>
      <c r="AIS1" s="536"/>
      <c r="AIT1" s="536"/>
      <c r="AIU1" s="536"/>
      <c r="AIV1" s="536"/>
      <c r="AIW1" s="536"/>
      <c r="AIX1" s="536"/>
      <c r="AIY1" s="536"/>
      <c r="AIZ1" s="536"/>
      <c r="AJA1" s="536"/>
      <c r="AJB1" s="536"/>
      <c r="AJC1" s="536"/>
      <c r="AJD1" s="536"/>
      <c r="AJE1" s="536"/>
      <c r="AJF1" s="536"/>
      <c r="AJG1" s="536"/>
      <c r="AJH1" s="536"/>
      <c r="AJI1" s="536"/>
      <c r="AJJ1" s="536"/>
      <c r="AJK1" s="536"/>
      <c r="AJL1" s="536"/>
      <c r="AJM1" s="536"/>
      <c r="AJN1" s="536"/>
      <c r="AJO1" s="536"/>
      <c r="AJP1" s="536"/>
      <c r="AJQ1" s="536"/>
      <c r="AJR1" s="536"/>
      <c r="AJS1" s="536"/>
      <c r="AJT1" s="536"/>
      <c r="AJU1" s="536"/>
      <c r="AJV1" s="536"/>
      <c r="AJW1" s="536"/>
      <c r="AJX1" s="536"/>
      <c r="AJY1" s="536"/>
      <c r="AJZ1" s="536"/>
      <c r="AKA1" s="536"/>
      <c r="AKB1" s="536"/>
      <c r="AKC1" s="536"/>
      <c r="AKD1" s="536"/>
      <c r="AKE1" s="536"/>
      <c r="AKF1" s="536"/>
      <c r="AKG1" s="536"/>
      <c r="AKH1" s="536"/>
      <c r="AKI1" s="536"/>
      <c r="AKJ1" s="536"/>
      <c r="AKK1" s="536"/>
      <c r="AKL1" s="536"/>
      <c r="AKM1" s="536"/>
      <c r="AKN1" s="536"/>
      <c r="AKO1" s="536"/>
      <c r="AKP1" s="536"/>
      <c r="AKQ1" s="536"/>
      <c r="AKR1" s="536"/>
      <c r="AKS1" s="536"/>
      <c r="AKT1" s="536"/>
      <c r="AKU1" s="536"/>
      <c r="AKV1" s="536"/>
      <c r="AKW1" s="536"/>
      <c r="AKX1" s="536"/>
      <c r="AKY1" s="536"/>
      <c r="AKZ1" s="536"/>
      <c r="ALA1" s="536"/>
      <c r="ALB1" s="536"/>
      <c r="ALC1" s="536"/>
      <c r="ALD1" s="536"/>
      <c r="ALE1" s="536"/>
      <c r="ALF1" s="536"/>
      <c r="ALG1" s="536"/>
      <c r="ALH1" s="536"/>
      <c r="ALI1" s="536"/>
      <c r="ALJ1" s="536"/>
      <c r="ALK1" s="536"/>
      <c r="ALL1" s="536"/>
      <c r="ALM1" s="536"/>
      <c r="ALN1" s="536"/>
      <c r="ALO1" s="536"/>
      <c r="ALP1" s="536"/>
      <c r="ALQ1" s="536"/>
      <c r="ALR1" s="536"/>
      <c r="ALS1" s="536"/>
      <c r="ALT1" s="536"/>
      <c r="ALU1" s="536"/>
      <c r="ALV1" s="536"/>
      <c r="ALW1" s="536"/>
      <c r="ALX1" s="536"/>
      <c r="ALY1" s="536"/>
      <c r="ALZ1" s="536"/>
      <c r="AMA1" s="536"/>
      <c r="AMB1" s="536"/>
      <c r="AMC1" s="536"/>
      <c r="AMD1" s="536"/>
      <c r="AME1" s="536"/>
      <c r="AMF1" s="536"/>
      <c r="AMG1" s="536"/>
      <c r="AMH1" s="536"/>
      <c r="AMI1" s="536"/>
      <c r="AMJ1" s="536"/>
      <c r="AMK1" s="536"/>
      <c r="AML1" s="536"/>
      <c r="AMM1" s="536"/>
      <c r="AMN1" s="536"/>
      <c r="AMO1" s="536"/>
      <c r="AMP1" s="536"/>
      <c r="AMQ1" s="536"/>
      <c r="AMR1" s="536"/>
      <c r="AMS1" s="536"/>
      <c r="AMT1" s="536"/>
      <c r="AMU1" s="536"/>
      <c r="AMV1" s="536"/>
      <c r="AMW1" s="536"/>
      <c r="AMX1" s="536"/>
      <c r="AMY1" s="536"/>
      <c r="AMZ1" s="536"/>
      <c r="ANA1" s="536"/>
      <c r="ANB1" s="536"/>
      <c r="ANC1" s="536"/>
      <c r="AND1" s="536"/>
      <c r="ANE1" s="536"/>
      <c r="ANF1" s="536"/>
      <c r="ANG1" s="536"/>
      <c r="ANH1" s="536"/>
      <c r="ANI1" s="536"/>
      <c r="ANJ1" s="536"/>
      <c r="ANK1" s="536"/>
      <c r="ANL1" s="536"/>
      <c r="ANM1" s="536"/>
      <c r="ANN1" s="536"/>
      <c r="ANO1" s="536"/>
      <c r="ANP1" s="536"/>
      <c r="ANQ1" s="536"/>
      <c r="ANR1" s="536"/>
      <c r="ANS1" s="536"/>
      <c r="ANT1" s="536"/>
      <c r="ANU1" s="536"/>
      <c r="ANV1" s="536"/>
      <c r="ANW1" s="536"/>
      <c r="ANX1" s="536"/>
      <c r="ANY1" s="536"/>
      <c r="ANZ1" s="536"/>
      <c r="AOA1" s="536"/>
      <c r="AOB1" s="536"/>
      <c r="AOC1" s="536"/>
      <c r="AOD1" s="536"/>
      <c r="AOE1" s="536"/>
      <c r="AOF1" s="536"/>
      <c r="AOG1" s="536"/>
      <c r="AOH1" s="536"/>
      <c r="AOI1" s="536"/>
      <c r="AOJ1" s="536"/>
      <c r="AOK1" s="536"/>
      <c r="AOL1" s="536"/>
      <c r="AOM1" s="536"/>
      <c r="AON1" s="536"/>
      <c r="AOO1" s="536"/>
      <c r="AOP1" s="536"/>
      <c r="AOQ1" s="536"/>
      <c r="AOR1" s="536"/>
      <c r="AOS1" s="536"/>
      <c r="AOT1" s="536"/>
      <c r="AOU1" s="536"/>
      <c r="AOV1" s="536"/>
      <c r="AOW1" s="536"/>
      <c r="AOX1" s="536"/>
      <c r="AOY1" s="536"/>
      <c r="AOZ1" s="536"/>
      <c r="APA1" s="536"/>
      <c r="APB1" s="536"/>
      <c r="APC1" s="536"/>
      <c r="APD1" s="536"/>
      <c r="APE1" s="536"/>
      <c r="APF1" s="536"/>
      <c r="APG1" s="536"/>
      <c r="APH1" s="536"/>
      <c r="API1" s="536"/>
      <c r="APJ1" s="536"/>
      <c r="APK1" s="536"/>
      <c r="APL1" s="536"/>
      <c r="APM1" s="536"/>
      <c r="APN1" s="536"/>
      <c r="APO1" s="536"/>
      <c r="APP1" s="536"/>
      <c r="APQ1" s="536"/>
      <c r="APR1" s="536"/>
      <c r="APS1" s="536"/>
      <c r="APT1" s="536"/>
      <c r="APU1" s="536"/>
      <c r="APV1" s="536"/>
      <c r="APW1" s="536"/>
      <c r="APX1" s="536"/>
      <c r="APY1" s="536"/>
      <c r="APZ1" s="536"/>
      <c r="AQA1" s="536"/>
      <c r="AQB1" s="536"/>
      <c r="AQC1" s="536"/>
      <c r="AQD1" s="536"/>
      <c r="AQE1" s="536"/>
      <c r="AQF1" s="536"/>
      <c r="AQG1" s="536"/>
      <c r="AQH1" s="536"/>
      <c r="AQI1" s="536"/>
      <c r="AQJ1" s="536"/>
      <c r="AQK1" s="536"/>
      <c r="AQL1" s="536"/>
      <c r="AQM1" s="536"/>
      <c r="AQN1" s="536"/>
      <c r="AQO1" s="536"/>
      <c r="AQP1" s="536"/>
      <c r="AQQ1" s="536"/>
      <c r="AQR1" s="536"/>
      <c r="AQS1" s="536"/>
      <c r="AQT1" s="536"/>
      <c r="AQU1" s="536"/>
      <c r="AQV1" s="536"/>
      <c r="AQW1" s="536"/>
      <c r="AQX1" s="536"/>
      <c r="AQY1" s="536"/>
      <c r="AQZ1" s="536"/>
      <c r="ARA1" s="536"/>
      <c r="ARB1" s="536"/>
      <c r="ARC1" s="536"/>
      <c r="ARD1" s="536"/>
      <c r="ARE1" s="536"/>
      <c r="ARF1" s="536"/>
      <c r="ARG1" s="536"/>
      <c r="ARH1" s="536"/>
      <c r="ARI1" s="536"/>
      <c r="ARJ1" s="536"/>
      <c r="ARK1" s="536"/>
      <c r="ARL1" s="536"/>
      <c r="ARM1" s="536"/>
      <c r="ARN1" s="536"/>
      <c r="ARO1" s="536"/>
      <c r="ARP1" s="536"/>
      <c r="ARQ1" s="536"/>
      <c r="ARR1" s="536"/>
      <c r="ARS1" s="536"/>
      <c r="ART1" s="536"/>
      <c r="ARU1" s="536"/>
      <c r="ARV1" s="536"/>
      <c r="ARW1" s="536"/>
      <c r="ARX1" s="536"/>
      <c r="ARY1" s="536"/>
      <c r="ARZ1" s="536"/>
      <c r="ASA1" s="536"/>
      <c r="ASB1" s="536"/>
      <c r="ASC1" s="536"/>
      <c r="ASD1" s="536"/>
      <c r="ASE1" s="536"/>
      <c r="ASF1" s="536"/>
      <c r="ASG1" s="536"/>
      <c r="ASH1" s="536"/>
      <c r="ASI1" s="536"/>
      <c r="ASJ1" s="536"/>
      <c r="ASK1" s="536"/>
      <c r="ASL1" s="536"/>
      <c r="ASM1" s="536"/>
      <c r="ASN1" s="536"/>
      <c r="ASO1" s="536"/>
      <c r="ASP1" s="536"/>
      <c r="ASQ1" s="536"/>
      <c r="ASR1" s="536"/>
      <c r="ASS1" s="536"/>
      <c r="AST1" s="536"/>
      <c r="ASU1" s="536"/>
      <c r="ASV1" s="536"/>
      <c r="ASW1" s="536"/>
      <c r="ASX1" s="536"/>
      <c r="ASY1" s="536"/>
      <c r="ASZ1" s="536"/>
      <c r="ATA1" s="536"/>
      <c r="ATB1" s="536"/>
      <c r="ATC1" s="536"/>
      <c r="ATD1" s="536"/>
      <c r="ATE1" s="536"/>
      <c r="ATF1" s="536"/>
      <c r="ATG1" s="536"/>
      <c r="ATH1" s="536"/>
      <c r="ATI1" s="536"/>
      <c r="ATJ1" s="536"/>
      <c r="ATK1" s="536"/>
      <c r="ATL1" s="536"/>
      <c r="ATM1" s="536"/>
      <c r="ATN1" s="536"/>
      <c r="ATO1" s="536"/>
      <c r="ATP1" s="536"/>
      <c r="ATQ1" s="536"/>
      <c r="ATR1" s="536"/>
      <c r="ATS1" s="536"/>
      <c r="ATT1" s="536"/>
      <c r="ATU1" s="536"/>
      <c r="ATV1" s="536"/>
      <c r="ATW1" s="536"/>
      <c r="ATX1" s="536"/>
      <c r="ATY1" s="536"/>
      <c r="ATZ1" s="536"/>
      <c r="AUA1" s="536"/>
      <c r="AUB1" s="536"/>
      <c r="AUC1" s="536"/>
      <c r="AUD1" s="536"/>
      <c r="AUE1" s="536"/>
      <c r="AUF1" s="536"/>
      <c r="AUG1" s="536"/>
      <c r="AUH1" s="536"/>
      <c r="AUI1" s="536"/>
      <c r="AUJ1" s="536"/>
      <c r="AUK1" s="536"/>
      <c r="AUL1" s="536"/>
      <c r="AUM1" s="536"/>
      <c r="AUN1" s="536"/>
      <c r="AUO1" s="536"/>
      <c r="AUP1" s="536"/>
      <c r="AUQ1" s="536"/>
      <c r="AUR1" s="536"/>
      <c r="AUS1" s="536"/>
      <c r="AUT1" s="536"/>
      <c r="AUU1" s="536"/>
      <c r="AUV1" s="536"/>
      <c r="AUW1" s="536"/>
      <c r="AUX1" s="536"/>
      <c r="AUY1" s="536"/>
      <c r="AUZ1" s="536"/>
      <c r="AVA1" s="536"/>
      <c r="AVB1" s="536"/>
      <c r="AVC1" s="536"/>
      <c r="AVD1" s="536"/>
      <c r="AVE1" s="536"/>
      <c r="AVF1" s="536"/>
      <c r="AVG1" s="536"/>
      <c r="AVH1" s="536"/>
      <c r="AVI1" s="536"/>
      <c r="AVJ1" s="536"/>
      <c r="AVK1" s="536"/>
      <c r="AVL1" s="536"/>
      <c r="AVM1" s="536"/>
      <c r="AVN1" s="536"/>
      <c r="AVO1" s="536"/>
      <c r="AVP1" s="536"/>
      <c r="AVQ1" s="536"/>
      <c r="AVR1" s="536"/>
      <c r="AVS1" s="536"/>
      <c r="AVT1" s="536"/>
      <c r="AVU1" s="536"/>
      <c r="AVV1" s="536"/>
      <c r="AVW1" s="536"/>
      <c r="AVX1" s="536"/>
      <c r="AVY1" s="536"/>
      <c r="AVZ1" s="536"/>
      <c r="AWA1" s="536"/>
      <c r="AWB1" s="536"/>
      <c r="AWC1" s="536"/>
      <c r="AWD1" s="536"/>
      <c r="AWE1" s="536"/>
      <c r="AWF1" s="536"/>
      <c r="AWG1" s="536"/>
      <c r="AWH1" s="536"/>
      <c r="AWI1" s="536"/>
      <c r="AWJ1" s="536"/>
      <c r="AWK1" s="536"/>
      <c r="AWL1" s="536"/>
      <c r="AWM1" s="536"/>
      <c r="AWN1" s="536"/>
      <c r="AWO1" s="536"/>
      <c r="AWP1" s="536"/>
      <c r="AWQ1" s="536"/>
      <c r="AWR1" s="536"/>
      <c r="AWS1" s="536"/>
      <c r="AWT1" s="536"/>
      <c r="AWU1" s="536"/>
      <c r="AWV1" s="536"/>
      <c r="AWW1" s="536"/>
      <c r="AWX1" s="536"/>
      <c r="AWY1" s="536"/>
      <c r="AWZ1" s="536"/>
      <c r="AXA1" s="536"/>
      <c r="AXB1" s="536"/>
      <c r="AXC1" s="536"/>
      <c r="AXD1" s="536"/>
      <c r="AXE1" s="536"/>
      <c r="AXF1" s="536"/>
      <c r="AXG1" s="536"/>
      <c r="AXH1" s="536"/>
      <c r="AXI1" s="536"/>
      <c r="AXJ1" s="536"/>
      <c r="AXK1" s="536"/>
      <c r="AXL1" s="536"/>
      <c r="AXM1" s="536"/>
      <c r="AXN1" s="536"/>
      <c r="AXO1" s="536"/>
      <c r="AXP1" s="536"/>
      <c r="AXQ1" s="536"/>
      <c r="AXR1" s="536"/>
      <c r="AXS1" s="536"/>
      <c r="AXT1" s="536"/>
      <c r="AXU1" s="536"/>
      <c r="AXV1" s="536"/>
      <c r="AXW1" s="536"/>
      <c r="AXX1" s="536"/>
      <c r="AXY1" s="536"/>
      <c r="AXZ1" s="536"/>
      <c r="AYA1" s="536"/>
      <c r="AYB1" s="536"/>
      <c r="AYC1" s="536"/>
      <c r="AYD1" s="536"/>
      <c r="AYE1" s="536"/>
      <c r="AYF1" s="536"/>
      <c r="AYG1" s="536"/>
      <c r="AYH1" s="536"/>
      <c r="AYI1" s="536"/>
      <c r="AYJ1" s="536"/>
      <c r="AYK1" s="536"/>
      <c r="AYL1" s="536"/>
      <c r="AYM1" s="536"/>
      <c r="AYN1" s="536"/>
      <c r="AYO1" s="536"/>
      <c r="AYP1" s="536"/>
      <c r="AYQ1" s="536"/>
      <c r="AYR1" s="536"/>
      <c r="AYS1" s="536"/>
      <c r="AYT1" s="536"/>
      <c r="AYU1" s="536"/>
      <c r="AYV1" s="536"/>
      <c r="AYW1" s="536"/>
      <c r="AYX1" s="536"/>
      <c r="AYY1" s="536"/>
      <c r="AYZ1" s="536"/>
      <c r="AZA1" s="536"/>
      <c r="AZB1" s="536"/>
      <c r="AZC1" s="536"/>
      <c r="AZD1" s="536"/>
      <c r="AZE1" s="536"/>
      <c r="AZF1" s="536"/>
      <c r="AZG1" s="536"/>
      <c r="AZH1" s="536"/>
      <c r="AZI1" s="536"/>
      <c r="AZJ1" s="536"/>
      <c r="AZK1" s="536"/>
      <c r="AZL1" s="536"/>
      <c r="AZM1" s="536"/>
      <c r="AZN1" s="536"/>
      <c r="AZO1" s="536"/>
      <c r="AZP1" s="536"/>
      <c r="AZQ1" s="536"/>
      <c r="AZR1" s="536"/>
      <c r="AZS1" s="536"/>
      <c r="AZT1" s="536"/>
      <c r="AZU1" s="536"/>
      <c r="AZV1" s="536"/>
      <c r="AZW1" s="536"/>
      <c r="AZX1" s="536"/>
      <c r="AZY1" s="536"/>
      <c r="AZZ1" s="536"/>
      <c r="BAA1" s="536"/>
      <c r="BAB1" s="536"/>
      <c r="BAC1" s="536"/>
      <c r="BAD1" s="536"/>
      <c r="BAE1" s="536"/>
      <c r="BAF1" s="536"/>
      <c r="BAG1" s="536"/>
      <c r="BAH1" s="536"/>
      <c r="BAI1" s="536"/>
      <c r="BAJ1" s="536"/>
      <c r="BAK1" s="536"/>
      <c r="BAL1" s="536"/>
      <c r="BAM1" s="536"/>
      <c r="BAN1" s="536"/>
      <c r="BAO1" s="536"/>
      <c r="BAP1" s="536"/>
      <c r="BAQ1" s="536"/>
      <c r="BAR1" s="536"/>
      <c r="BAS1" s="536"/>
      <c r="BAT1" s="536"/>
      <c r="BAU1" s="536"/>
      <c r="BAV1" s="536"/>
      <c r="BAW1" s="536"/>
      <c r="BAX1" s="536"/>
      <c r="BAY1" s="536"/>
      <c r="BAZ1" s="536"/>
      <c r="BBA1" s="536"/>
      <c r="BBB1" s="536"/>
      <c r="BBC1" s="536"/>
      <c r="BBD1" s="536"/>
      <c r="BBE1" s="536"/>
      <c r="BBF1" s="536"/>
      <c r="BBG1" s="536"/>
      <c r="BBH1" s="536"/>
      <c r="BBI1" s="536"/>
      <c r="BBJ1" s="536"/>
      <c r="BBK1" s="536"/>
      <c r="BBL1" s="536"/>
      <c r="BBM1" s="536"/>
      <c r="BBN1" s="536"/>
      <c r="BBO1" s="536"/>
      <c r="BBP1" s="536"/>
      <c r="BBQ1" s="536"/>
      <c r="BBR1" s="536"/>
      <c r="BBS1" s="536"/>
      <c r="BBT1" s="536"/>
      <c r="BBU1" s="536"/>
      <c r="BBV1" s="536"/>
      <c r="BBW1" s="536"/>
      <c r="BBX1" s="536"/>
      <c r="BBY1" s="536"/>
      <c r="BBZ1" s="536"/>
      <c r="BCA1" s="536"/>
      <c r="BCB1" s="536"/>
      <c r="BCC1" s="536"/>
      <c r="BCD1" s="536"/>
      <c r="BCE1" s="536"/>
      <c r="BCF1" s="536"/>
      <c r="BCG1" s="536"/>
      <c r="BCH1" s="536"/>
      <c r="BCI1" s="536"/>
      <c r="BCJ1" s="536"/>
      <c r="BCK1" s="536"/>
      <c r="BCL1" s="536"/>
      <c r="BCM1" s="536"/>
      <c r="BCN1" s="536"/>
      <c r="BCO1" s="536"/>
      <c r="BCP1" s="536"/>
      <c r="BCQ1" s="536"/>
      <c r="BCR1" s="536"/>
      <c r="BCS1" s="536"/>
      <c r="BCT1" s="536"/>
      <c r="BCU1" s="536"/>
      <c r="BCV1" s="536"/>
      <c r="BCW1" s="536"/>
      <c r="BCX1" s="536"/>
      <c r="BCY1" s="536"/>
      <c r="BCZ1" s="536"/>
      <c r="BDA1" s="536"/>
      <c r="BDB1" s="536"/>
      <c r="BDC1" s="536"/>
      <c r="BDD1" s="536"/>
      <c r="BDE1" s="536"/>
      <c r="BDF1" s="536"/>
      <c r="BDG1" s="536"/>
      <c r="BDH1" s="536"/>
      <c r="BDI1" s="536"/>
      <c r="BDJ1" s="536"/>
      <c r="BDK1" s="536"/>
      <c r="BDL1" s="536"/>
      <c r="BDM1" s="536"/>
      <c r="BDN1" s="536"/>
      <c r="BDO1" s="536"/>
      <c r="BDP1" s="536"/>
      <c r="BDQ1" s="536"/>
      <c r="BDR1" s="536"/>
      <c r="BDS1" s="536"/>
      <c r="BDT1" s="536"/>
      <c r="BDU1" s="536"/>
      <c r="BDV1" s="536"/>
      <c r="BDW1" s="536"/>
      <c r="BDX1" s="536"/>
      <c r="BDY1" s="536"/>
      <c r="BDZ1" s="536"/>
      <c r="BEA1" s="536"/>
      <c r="BEB1" s="536"/>
      <c r="BEC1" s="536"/>
      <c r="BED1" s="536"/>
      <c r="BEE1" s="536"/>
      <c r="BEF1" s="536"/>
      <c r="BEG1" s="536"/>
      <c r="BEH1" s="536"/>
      <c r="BEI1" s="536"/>
      <c r="BEJ1" s="536"/>
      <c r="BEK1" s="536"/>
      <c r="BEL1" s="536"/>
      <c r="BEM1" s="536"/>
      <c r="BEN1" s="536"/>
      <c r="BEO1" s="536"/>
      <c r="BEP1" s="536"/>
      <c r="BEQ1" s="536"/>
      <c r="BER1" s="536"/>
      <c r="BES1" s="536"/>
      <c r="BET1" s="536"/>
      <c r="BEU1" s="536"/>
      <c r="BEV1" s="536"/>
      <c r="BEW1" s="536"/>
      <c r="BEX1" s="536"/>
      <c r="BEY1" s="536"/>
      <c r="BEZ1" s="536"/>
      <c r="BFA1" s="536"/>
      <c r="BFB1" s="536"/>
      <c r="BFC1" s="536"/>
      <c r="BFD1" s="536"/>
      <c r="BFE1" s="536"/>
      <c r="BFF1" s="536"/>
      <c r="BFG1" s="536"/>
      <c r="BFH1" s="536"/>
      <c r="BFI1" s="536"/>
      <c r="BFJ1" s="536"/>
      <c r="BFK1" s="536"/>
      <c r="BFL1" s="536"/>
      <c r="BFM1" s="536"/>
      <c r="BFN1" s="536"/>
      <c r="BFO1" s="536"/>
      <c r="BFP1" s="536"/>
      <c r="BFQ1" s="536"/>
      <c r="BFR1" s="536"/>
      <c r="BFS1" s="536"/>
      <c r="BFT1" s="536"/>
      <c r="BFU1" s="536"/>
      <c r="BFV1" s="536"/>
      <c r="BFW1" s="536"/>
      <c r="BFX1" s="536"/>
      <c r="BFY1" s="536"/>
      <c r="BFZ1" s="536"/>
      <c r="BGA1" s="536"/>
      <c r="BGB1" s="536"/>
      <c r="BGC1" s="536"/>
      <c r="BGD1" s="536"/>
      <c r="BGE1" s="536"/>
      <c r="BGF1" s="536"/>
      <c r="BGG1" s="536"/>
      <c r="BGH1" s="536"/>
      <c r="BGI1" s="536"/>
      <c r="BGJ1" s="536"/>
      <c r="BGK1" s="536"/>
      <c r="BGL1" s="536"/>
      <c r="BGM1" s="536"/>
      <c r="BGN1" s="536"/>
      <c r="BGO1" s="536"/>
      <c r="BGP1" s="536"/>
      <c r="BGQ1" s="536"/>
      <c r="BGR1" s="536"/>
      <c r="BGS1" s="536"/>
      <c r="BGT1" s="536"/>
      <c r="BGU1" s="536"/>
      <c r="BGV1" s="536"/>
      <c r="BGW1" s="536"/>
      <c r="BGX1" s="536"/>
      <c r="BGY1" s="536"/>
      <c r="BGZ1" s="536"/>
      <c r="BHA1" s="536"/>
      <c r="BHB1" s="536"/>
      <c r="BHC1" s="536"/>
      <c r="BHD1" s="536"/>
      <c r="BHE1" s="536"/>
      <c r="BHF1" s="536"/>
      <c r="BHG1" s="536"/>
      <c r="BHH1" s="536"/>
      <c r="BHI1" s="536"/>
      <c r="BHJ1" s="536"/>
      <c r="BHK1" s="536"/>
      <c r="BHL1" s="536"/>
      <c r="BHM1" s="536"/>
      <c r="BHN1" s="536"/>
      <c r="BHO1" s="536"/>
      <c r="BHP1" s="536"/>
      <c r="BHQ1" s="536"/>
      <c r="BHR1" s="536"/>
      <c r="BHS1" s="536"/>
      <c r="BHT1" s="536"/>
      <c r="BHU1" s="536"/>
      <c r="BHV1" s="536"/>
      <c r="BHW1" s="536"/>
      <c r="BHX1" s="536"/>
      <c r="BHY1" s="536"/>
      <c r="BHZ1" s="536"/>
      <c r="BIA1" s="536"/>
      <c r="BIB1" s="536"/>
      <c r="BIC1" s="536"/>
      <c r="BID1" s="536"/>
      <c r="BIE1" s="536"/>
      <c r="BIF1" s="536"/>
      <c r="BIG1" s="536"/>
      <c r="BIH1" s="536"/>
      <c r="BII1" s="536"/>
      <c r="BIJ1" s="536"/>
      <c r="BIK1" s="536"/>
      <c r="BIL1" s="536"/>
      <c r="BIM1" s="536"/>
      <c r="BIN1" s="536"/>
      <c r="BIO1" s="536"/>
      <c r="BIP1" s="536"/>
      <c r="BIQ1" s="536"/>
      <c r="BIR1" s="536"/>
      <c r="BIS1" s="536"/>
      <c r="BIT1" s="536"/>
      <c r="BIU1" s="536"/>
      <c r="BIV1" s="536"/>
      <c r="BIW1" s="536"/>
      <c r="BIX1" s="536"/>
      <c r="BIY1" s="536"/>
      <c r="BIZ1" s="536"/>
      <c r="BJA1" s="536"/>
      <c r="BJB1" s="536"/>
      <c r="BJC1" s="536"/>
      <c r="BJD1" s="536"/>
      <c r="BJE1" s="536"/>
      <c r="BJF1" s="536"/>
      <c r="BJG1" s="536"/>
      <c r="BJH1" s="536"/>
      <c r="BJI1" s="536"/>
      <c r="BJJ1" s="536"/>
      <c r="BJK1" s="536"/>
      <c r="BJL1" s="536"/>
      <c r="BJM1" s="536"/>
      <c r="BJN1" s="536"/>
      <c r="BJO1" s="536"/>
      <c r="BJP1" s="536"/>
      <c r="BJQ1" s="536"/>
      <c r="BJR1" s="536"/>
      <c r="BJS1" s="536"/>
      <c r="BJT1" s="536"/>
      <c r="BJU1" s="536"/>
      <c r="BJV1" s="536"/>
      <c r="BJW1" s="536"/>
      <c r="BJX1" s="536"/>
      <c r="BJY1" s="536"/>
      <c r="BJZ1" s="536"/>
      <c r="BKA1" s="536"/>
      <c r="BKB1" s="536"/>
      <c r="BKC1" s="536"/>
      <c r="BKD1" s="536"/>
      <c r="BKE1" s="536"/>
      <c r="BKF1" s="536"/>
      <c r="BKG1" s="536"/>
      <c r="BKH1" s="536"/>
      <c r="BKI1" s="536"/>
      <c r="BKJ1" s="536"/>
      <c r="BKK1" s="536"/>
      <c r="BKL1" s="536"/>
      <c r="BKM1" s="536"/>
      <c r="BKN1" s="536"/>
      <c r="BKO1" s="536"/>
      <c r="BKP1" s="536"/>
      <c r="BKQ1" s="536"/>
      <c r="BKR1" s="536"/>
      <c r="BKS1" s="536"/>
      <c r="BKT1" s="536"/>
      <c r="BKU1" s="536"/>
      <c r="BKV1" s="536"/>
      <c r="BKW1" s="536"/>
      <c r="BKX1" s="536"/>
      <c r="BKY1" s="536"/>
      <c r="BKZ1" s="536"/>
      <c r="BLA1" s="536"/>
      <c r="BLB1" s="536"/>
      <c r="BLC1" s="536"/>
      <c r="BLD1" s="536"/>
      <c r="BLE1" s="536"/>
      <c r="BLF1" s="536"/>
      <c r="BLG1" s="536"/>
      <c r="BLH1" s="536"/>
      <c r="BLI1" s="536"/>
      <c r="BLJ1" s="536"/>
      <c r="BLK1" s="536"/>
      <c r="BLL1" s="536"/>
      <c r="BLM1" s="536"/>
      <c r="BLN1" s="536"/>
      <c r="BLO1" s="536"/>
      <c r="BLP1" s="536"/>
      <c r="BLQ1" s="536"/>
      <c r="BLR1" s="536"/>
      <c r="BLS1" s="536"/>
      <c r="BLT1" s="536"/>
      <c r="BLU1" s="536"/>
      <c r="BLV1" s="536"/>
      <c r="BLW1" s="536"/>
      <c r="BLX1" s="536"/>
      <c r="BLY1" s="536"/>
      <c r="BLZ1" s="536"/>
      <c r="BMA1" s="536"/>
      <c r="BMB1" s="536"/>
      <c r="BMC1" s="536"/>
      <c r="BMD1" s="536"/>
      <c r="BME1" s="536"/>
      <c r="BMF1" s="536"/>
      <c r="BMG1" s="536"/>
      <c r="BMH1" s="536"/>
      <c r="BMI1" s="536"/>
      <c r="BMJ1" s="536"/>
      <c r="BMK1" s="536"/>
      <c r="BML1" s="536"/>
      <c r="BMM1" s="536"/>
      <c r="BMN1" s="536"/>
      <c r="BMO1" s="536"/>
      <c r="BMP1" s="536"/>
      <c r="BMQ1" s="536"/>
      <c r="BMR1" s="536"/>
      <c r="BMS1" s="536"/>
      <c r="BMT1" s="536"/>
      <c r="BMU1" s="536"/>
      <c r="BMV1" s="536"/>
      <c r="BMW1" s="536"/>
      <c r="BMX1" s="536"/>
      <c r="BMY1" s="536"/>
      <c r="BMZ1" s="536"/>
      <c r="BNA1" s="536"/>
      <c r="BNB1" s="536"/>
      <c r="BNC1" s="536"/>
      <c r="BND1" s="536"/>
      <c r="BNE1" s="536"/>
      <c r="BNF1" s="536"/>
      <c r="BNG1" s="536"/>
      <c r="BNH1" s="536"/>
      <c r="BNI1" s="536"/>
      <c r="BNJ1" s="536"/>
      <c r="BNK1" s="536"/>
      <c r="BNL1" s="536"/>
      <c r="BNM1" s="536"/>
      <c r="BNN1" s="536"/>
      <c r="BNO1" s="536"/>
      <c r="BNP1" s="536"/>
      <c r="BNQ1" s="536"/>
      <c r="BNR1" s="536"/>
      <c r="BNS1" s="536"/>
      <c r="BNT1" s="536"/>
      <c r="BNU1" s="536"/>
      <c r="BNV1" s="536"/>
      <c r="BNW1" s="536"/>
      <c r="BNX1" s="536"/>
      <c r="BNY1" s="536"/>
      <c r="BNZ1" s="536"/>
      <c r="BOA1" s="536"/>
      <c r="BOB1" s="536"/>
      <c r="BOC1" s="536"/>
      <c r="BOD1" s="536"/>
      <c r="BOE1" s="536"/>
      <c r="BOF1" s="536"/>
      <c r="BOG1" s="536"/>
      <c r="BOH1" s="536"/>
      <c r="BOI1" s="536"/>
      <c r="BOJ1" s="536"/>
      <c r="BOK1" s="536"/>
      <c r="BOL1" s="536"/>
      <c r="BOM1" s="536"/>
      <c r="BON1" s="536"/>
      <c r="BOO1" s="536"/>
      <c r="BOP1" s="536"/>
      <c r="BOQ1" s="536"/>
      <c r="BOR1" s="536"/>
      <c r="BOS1" s="536"/>
      <c r="BOT1" s="536"/>
      <c r="BOU1" s="536"/>
      <c r="BOV1" s="536"/>
      <c r="BOW1" s="536"/>
      <c r="BOX1" s="536"/>
      <c r="BOY1" s="536"/>
      <c r="BOZ1" s="536"/>
      <c r="BPA1" s="536"/>
      <c r="BPB1" s="536"/>
      <c r="BPC1" s="536"/>
      <c r="BPD1" s="536"/>
      <c r="BPE1" s="536"/>
      <c r="BPF1" s="536"/>
      <c r="BPG1" s="536"/>
      <c r="BPH1" s="536"/>
      <c r="BPI1" s="536"/>
      <c r="BPJ1" s="536"/>
      <c r="BPK1" s="536"/>
      <c r="BPL1" s="536"/>
      <c r="BPM1" s="536"/>
      <c r="BPN1" s="536"/>
      <c r="BPO1" s="536"/>
      <c r="BPP1" s="536"/>
      <c r="BPQ1" s="536"/>
      <c r="BPR1" s="536"/>
      <c r="BPS1" s="536"/>
      <c r="BPT1" s="536"/>
      <c r="BPU1" s="536"/>
      <c r="BPV1" s="536"/>
      <c r="BPW1" s="536"/>
      <c r="BPX1" s="536"/>
      <c r="BPY1" s="536"/>
      <c r="BPZ1" s="536"/>
      <c r="BQA1" s="536"/>
      <c r="BQB1" s="536"/>
      <c r="BQC1" s="536"/>
      <c r="BQD1" s="536"/>
      <c r="BQE1" s="536"/>
      <c r="BQF1" s="536"/>
      <c r="BQG1" s="536"/>
      <c r="BQH1" s="536"/>
      <c r="BQI1" s="536"/>
      <c r="BQJ1" s="536"/>
      <c r="BQK1" s="536"/>
      <c r="BQL1" s="536"/>
      <c r="BQM1" s="536"/>
      <c r="BQN1" s="536"/>
      <c r="BQO1" s="536"/>
      <c r="BQP1" s="536"/>
      <c r="BQQ1" s="536"/>
      <c r="BQR1" s="536"/>
      <c r="BQS1" s="536"/>
      <c r="BQT1" s="536"/>
      <c r="BQU1" s="536"/>
      <c r="BQV1" s="536"/>
      <c r="BQW1" s="536"/>
      <c r="BQX1" s="536"/>
      <c r="BQY1" s="536"/>
      <c r="BQZ1" s="536"/>
      <c r="BRA1" s="536"/>
      <c r="BRB1" s="536"/>
      <c r="BRC1" s="536"/>
      <c r="BRD1" s="536"/>
      <c r="BRE1" s="536"/>
      <c r="BRF1" s="536"/>
      <c r="BRG1" s="536"/>
      <c r="BRH1" s="536"/>
      <c r="BRI1" s="536"/>
      <c r="BRJ1" s="536"/>
      <c r="BRK1" s="536"/>
      <c r="BRL1" s="536"/>
      <c r="BRM1" s="536"/>
      <c r="BRN1" s="536"/>
      <c r="BRO1" s="536"/>
      <c r="BRP1" s="536"/>
      <c r="BRQ1" s="536"/>
      <c r="BRR1" s="536"/>
      <c r="BRS1" s="536"/>
      <c r="BRT1" s="536"/>
      <c r="BRU1" s="536"/>
      <c r="BRV1" s="536"/>
      <c r="BRW1" s="536"/>
      <c r="BRX1" s="536"/>
      <c r="BRY1" s="536"/>
      <c r="BRZ1" s="536"/>
      <c r="BSA1" s="536"/>
      <c r="BSB1" s="536"/>
      <c r="BSC1" s="536"/>
      <c r="BSD1" s="536"/>
      <c r="BSE1" s="536"/>
      <c r="BSF1" s="536"/>
      <c r="BSG1" s="536"/>
      <c r="BSH1" s="536"/>
      <c r="BSI1" s="536"/>
      <c r="BSJ1" s="536"/>
      <c r="BSK1" s="536"/>
      <c r="BSL1" s="536"/>
      <c r="BSM1" s="536"/>
      <c r="BSN1" s="536"/>
      <c r="BSO1" s="536"/>
      <c r="BSP1" s="536"/>
      <c r="BSQ1" s="536"/>
      <c r="BSR1" s="536"/>
      <c r="BSS1" s="536"/>
      <c r="BST1" s="536"/>
      <c r="BSU1" s="536"/>
      <c r="BSV1" s="536"/>
      <c r="BSW1" s="536"/>
      <c r="BSX1" s="536"/>
      <c r="BSY1" s="536"/>
      <c r="BSZ1" s="536"/>
      <c r="BTA1" s="536"/>
      <c r="BTB1" s="536"/>
      <c r="BTC1" s="536"/>
      <c r="BTD1" s="536"/>
      <c r="BTE1" s="536"/>
      <c r="BTF1" s="536"/>
      <c r="BTG1" s="536"/>
      <c r="BTH1" s="536"/>
      <c r="BTI1" s="536"/>
      <c r="BTJ1" s="536"/>
      <c r="BTK1" s="536"/>
      <c r="BTL1" s="536"/>
      <c r="BTM1" s="536"/>
      <c r="BTN1" s="536"/>
      <c r="BTO1" s="536"/>
      <c r="BTP1" s="536"/>
      <c r="BTQ1" s="536"/>
      <c r="BTR1" s="536"/>
      <c r="BTS1" s="536"/>
      <c r="BTT1" s="536"/>
      <c r="BTU1" s="536"/>
      <c r="BTV1" s="536"/>
      <c r="BTW1" s="536"/>
      <c r="BTX1" s="536"/>
      <c r="BTY1" s="536"/>
      <c r="BTZ1" s="536"/>
      <c r="BUA1" s="536"/>
      <c r="BUB1" s="536"/>
      <c r="BUC1" s="536"/>
      <c r="BUD1" s="536"/>
      <c r="BUE1" s="536"/>
      <c r="BUF1" s="536"/>
      <c r="BUG1" s="536"/>
      <c r="BUH1" s="536"/>
      <c r="BUI1" s="536"/>
      <c r="BUJ1" s="536"/>
      <c r="BUK1" s="536"/>
      <c r="BUL1" s="536"/>
      <c r="BUM1" s="536"/>
      <c r="BUN1" s="536"/>
      <c r="BUO1" s="536"/>
      <c r="BUP1" s="536"/>
      <c r="BUQ1" s="536"/>
      <c r="BUR1" s="536"/>
      <c r="BUS1" s="536"/>
      <c r="BUT1" s="536"/>
      <c r="BUU1" s="536"/>
      <c r="BUV1" s="536"/>
      <c r="BUW1" s="536"/>
      <c r="BUX1" s="536"/>
      <c r="BUY1" s="536"/>
      <c r="BUZ1" s="536"/>
      <c r="BVA1" s="536"/>
      <c r="BVB1" s="536"/>
      <c r="BVC1" s="536"/>
      <c r="BVD1" s="536"/>
      <c r="BVE1" s="536"/>
      <c r="BVF1" s="536"/>
      <c r="BVG1" s="536"/>
      <c r="BVH1" s="536"/>
      <c r="BVI1" s="536"/>
      <c r="BVJ1" s="536"/>
      <c r="BVK1" s="536"/>
      <c r="BVL1" s="536"/>
      <c r="BVM1" s="536"/>
      <c r="BVN1" s="536"/>
      <c r="BVO1" s="536"/>
      <c r="BVP1" s="536"/>
      <c r="BVQ1" s="536"/>
      <c r="BVR1" s="536"/>
      <c r="BVS1" s="536"/>
      <c r="BVT1" s="536"/>
      <c r="BVU1" s="536"/>
      <c r="BVV1" s="536"/>
      <c r="BVW1" s="536"/>
      <c r="BVX1" s="536"/>
      <c r="BVY1" s="536"/>
      <c r="BVZ1" s="536"/>
      <c r="BWA1" s="536"/>
      <c r="BWB1" s="536"/>
      <c r="BWC1" s="536"/>
      <c r="BWD1" s="536"/>
      <c r="BWE1" s="536"/>
      <c r="BWF1" s="536"/>
      <c r="BWG1" s="536"/>
      <c r="BWH1" s="536"/>
      <c r="BWI1" s="536"/>
      <c r="BWJ1" s="536"/>
      <c r="BWK1" s="536"/>
      <c r="BWL1" s="536"/>
      <c r="BWM1" s="536"/>
      <c r="BWN1" s="536"/>
      <c r="BWO1" s="536"/>
      <c r="BWP1" s="536"/>
      <c r="BWQ1" s="536"/>
      <c r="BWR1" s="536"/>
      <c r="BWS1" s="536"/>
      <c r="BWT1" s="536"/>
      <c r="BWU1" s="536"/>
      <c r="BWV1" s="536"/>
      <c r="BWW1" s="536"/>
      <c r="BWX1" s="536"/>
      <c r="BWY1" s="536"/>
      <c r="BWZ1" s="536"/>
      <c r="BXA1" s="536"/>
      <c r="BXB1" s="536"/>
      <c r="BXC1" s="536"/>
      <c r="BXD1" s="536"/>
      <c r="BXE1" s="536"/>
      <c r="BXF1" s="536"/>
      <c r="BXG1" s="536"/>
      <c r="BXH1" s="536"/>
      <c r="BXI1" s="536"/>
      <c r="BXJ1" s="536"/>
      <c r="BXK1" s="536"/>
      <c r="BXL1" s="536"/>
      <c r="BXM1" s="536"/>
      <c r="BXN1" s="536"/>
      <c r="BXO1" s="536"/>
      <c r="BXP1" s="536"/>
      <c r="BXQ1" s="536"/>
      <c r="BXR1" s="536"/>
      <c r="BXS1" s="536"/>
      <c r="BXT1" s="536"/>
      <c r="BXU1" s="536"/>
      <c r="BXV1" s="536"/>
      <c r="BXW1" s="536"/>
      <c r="BXX1" s="536"/>
      <c r="BXY1" s="536"/>
      <c r="BXZ1" s="536"/>
      <c r="BYA1" s="536"/>
      <c r="BYB1" s="536"/>
      <c r="BYC1" s="536"/>
      <c r="BYD1" s="536"/>
      <c r="BYE1" s="536"/>
      <c r="BYF1" s="536"/>
      <c r="BYG1" s="536"/>
      <c r="BYH1" s="536"/>
      <c r="BYI1" s="536"/>
      <c r="BYJ1" s="536"/>
      <c r="BYK1" s="536"/>
      <c r="BYL1" s="536"/>
      <c r="BYM1" s="536"/>
      <c r="BYN1" s="536"/>
      <c r="BYO1" s="536"/>
      <c r="BYP1" s="536"/>
      <c r="BYQ1" s="536"/>
      <c r="BYR1" s="536"/>
      <c r="BYS1" s="536"/>
      <c r="BYT1" s="536"/>
      <c r="BYU1" s="536"/>
      <c r="BYV1" s="536"/>
      <c r="BYW1" s="536"/>
      <c r="BYX1" s="536"/>
      <c r="BYY1" s="536"/>
      <c r="BYZ1" s="536"/>
      <c r="BZA1" s="536"/>
      <c r="BZB1" s="536"/>
      <c r="BZC1" s="536"/>
      <c r="BZD1" s="536"/>
      <c r="BZE1" s="536"/>
      <c r="BZF1" s="536"/>
      <c r="BZG1" s="536"/>
      <c r="BZH1" s="536"/>
      <c r="BZI1" s="536"/>
      <c r="BZJ1" s="536"/>
      <c r="BZK1" s="536"/>
      <c r="BZL1" s="536"/>
      <c r="BZM1" s="536"/>
      <c r="BZN1" s="536"/>
      <c r="BZO1" s="536"/>
      <c r="BZP1" s="536"/>
      <c r="BZQ1" s="536"/>
      <c r="BZR1" s="536"/>
      <c r="BZS1" s="536"/>
      <c r="BZT1" s="536"/>
      <c r="BZU1" s="536"/>
      <c r="BZV1" s="536"/>
      <c r="BZW1" s="536"/>
      <c r="BZX1" s="536"/>
      <c r="BZY1" s="536"/>
      <c r="BZZ1" s="536"/>
      <c r="CAA1" s="536"/>
      <c r="CAB1" s="536"/>
      <c r="CAC1" s="536"/>
      <c r="CAD1" s="536"/>
      <c r="CAE1" s="536"/>
      <c r="CAF1" s="536"/>
      <c r="CAG1" s="536"/>
      <c r="CAH1" s="536"/>
      <c r="CAI1" s="536"/>
      <c r="CAJ1" s="536"/>
      <c r="CAK1" s="536"/>
      <c r="CAL1" s="536"/>
      <c r="CAM1" s="536"/>
      <c r="CAN1" s="536"/>
      <c r="CAO1" s="536"/>
      <c r="CAP1" s="536"/>
      <c r="CAQ1" s="536"/>
      <c r="CAR1" s="536"/>
      <c r="CAS1" s="536"/>
      <c r="CAT1" s="536"/>
      <c r="CAU1" s="536"/>
      <c r="CAV1" s="536"/>
      <c r="CAW1" s="536"/>
      <c r="CAX1" s="536"/>
      <c r="CAY1" s="536"/>
      <c r="CAZ1" s="536"/>
      <c r="CBA1" s="536"/>
      <c r="CBB1" s="536"/>
      <c r="CBC1" s="536"/>
      <c r="CBD1" s="536"/>
      <c r="CBE1" s="536"/>
      <c r="CBF1" s="536"/>
      <c r="CBG1" s="536"/>
      <c r="CBH1" s="536"/>
      <c r="CBI1" s="536"/>
      <c r="CBJ1" s="536"/>
      <c r="CBK1" s="536"/>
      <c r="CBL1" s="536"/>
      <c r="CBM1" s="536"/>
      <c r="CBN1" s="536"/>
      <c r="CBO1" s="536"/>
      <c r="CBP1" s="536"/>
      <c r="CBQ1" s="536"/>
      <c r="CBR1" s="536"/>
      <c r="CBS1" s="536"/>
      <c r="CBT1" s="536"/>
      <c r="CBU1" s="536"/>
      <c r="CBV1" s="536"/>
      <c r="CBW1" s="536"/>
      <c r="CBX1" s="536"/>
      <c r="CBY1" s="536"/>
      <c r="CBZ1" s="536"/>
      <c r="CCA1" s="536"/>
      <c r="CCB1" s="536"/>
      <c r="CCC1" s="536"/>
      <c r="CCD1" s="536"/>
      <c r="CCE1" s="536"/>
      <c r="CCF1" s="536"/>
      <c r="CCG1" s="536"/>
      <c r="CCH1" s="536"/>
      <c r="CCI1" s="536"/>
      <c r="CCJ1" s="536"/>
      <c r="CCK1" s="536"/>
      <c r="CCL1" s="536"/>
      <c r="CCM1" s="536"/>
      <c r="CCN1" s="536"/>
      <c r="CCO1" s="536"/>
      <c r="CCP1" s="536"/>
      <c r="CCQ1" s="536"/>
      <c r="CCR1" s="536"/>
      <c r="CCS1" s="536"/>
      <c r="CCT1" s="536"/>
      <c r="CCU1" s="536"/>
      <c r="CCV1" s="536"/>
      <c r="CCW1" s="536"/>
      <c r="CCX1" s="536"/>
      <c r="CCY1" s="536"/>
      <c r="CCZ1" s="536"/>
      <c r="CDA1" s="536"/>
      <c r="CDB1" s="536"/>
      <c r="CDC1" s="536"/>
      <c r="CDD1" s="536"/>
      <c r="CDE1" s="536"/>
      <c r="CDF1" s="536"/>
      <c r="CDG1" s="536"/>
      <c r="CDH1" s="536"/>
      <c r="CDI1" s="536"/>
      <c r="CDJ1" s="536"/>
      <c r="CDK1" s="536"/>
      <c r="CDL1" s="536"/>
      <c r="CDM1" s="536"/>
      <c r="CDN1" s="536"/>
      <c r="CDO1" s="536"/>
      <c r="CDP1" s="536"/>
      <c r="CDQ1" s="536"/>
      <c r="CDR1" s="536"/>
      <c r="CDS1" s="536"/>
      <c r="CDT1" s="536"/>
      <c r="CDU1" s="536"/>
      <c r="CDV1" s="536"/>
      <c r="CDW1" s="536"/>
      <c r="CDX1" s="536"/>
      <c r="CDY1" s="536"/>
      <c r="CDZ1" s="536"/>
      <c r="CEA1" s="536"/>
      <c r="CEB1" s="536"/>
      <c r="CEC1" s="536"/>
      <c r="CED1" s="536"/>
      <c r="CEE1" s="536"/>
      <c r="CEF1" s="536"/>
      <c r="CEG1" s="536"/>
      <c r="CEH1" s="536"/>
      <c r="CEI1" s="536"/>
      <c r="CEJ1" s="536"/>
      <c r="CEK1" s="536"/>
      <c r="CEL1" s="536"/>
      <c r="CEM1" s="536"/>
      <c r="CEN1" s="536"/>
      <c r="CEO1" s="536"/>
      <c r="CEP1" s="536"/>
      <c r="CEQ1" s="536"/>
      <c r="CER1" s="536"/>
      <c r="CES1" s="536"/>
      <c r="CET1" s="536"/>
      <c r="CEU1" s="536"/>
      <c r="CEV1" s="536"/>
      <c r="CEW1" s="536"/>
      <c r="CEX1" s="536"/>
      <c r="CEY1" s="536"/>
      <c r="CEZ1" s="536"/>
      <c r="CFA1" s="536"/>
      <c r="CFB1" s="536"/>
      <c r="CFC1" s="536"/>
      <c r="CFD1" s="536"/>
      <c r="CFE1" s="536"/>
      <c r="CFF1" s="536"/>
      <c r="CFG1" s="536"/>
      <c r="CFH1" s="536"/>
      <c r="CFI1" s="536"/>
      <c r="CFJ1" s="536"/>
      <c r="CFK1" s="536"/>
      <c r="CFL1" s="536"/>
      <c r="CFM1" s="536"/>
      <c r="CFN1" s="536"/>
      <c r="CFO1" s="536"/>
      <c r="CFP1" s="536"/>
      <c r="CFQ1" s="536"/>
      <c r="CFR1" s="536"/>
      <c r="CFS1" s="536"/>
      <c r="CFT1" s="536"/>
      <c r="CFU1" s="536"/>
      <c r="CFV1" s="536"/>
      <c r="CFW1" s="536"/>
      <c r="CFX1" s="536"/>
      <c r="CFY1" s="536"/>
      <c r="CFZ1" s="536"/>
      <c r="CGA1" s="536"/>
      <c r="CGB1" s="536"/>
      <c r="CGC1" s="536"/>
      <c r="CGD1" s="536"/>
      <c r="CGE1" s="536"/>
      <c r="CGF1" s="536"/>
      <c r="CGG1" s="536"/>
      <c r="CGH1" s="536"/>
      <c r="CGI1" s="536"/>
      <c r="CGJ1" s="536"/>
      <c r="CGK1" s="536"/>
      <c r="CGL1" s="536"/>
      <c r="CGM1" s="536"/>
      <c r="CGN1" s="536"/>
      <c r="CGO1" s="536"/>
      <c r="CGP1" s="536"/>
      <c r="CGQ1" s="536"/>
      <c r="CGR1" s="536"/>
      <c r="CGS1" s="536"/>
      <c r="CGT1" s="536"/>
      <c r="CGU1" s="536"/>
      <c r="CGV1" s="536"/>
      <c r="CGW1" s="536"/>
      <c r="CGX1" s="536"/>
      <c r="CGY1" s="536"/>
      <c r="CGZ1" s="536"/>
      <c r="CHA1" s="536"/>
      <c r="CHB1" s="536"/>
      <c r="CHC1" s="536"/>
      <c r="CHD1" s="536"/>
      <c r="CHE1" s="536"/>
      <c r="CHF1" s="536"/>
      <c r="CHG1" s="536"/>
      <c r="CHH1" s="536"/>
      <c r="CHI1" s="536"/>
      <c r="CHJ1" s="536"/>
      <c r="CHK1" s="536"/>
      <c r="CHL1" s="536"/>
      <c r="CHM1" s="536"/>
      <c r="CHN1" s="536"/>
      <c r="CHO1" s="536"/>
      <c r="CHP1" s="536"/>
      <c r="CHQ1" s="536"/>
      <c r="CHR1" s="536"/>
      <c r="CHS1" s="536"/>
      <c r="CHT1" s="536"/>
      <c r="CHU1" s="536"/>
      <c r="CHV1" s="536"/>
      <c r="CHW1" s="536"/>
      <c r="CHX1" s="536"/>
      <c r="CHY1" s="536"/>
      <c r="CHZ1" s="536"/>
      <c r="CIA1" s="536"/>
      <c r="CIB1" s="536"/>
      <c r="CIC1" s="536"/>
      <c r="CID1" s="536"/>
      <c r="CIE1" s="536"/>
      <c r="CIF1" s="536"/>
      <c r="CIG1" s="536"/>
      <c r="CIH1" s="536"/>
      <c r="CII1" s="536"/>
      <c r="CIJ1" s="536"/>
      <c r="CIK1" s="536"/>
      <c r="CIL1" s="536"/>
      <c r="CIM1" s="536"/>
      <c r="CIN1" s="536"/>
      <c r="CIO1" s="536"/>
      <c r="CIP1" s="536"/>
      <c r="CIQ1" s="536"/>
      <c r="CIR1" s="536"/>
      <c r="CIS1" s="536"/>
      <c r="CIT1" s="536"/>
      <c r="CIU1" s="536"/>
      <c r="CIV1" s="536"/>
      <c r="CIW1" s="536"/>
      <c r="CIX1" s="536"/>
      <c r="CIY1" s="536"/>
      <c r="CIZ1" s="536"/>
      <c r="CJA1" s="536"/>
      <c r="CJB1" s="536"/>
      <c r="CJC1" s="536"/>
      <c r="CJD1" s="536"/>
      <c r="CJE1" s="536"/>
      <c r="CJF1" s="536"/>
      <c r="CJG1" s="536"/>
      <c r="CJH1" s="536"/>
      <c r="CJI1" s="536"/>
      <c r="CJJ1" s="536"/>
      <c r="CJK1" s="536"/>
      <c r="CJL1" s="536"/>
      <c r="CJM1" s="536"/>
      <c r="CJN1" s="536"/>
      <c r="CJO1" s="536"/>
      <c r="CJP1" s="536"/>
      <c r="CJQ1" s="536"/>
      <c r="CJR1" s="536"/>
      <c r="CJS1" s="536"/>
      <c r="CJT1" s="536"/>
      <c r="CJU1" s="536"/>
      <c r="CJV1" s="536"/>
      <c r="CJW1" s="536"/>
      <c r="CJX1" s="536"/>
      <c r="CJY1" s="536"/>
      <c r="CJZ1" s="536"/>
      <c r="CKA1" s="536"/>
      <c r="CKB1" s="536"/>
      <c r="CKC1" s="536"/>
      <c r="CKD1" s="536"/>
      <c r="CKE1" s="536"/>
      <c r="CKF1" s="536"/>
      <c r="CKG1" s="536"/>
      <c r="CKH1" s="536"/>
      <c r="CKI1" s="536"/>
      <c r="CKJ1" s="536"/>
      <c r="CKK1" s="536"/>
      <c r="CKL1" s="536"/>
      <c r="CKM1" s="536"/>
      <c r="CKN1" s="536"/>
      <c r="CKO1" s="536"/>
      <c r="CKP1" s="536"/>
      <c r="CKQ1" s="536"/>
      <c r="CKR1" s="536"/>
      <c r="CKS1" s="536"/>
      <c r="CKT1" s="536"/>
      <c r="CKU1" s="536"/>
      <c r="CKV1" s="536"/>
      <c r="CKW1" s="536"/>
      <c r="CKX1" s="536"/>
      <c r="CKY1" s="536"/>
      <c r="CKZ1" s="536"/>
      <c r="CLA1" s="536"/>
      <c r="CLB1" s="536"/>
      <c r="CLC1" s="536"/>
      <c r="CLD1" s="536"/>
      <c r="CLE1" s="536"/>
      <c r="CLF1" s="536"/>
      <c r="CLG1" s="536"/>
      <c r="CLH1" s="536"/>
      <c r="CLI1" s="536"/>
      <c r="CLJ1" s="536"/>
      <c r="CLK1" s="536"/>
      <c r="CLL1" s="536"/>
      <c r="CLM1" s="536"/>
      <c r="CLN1" s="536"/>
      <c r="CLO1" s="536"/>
      <c r="CLP1" s="536"/>
      <c r="CLQ1" s="536"/>
      <c r="CLR1" s="536"/>
      <c r="CLS1" s="536"/>
      <c r="CLT1" s="536"/>
      <c r="CLU1" s="536"/>
      <c r="CLV1" s="536"/>
      <c r="CLW1" s="536"/>
      <c r="CLX1" s="536"/>
      <c r="CLY1" s="536"/>
      <c r="CLZ1" s="536"/>
      <c r="CMA1" s="536"/>
      <c r="CMB1" s="536"/>
      <c r="CMC1" s="536"/>
      <c r="CMD1" s="536"/>
      <c r="CME1" s="536"/>
      <c r="CMF1" s="536"/>
      <c r="CMG1" s="536"/>
      <c r="CMH1" s="536"/>
      <c r="CMI1" s="536"/>
      <c r="CMJ1" s="536"/>
      <c r="CMK1" s="536"/>
      <c r="CML1" s="536"/>
      <c r="CMM1" s="536"/>
      <c r="CMN1" s="536"/>
      <c r="CMO1" s="536"/>
      <c r="CMP1" s="536"/>
      <c r="CMQ1" s="536"/>
      <c r="CMR1" s="536"/>
      <c r="CMS1" s="536"/>
      <c r="CMT1" s="536"/>
      <c r="CMU1" s="536"/>
      <c r="CMV1" s="536"/>
      <c r="CMW1" s="536"/>
      <c r="CMX1" s="536"/>
      <c r="CMY1" s="536"/>
      <c r="CMZ1" s="536"/>
      <c r="CNA1" s="536"/>
      <c r="CNB1" s="536"/>
      <c r="CNC1" s="536"/>
      <c r="CND1" s="536"/>
      <c r="CNE1" s="536"/>
      <c r="CNF1" s="536"/>
      <c r="CNG1" s="536"/>
      <c r="CNH1" s="536"/>
      <c r="CNI1" s="536"/>
      <c r="CNJ1" s="536"/>
      <c r="CNK1" s="536"/>
      <c r="CNL1" s="536"/>
      <c r="CNM1" s="536"/>
      <c r="CNN1" s="536"/>
      <c r="CNO1" s="536"/>
      <c r="CNP1" s="536"/>
      <c r="CNQ1" s="536"/>
      <c r="CNR1" s="536"/>
      <c r="CNS1" s="536"/>
      <c r="CNT1" s="536"/>
      <c r="CNU1" s="536"/>
      <c r="CNV1" s="536"/>
      <c r="CNW1" s="536"/>
      <c r="CNX1" s="536"/>
      <c r="CNY1" s="536"/>
      <c r="CNZ1" s="536"/>
      <c r="COA1" s="536"/>
      <c r="COB1" s="536"/>
      <c r="COC1" s="536"/>
      <c r="COD1" s="536"/>
      <c r="COE1" s="536"/>
      <c r="COF1" s="536"/>
      <c r="COG1" s="536"/>
      <c r="COH1" s="536"/>
      <c r="COI1" s="536"/>
      <c r="COJ1" s="536"/>
      <c r="COK1" s="536"/>
      <c r="COL1" s="536"/>
      <c r="COM1" s="536"/>
      <c r="CON1" s="536"/>
      <c r="COO1" s="536"/>
      <c r="COP1" s="536"/>
      <c r="COQ1" s="536"/>
      <c r="COR1" s="536"/>
      <c r="COS1" s="536"/>
      <c r="COT1" s="536"/>
      <c r="COU1" s="536"/>
      <c r="COV1" s="536"/>
      <c r="COW1" s="536"/>
      <c r="COX1" s="536"/>
      <c r="COY1" s="536"/>
      <c r="COZ1" s="536"/>
      <c r="CPA1" s="536"/>
      <c r="CPB1" s="536"/>
      <c r="CPC1" s="536"/>
      <c r="CPD1" s="536"/>
      <c r="CPE1" s="536"/>
      <c r="CPF1" s="536"/>
      <c r="CPG1" s="536"/>
      <c r="CPH1" s="536"/>
      <c r="CPI1" s="536"/>
      <c r="CPJ1" s="536"/>
      <c r="CPK1" s="536"/>
      <c r="CPL1" s="536"/>
      <c r="CPM1" s="536"/>
      <c r="CPN1" s="536"/>
      <c r="CPO1" s="536"/>
      <c r="CPP1" s="536"/>
      <c r="CPQ1" s="536"/>
      <c r="CPR1" s="536"/>
      <c r="CPS1" s="536"/>
      <c r="CPT1" s="536"/>
      <c r="CPU1" s="536"/>
      <c r="CPV1" s="536"/>
      <c r="CPW1" s="536"/>
      <c r="CPX1" s="536"/>
      <c r="CPY1" s="536"/>
      <c r="CPZ1" s="536"/>
      <c r="CQA1" s="536"/>
      <c r="CQB1" s="536"/>
      <c r="CQC1" s="536"/>
      <c r="CQD1" s="536"/>
      <c r="CQE1" s="536"/>
      <c r="CQF1" s="536"/>
      <c r="CQG1" s="536"/>
      <c r="CQH1" s="536"/>
      <c r="CQI1" s="536"/>
      <c r="CQJ1" s="536"/>
      <c r="CQK1" s="536"/>
      <c r="CQL1" s="536"/>
      <c r="CQM1" s="536"/>
      <c r="CQN1" s="536"/>
      <c r="CQO1" s="536"/>
      <c r="CQP1" s="536"/>
      <c r="CQQ1" s="536"/>
      <c r="CQR1" s="536"/>
      <c r="CQS1" s="536"/>
      <c r="CQT1" s="536"/>
      <c r="CQU1" s="536"/>
      <c r="CQV1" s="536"/>
      <c r="CQW1" s="536"/>
      <c r="CQX1" s="536"/>
      <c r="CQY1" s="536"/>
      <c r="CQZ1" s="536"/>
      <c r="CRA1" s="536"/>
      <c r="CRB1" s="536"/>
      <c r="CRC1" s="536"/>
      <c r="CRD1" s="536"/>
      <c r="CRE1" s="536"/>
      <c r="CRF1" s="536"/>
      <c r="CRG1" s="536"/>
      <c r="CRH1" s="536"/>
      <c r="CRI1" s="536"/>
      <c r="CRJ1" s="536"/>
      <c r="CRK1" s="536"/>
      <c r="CRL1" s="536"/>
      <c r="CRM1" s="536"/>
      <c r="CRN1" s="536"/>
      <c r="CRO1" s="536"/>
      <c r="CRP1" s="536"/>
      <c r="CRQ1" s="536"/>
      <c r="CRR1" s="536"/>
      <c r="CRS1" s="536"/>
      <c r="CRT1" s="536"/>
      <c r="CRU1" s="536"/>
      <c r="CRV1" s="536"/>
      <c r="CRW1" s="536"/>
      <c r="CRX1" s="536"/>
      <c r="CRY1" s="536"/>
      <c r="CRZ1" s="536"/>
      <c r="CSA1" s="536"/>
      <c r="CSB1" s="536"/>
      <c r="CSC1" s="536"/>
      <c r="CSD1" s="536"/>
      <c r="CSE1" s="536"/>
      <c r="CSF1" s="536"/>
      <c r="CSG1" s="536"/>
      <c r="CSH1" s="536"/>
      <c r="CSI1" s="536"/>
      <c r="CSJ1" s="536"/>
      <c r="CSK1" s="536"/>
      <c r="CSL1" s="536"/>
      <c r="CSM1" s="536"/>
      <c r="CSN1" s="536"/>
      <c r="CSO1" s="536"/>
      <c r="CSP1" s="536"/>
      <c r="CSQ1" s="536"/>
      <c r="CSR1" s="536"/>
      <c r="CSS1" s="536"/>
      <c r="CST1" s="536"/>
      <c r="CSU1" s="536"/>
      <c r="CSV1" s="536"/>
      <c r="CSW1" s="536"/>
      <c r="CSX1" s="536"/>
      <c r="CSY1" s="536"/>
      <c r="CSZ1" s="536"/>
      <c r="CTA1" s="536"/>
      <c r="CTB1" s="536"/>
      <c r="CTC1" s="536"/>
      <c r="CTD1" s="536"/>
      <c r="CTE1" s="536"/>
      <c r="CTF1" s="536"/>
      <c r="CTG1" s="536"/>
      <c r="CTH1" s="536"/>
      <c r="CTI1" s="536"/>
      <c r="CTJ1" s="536"/>
      <c r="CTK1" s="536"/>
      <c r="CTL1" s="536"/>
      <c r="CTM1" s="536"/>
      <c r="CTN1" s="536"/>
      <c r="CTO1" s="536"/>
      <c r="CTP1" s="536"/>
      <c r="CTQ1" s="536"/>
      <c r="CTR1" s="536"/>
      <c r="CTS1" s="536"/>
      <c r="CTT1" s="536"/>
      <c r="CTU1" s="536"/>
      <c r="CTV1" s="536"/>
      <c r="CTW1" s="536"/>
      <c r="CTX1" s="536"/>
      <c r="CTY1" s="536"/>
      <c r="CTZ1" s="536"/>
      <c r="CUA1" s="536"/>
      <c r="CUB1" s="536"/>
      <c r="CUC1" s="536"/>
      <c r="CUD1" s="536"/>
      <c r="CUE1" s="536"/>
      <c r="CUF1" s="536"/>
      <c r="CUG1" s="536"/>
      <c r="CUH1" s="536"/>
      <c r="CUI1" s="536"/>
      <c r="CUJ1" s="536"/>
      <c r="CUK1" s="536"/>
      <c r="CUL1" s="536"/>
      <c r="CUM1" s="536"/>
      <c r="CUN1" s="536"/>
      <c r="CUO1" s="536"/>
      <c r="CUP1" s="536"/>
      <c r="CUQ1" s="536"/>
      <c r="CUR1" s="536"/>
      <c r="CUS1" s="536"/>
      <c r="CUT1" s="536"/>
      <c r="CUU1" s="536"/>
      <c r="CUV1" s="536"/>
      <c r="CUW1" s="536"/>
      <c r="CUX1" s="536"/>
      <c r="CUY1" s="536"/>
      <c r="CUZ1" s="536"/>
      <c r="CVA1" s="536"/>
      <c r="CVB1" s="536"/>
      <c r="CVC1" s="536"/>
      <c r="CVD1" s="536"/>
      <c r="CVE1" s="536"/>
      <c r="CVF1" s="536"/>
      <c r="CVG1" s="536"/>
      <c r="CVH1" s="536"/>
      <c r="CVI1" s="536"/>
      <c r="CVJ1" s="536"/>
      <c r="CVK1" s="536"/>
      <c r="CVL1" s="536"/>
      <c r="CVM1" s="536"/>
      <c r="CVN1" s="536"/>
      <c r="CVO1" s="536"/>
      <c r="CVP1" s="536"/>
      <c r="CVQ1" s="536"/>
      <c r="CVR1" s="536"/>
      <c r="CVS1" s="536"/>
      <c r="CVT1" s="536"/>
      <c r="CVU1" s="536"/>
      <c r="CVV1" s="536"/>
      <c r="CVW1" s="536"/>
      <c r="CVX1" s="536"/>
      <c r="CVY1" s="536"/>
      <c r="CVZ1" s="536"/>
      <c r="CWA1" s="536"/>
      <c r="CWB1" s="536"/>
      <c r="CWC1" s="536"/>
      <c r="CWD1" s="536"/>
      <c r="CWE1" s="536"/>
      <c r="CWF1" s="536"/>
      <c r="CWG1" s="536"/>
      <c r="CWH1" s="536"/>
      <c r="CWI1" s="536"/>
      <c r="CWJ1" s="536"/>
      <c r="CWK1" s="536"/>
      <c r="CWL1" s="536"/>
      <c r="CWM1" s="536"/>
      <c r="CWN1" s="536"/>
      <c r="CWO1" s="536"/>
      <c r="CWP1" s="536"/>
      <c r="CWQ1" s="536"/>
      <c r="CWR1" s="536"/>
      <c r="CWS1" s="536"/>
      <c r="CWT1" s="536"/>
      <c r="CWU1" s="536"/>
      <c r="CWV1" s="536"/>
      <c r="CWW1" s="536"/>
      <c r="CWX1" s="536"/>
      <c r="CWY1" s="536"/>
      <c r="CWZ1" s="536"/>
      <c r="CXA1" s="536"/>
      <c r="CXB1" s="536"/>
      <c r="CXC1" s="536"/>
      <c r="CXD1" s="536"/>
      <c r="CXE1" s="536"/>
      <c r="CXF1" s="536"/>
      <c r="CXG1" s="536"/>
      <c r="CXH1" s="536"/>
      <c r="CXI1" s="536"/>
      <c r="CXJ1" s="536"/>
      <c r="CXK1" s="536"/>
      <c r="CXL1" s="536"/>
      <c r="CXM1" s="536"/>
      <c r="CXN1" s="536"/>
      <c r="CXO1" s="536"/>
      <c r="CXP1" s="536"/>
      <c r="CXQ1" s="536"/>
      <c r="CXR1" s="536"/>
      <c r="CXS1" s="536"/>
      <c r="CXT1" s="536"/>
      <c r="CXU1" s="536"/>
      <c r="CXV1" s="536"/>
      <c r="CXW1" s="536"/>
      <c r="CXX1" s="536"/>
      <c r="CXY1" s="536"/>
      <c r="CXZ1" s="536"/>
      <c r="CYA1" s="536"/>
      <c r="CYB1" s="536"/>
      <c r="CYC1" s="536"/>
      <c r="CYD1" s="536"/>
      <c r="CYE1" s="536"/>
      <c r="CYF1" s="536"/>
      <c r="CYG1" s="536"/>
      <c r="CYH1" s="536"/>
      <c r="CYI1" s="536"/>
      <c r="CYJ1" s="536"/>
      <c r="CYK1" s="536"/>
      <c r="CYL1" s="536"/>
      <c r="CYM1" s="536"/>
      <c r="CYN1" s="536"/>
      <c r="CYO1" s="536"/>
      <c r="CYP1" s="536"/>
      <c r="CYQ1" s="536"/>
      <c r="CYR1" s="536"/>
      <c r="CYS1" s="536"/>
      <c r="CYT1" s="536"/>
      <c r="CYU1" s="536"/>
      <c r="CYV1" s="536"/>
      <c r="CYW1" s="536"/>
      <c r="CYX1" s="536"/>
      <c r="CYY1" s="536"/>
      <c r="CYZ1" s="536"/>
      <c r="CZA1" s="536"/>
      <c r="CZB1" s="536"/>
      <c r="CZC1" s="536"/>
      <c r="CZD1" s="536"/>
      <c r="CZE1" s="536"/>
      <c r="CZF1" s="536"/>
      <c r="CZG1" s="536"/>
      <c r="CZH1" s="536"/>
      <c r="CZI1" s="536"/>
      <c r="CZJ1" s="536"/>
      <c r="CZK1" s="536"/>
      <c r="CZL1" s="536"/>
      <c r="CZM1" s="536"/>
      <c r="CZN1" s="536"/>
      <c r="CZO1" s="536"/>
      <c r="CZP1" s="536"/>
      <c r="CZQ1" s="536"/>
      <c r="CZR1" s="536"/>
      <c r="CZS1" s="536"/>
      <c r="CZT1" s="536"/>
      <c r="CZU1" s="536"/>
      <c r="CZV1" s="536"/>
      <c r="CZW1" s="536"/>
      <c r="CZX1" s="536"/>
      <c r="CZY1" s="536"/>
      <c r="CZZ1" s="536"/>
      <c r="DAA1" s="536"/>
      <c r="DAB1" s="536"/>
      <c r="DAC1" s="536"/>
      <c r="DAD1" s="536"/>
      <c r="DAE1" s="536"/>
      <c r="DAF1" s="536"/>
      <c r="DAG1" s="536"/>
      <c r="DAH1" s="536"/>
      <c r="DAI1" s="536"/>
      <c r="DAJ1" s="536"/>
      <c r="DAK1" s="536"/>
      <c r="DAL1" s="536"/>
      <c r="DAM1" s="536"/>
      <c r="DAN1" s="536"/>
      <c r="DAO1" s="536"/>
      <c r="DAP1" s="536"/>
      <c r="DAQ1" s="536"/>
      <c r="DAR1" s="536"/>
      <c r="DAS1" s="536"/>
      <c r="DAT1" s="536"/>
      <c r="DAU1" s="536"/>
      <c r="DAV1" s="536"/>
      <c r="DAW1" s="536"/>
      <c r="DAX1" s="536"/>
      <c r="DAY1" s="536"/>
      <c r="DAZ1" s="536"/>
      <c r="DBA1" s="536"/>
      <c r="DBB1" s="536"/>
      <c r="DBC1" s="536"/>
      <c r="DBD1" s="536"/>
      <c r="DBE1" s="536"/>
      <c r="DBF1" s="536"/>
      <c r="DBG1" s="536"/>
      <c r="DBH1" s="536"/>
      <c r="DBI1" s="536"/>
      <c r="DBJ1" s="536"/>
      <c r="DBK1" s="536"/>
      <c r="DBL1" s="536"/>
      <c r="DBM1" s="536"/>
      <c r="DBN1" s="536"/>
      <c r="DBO1" s="536"/>
      <c r="DBP1" s="536"/>
      <c r="DBQ1" s="536"/>
      <c r="DBR1" s="536"/>
      <c r="DBS1" s="536"/>
      <c r="DBT1" s="536"/>
      <c r="DBU1" s="536"/>
      <c r="DBV1" s="536"/>
      <c r="DBW1" s="536"/>
      <c r="DBX1" s="536"/>
      <c r="DBY1" s="536"/>
      <c r="DBZ1" s="536"/>
      <c r="DCA1" s="536"/>
      <c r="DCB1" s="536"/>
      <c r="DCC1" s="536"/>
      <c r="DCD1" s="536"/>
      <c r="DCE1" s="536"/>
      <c r="DCF1" s="536"/>
      <c r="DCG1" s="536"/>
      <c r="DCH1" s="536"/>
      <c r="DCI1" s="536"/>
      <c r="DCJ1" s="536"/>
      <c r="DCK1" s="536"/>
      <c r="DCL1" s="536"/>
      <c r="DCM1" s="536"/>
      <c r="DCN1" s="536"/>
      <c r="DCO1" s="536"/>
      <c r="DCP1" s="536"/>
      <c r="DCQ1" s="536"/>
      <c r="DCR1" s="536"/>
      <c r="DCS1" s="536"/>
      <c r="DCT1" s="536"/>
      <c r="DCU1" s="536"/>
      <c r="DCV1" s="536"/>
      <c r="DCW1" s="536"/>
      <c r="DCX1" s="536"/>
      <c r="DCY1" s="536"/>
      <c r="DCZ1" s="536"/>
      <c r="DDA1" s="536"/>
      <c r="DDB1" s="536"/>
      <c r="DDC1" s="536"/>
      <c r="DDD1" s="536"/>
      <c r="DDE1" s="536"/>
      <c r="DDF1" s="536"/>
      <c r="DDG1" s="536"/>
      <c r="DDH1" s="536"/>
      <c r="DDI1" s="536"/>
      <c r="DDJ1" s="536"/>
      <c r="DDK1" s="536"/>
      <c r="DDL1" s="536"/>
      <c r="DDM1" s="536"/>
      <c r="DDN1" s="536"/>
      <c r="DDO1" s="536"/>
      <c r="DDP1" s="536"/>
      <c r="DDQ1" s="536"/>
      <c r="DDR1" s="536"/>
      <c r="DDS1" s="536"/>
      <c r="DDT1" s="536"/>
      <c r="DDU1" s="536"/>
      <c r="DDV1" s="536"/>
      <c r="DDW1" s="536"/>
      <c r="DDX1" s="536"/>
      <c r="DDY1" s="536"/>
      <c r="DDZ1" s="536"/>
      <c r="DEA1" s="536"/>
      <c r="DEB1" s="536"/>
      <c r="DEC1" s="536"/>
      <c r="DED1" s="536"/>
      <c r="DEE1" s="536"/>
      <c r="DEF1" s="536"/>
      <c r="DEG1" s="536"/>
      <c r="DEH1" s="536"/>
      <c r="DEI1" s="536"/>
      <c r="DEJ1" s="536"/>
      <c r="DEK1" s="536"/>
      <c r="DEL1" s="536"/>
      <c r="DEM1" s="536"/>
      <c r="DEN1" s="536"/>
      <c r="DEO1" s="536"/>
      <c r="DEP1" s="536"/>
      <c r="DEQ1" s="536"/>
      <c r="DER1" s="536"/>
      <c r="DES1" s="536"/>
      <c r="DET1" s="536"/>
      <c r="DEU1" s="536"/>
      <c r="DEV1" s="536"/>
      <c r="DEW1" s="536"/>
      <c r="DEX1" s="536"/>
      <c r="DEY1" s="536"/>
      <c r="DEZ1" s="536"/>
      <c r="DFA1" s="536"/>
      <c r="DFB1" s="536"/>
      <c r="DFC1" s="536"/>
      <c r="DFD1" s="536"/>
      <c r="DFE1" s="536"/>
      <c r="DFF1" s="536"/>
      <c r="DFG1" s="536"/>
      <c r="DFH1" s="536"/>
      <c r="DFI1" s="536"/>
      <c r="DFJ1" s="536"/>
      <c r="DFK1" s="536"/>
      <c r="DFL1" s="536"/>
      <c r="DFM1" s="536"/>
      <c r="DFN1" s="536"/>
      <c r="DFO1" s="536"/>
      <c r="DFP1" s="536"/>
      <c r="DFQ1" s="536"/>
      <c r="DFR1" s="536"/>
      <c r="DFS1" s="536"/>
      <c r="DFT1" s="536"/>
      <c r="DFU1" s="536"/>
      <c r="DFV1" s="536"/>
      <c r="DFW1" s="536"/>
      <c r="DFX1" s="536"/>
      <c r="DFY1" s="536"/>
      <c r="DFZ1" s="536"/>
      <c r="DGA1" s="536"/>
      <c r="DGB1" s="536"/>
      <c r="DGC1" s="536"/>
      <c r="DGD1" s="536"/>
      <c r="DGE1" s="536"/>
      <c r="DGF1" s="536"/>
      <c r="DGG1" s="536"/>
      <c r="DGH1" s="536"/>
      <c r="DGI1" s="536"/>
      <c r="DGJ1" s="536"/>
      <c r="DGK1" s="536"/>
      <c r="DGL1" s="536"/>
      <c r="DGM1" s="536"/>
      <c r="DGN1" s="536"/>
      <c r="DGO1" s="536"/>
      <c r="DGP1" s="536"/>
      <c r="DGQ1" s="536"/>
      <c r="DGR1" s="536"/>
      <c r="DGS1" s="536"/>
      <c r="DGT1" s="536"/>
      <c r="DGU1" s="536"/>
      <c r="DGV1" s="536"/>
      <c r="DGW1" s="536"/>
      <c r="DGX1" s="536"/>
      <c r="DGY1" s="536"/>
      <c r="DGZ1" s="536"/>
      <c r="DHA1" s="536"/>
      <c r="DHB1" s="536"/>
      <c r="DHC1" s="536"/>
      <c r="DHD1" s="536"/>
      <c r="DHE1" s="536"/>
      <c r="DHF1" s="536"/>
      <c r="DHG1" s="536"/>
      <c r="DHH1" s="536"/>
      <c r="DHI1" s="536"/>
      <c r="DHJ1" s="536"/>
      <c r="DHK1" s="536"/>
      <c r="DHL1" s="536"/>
      <c r="DHM1" s="536"/>
      <c r="DHN1" s="536"/>
      <c r="DHO1" s="536"/>
      <c r="DHP1" s="536"/>
      <c r="DHQ1" s="536"/>
      <c r="DHR1" s="536"/>
      <c r="DHS1" s="536"/>
      <c r="DHT1" s="536"/>
      <c r="DHU1" s="536"/>
      <c r="DHV1" s="536"/>
      <c r="DHW1" s="536"/>
      <c r="DHX1" s="536"/>
      <c r="DHY1" s="536"/>
      <c r="DHZ1" s="536"/>
      <c r="DIA1" s="536"/>
      <c r="DIB1" s="536"/>
      <c r="DIC1" s="536"/>
      <c r="DID1" s="536"/>
      <c r="DIE1" s="536"/>
      <c r="DIF1" s="536"/>
      <c r="DIG1" s="536"/>
      <c r="DIH1" s="536"/>
      <c r="DII1" s="536"/>
      <c r="DIJ1" s="536"/>
      <c r="DIK1" s="536"/>
      <c r="DIL1" s="536"/>
      <c r="DIM1" s="536"/>
      <c r="DIN1" s="536"/>
      <c r="DIO1" s="536"/>
      <c r="DIP1" s="536"/>
      <c r="DIQ1" s="536"/>
      <c r="DIR1" s="536"/>
      <c r="DIS1" s="536"/>
      <c r="DIT1" s="536"/>
      <c r="DIU1" s="536"/>
      <c r="DIV1" s="536"/>
      <c r="DIW1" s="536"/>
      <c r="DIX1" s="536"/>
      <c r="DIY1" s="536"/>
      <c r="DIZ1" s="536"/>
      <c r="DJA1" s="536"/>
      <c r="DJB1" s="536"/>
      <c r="DJC1" s="536"/>
      <c r="DJD1" s="536"/>
      <c r="DJE1" s="536"/>
      <c r="DJF1" s="536"/>
      <c r="DJG1" s="536"/>
      <c r="DJH1" s="536"/>
      <c r="DJI1" s="536"/>
      <c r="DJJ1" s="536"/>
      <c r="DJK1" s="536"/>
      <c r="DJL1" s="536"/>
      <c r="DJM1" s="536"/>
      <c r="DJN1" s="536"/>
      <c r="DJO1" s="536"/>
      <c r="DJP1" s="536"/>
      <c r="DJQ1" s="536"/>
      <c r="DJR1" s="536"/>
      <c r="DJS1" s="536"/>
      <c r="DJT1" s="536"/>
      <c r="DJU1" s="536"/>
      <c r="DJV1" s="536"/>
      <c r="DJW1" s="536"/>
      <c r="DJX1" s="536"/>
      <c r="DJY1" s="536"/>
      <c r="DJZ1" s="536"/>
      <c r="DKA1" s="536"/>
      <c r="DKB1" s="536"/>
      <c r="DKC1" s="536"/>
      <c r="DKD1" s="536"/>
      <c r="DKE1" s="536"/>
      <c r="DKF1" s="536"/>
      <c r="DKG1" s="536"/>
      <c r="DKH1" s="536"/>
      <c r="DKI1" s="536"/>
      <c r="DKJ1" s="536"/>
      <c r="DKK1" s="536"/>
      <c r="DKL1" s="536"/>
      <c r="DKM1" s="536"/>
      <c r="DKN1" s="536"/>
      <c r="DKO1" s="536"/>
      <c r="DKP1" s="536"/>
      <c r="DKQ1" s="536"/>
      <c r="DKR1" s="536"/>
      <c r="DKS1" s="536"/>
      <c r="DKT1" s="536"/>
      <c r="DKU1" s="536"/>
      <c r="DKV1" s="536"/>
      <c r="DKW1" s="536"/>
      <c r="DKX1" s="536"/>
      <c r="DKY1" s="536"/>
      <c r="DKZ1" s="536"/>
      <c r="DLA1" s="536"/>
      <c r="DLB1" s="536"/>
      <c r="DLC1" s="536"/>
      <c r="DLD1" s="536"/>
      <c r="DLE1" s="536"/>
      <c r="DLF1" s="536"/>
      <c r="DLG1" s="536"/>
      <c r="DLH1" s="536"/>
      <c r="DLI1" s="536"/>
      <c r="DLJ1" s="536"/>
      <c r="DLK1" s="536"/>
      <c r="DLL1" s="536"/>
      <c r="DLM1" s="536"/>
      <c r="DLN1" s="536"/>
      <c r="DLO1" s="536"/>
      <c r="DLP1" s="536"/>
      <c r="DLQ1" s="536"/>
      <c r="DLR1" s="536"/>
      <c r="DLS1" s="536"/>
      <c r="DLT1" s="536"/>
      <c r="DLU1" s="536"/>
      <c r="DLV1" s="536"/>
      <c r="DLW1" s="536"/>
      <c r="DLX1" s="536"/>
      <c r="DLY1" s="536"/>
      <c r="DLZ1" s="536"/>
      <c r="DMA1" s="536"/>
      <c r="DMB1" s="536"/>
      <c r="DMC1" s="536"/>
      <c r="DMD1" s="536"/>
      <c r="DME1" s="536"/>
      <c r="DMF1" s="536"/>
      <c r="DMG1" s="536"/>
      <c r="DMH1" s="536"/>
      <c r="DMI1" s="536"/>
      <c r="DMJ1" s="536"/>
      <c r="DMK1" s="536"/>
      <c r="DML1" s="536"/>
      <c r="DMM1" s="536"/>
      <c r="DMN1" s="536"/>
      <c r="DMO1" s="536"/>
      <c r="DMP1" s="536"/>
      <c r="DMQ1" s="536"/>
      <c r="DMR1" s="536"/>
      <c r="DMS1" s="536"/>
      <c r="DMT1" s="536"/>
      <c r="DMU1" s="536"/>
      <c r="DMV1" s="536"/>
      <c r="DMW1" s="536"/>
      <c r="DMX1" s="536"/>
      <c r="DMY1" s="536"/>
      <c r="DMZ1" s="536"/>
      <c r="DNA1" s="536"/>
      <c r="DNB1" s="536"/>
      <c r="DNC1" s="536"/>
      <c r="DND1" s="536"/>
      <c r="DNE1" s="536"/>
      <c r="DNF1" s="536"/>
      <c r="DNG1" s="536"/>
      <c r="DNH1" s="536"/>
      <c r="DNI1" s="536"/>
      <c r="DNJ1" s="536"/>
      <c r="DNK1" s="536"/>
      <c r="DNL1" s="536"/>
      <c r="DNM1" s="536"/>
      <c r="DNN1" s="536"/>
      <c r="DNO1" s="536"/>
      <c r="DNP1" s="536"/>
      <c r="DNQ1" s="536"/>
      <c r="DNR1" s="536"/>
      <c r="DNS1" s="536"/>
      <c r="DNT1" s="536"/>
      <c r="DNU1" s="536"/>
      <c r="DNV1" s="536"/>
      <c r="DNW1" s="536"/>
      <c r="DNX1" s="536"/>
      <c r="DNY1" s="536"/>
      <c r="DNZ1" s="536"/>
      <c r="DOA1" s="536"/>
      <c r="DOB1" s="536"/>
      <c r="DOC1" s="536"/>
      <c r="DOD1" s="536"/>
      <c r="DOE1" s="536"/>
      <c r="DOF1" s="536"/>
      <c r="DOG1" s="536"/>
      <c r="DOH1" s="536"/>
      <c r="DOI1" s="536"/>
      <c r="DOJ1" s="536"/>
      <c r="DOK1" s="536"/>
      <c r="DOL1" s="536"/>
      <c r="DOM1" s="536"/>
      <c r="DON1" s="536"/>
      <c r="DOO1" s="536"/>
      <c r="DOP1" s="536"/>
      <c r="DOQ1" s="536"/>
      <c r="DOR1" s="536"/>
      <c r="DOS1" s="536"/>
      <c r="DOT1" s="536"/>
      <c r="DOU1" s="536"/>
      <c r="DOV1" s="536"/>
      <c r="DOW1" s="536"/>
      <c r="DOX1" s="536"/>
      <c r="DOY1" s="536"/>
      <c r="DOZ1" s="536"/>
      <c r="DPA1" s="536"/>
      <c r="DPB1" s="536"/>
      <c r="DPC1" s="536"/>
      <c r="DPD1" s="536"/>
      <c r="DPE1" s="536"/>
      <c r="DPF1" s="536"/>
      <c r="DPG1" s="536"/>
      <c r="DPH1" s="536"/>
      <c r="DPI1" s="536"/>
      <c r="DPJ1" s="536"/>
      <c r="DPK1" s="536"/>
      <c r="DPL1" s="536"/>
      <c r="DPM1" s="536"/>
      <c r="DPN1" s="536"/>
      <c r="DPO1" s="536"/>
      <c r="DPP1" s="536"/>
      <c r="DPQ1" s="536"/>
      <c r="DPR1" s="536"/>
      <c r="DPS1" s="536"/>
      <c r="DPT1" s="536"/>
      <c r="DPU1" s="536"/>
      <c r="DPV1" s="536"/>
      <c r="DPW1" s="536"/>
      <c r="DPX1" s="536"/>
      <c r="DPY1" s="536"/>
      <c r="DPZ1" s="536"/>
      <c r="DQA1" s="536"/>
      <c r="DQB1" s="536"/>
      <c r="DQC1" s="536"/>
      <c r="DQD1" s="536"/>
      <c r="DQE1" s="536"/>
      <c r="DQF1" s="536"/>
      <c r="DQG1" s="536"/>
      <c r="DQH1" s="536"/>
      <c r="DQI1" s="536"/>
      <c r="DQJ1" s="536"/>
      <c r="DQK1" s="536"/>
      <c r="DQL1" s="536"/>
      <c r="DQM1" s="536"/>
      <c r="DQN1" s="536"/>
      <c r="DQO1" s="536"/>
      <c r="DQP1" s="536"/>
      <c r="DQQ1" s="536"/>
      <c r="DQR1" s="536"/>
      <c r="DQS1" s="536"/>
      <c r="DQT1" s="536"/>
      <c r="DQU1" s="536"/>
      <c r="DQV1" s="536"/>
      <c r="DQW1" s="536"/>
      <c r="DQX1" s="536"/>
      <c r="DQY1" s="536"/>
      <c r="DQZ1" s="536"/>
      <c r="DRA1" s="536"/>
      <c r="DRB1" s="536"/>
      <c r="DRC1" s="536"/>
      <c r="DRD1" s="536"/>
      <c r="DRE1" s="536"/>
      <c r="DRF1" s="536"/>
      <c r="DRG1" s="536"/>
      <c r="DRH1" s="536"/>
      <c r="DRI1" s="536"/>
      <c r="DRJ1" s="536"/>
      <c r="DRK1" s="536"/>
      <c r="DRL1" s="536"/>
      <c r="DRM1" s="536"/>
      <c r="DRN1" s="536"/>
      <c r="DRO1" s="536"/>
      <c r="DRP1" s="536"/>
      <c r="DRQ1" s="536"/>
      <c r="DRR1" s="536"/>
      <c r="DRS1" s="536"/>
      <c r="DRT1" s="536"/>
      <c r="DRU1" s="536"/>
      <c r="DRV1" s="536"/>
      <c r="DRW1" s="536"/>
      <c r="DRX1" s="536"/>
      <c r="DRY1" s="536"/>
      <c r="DRZ1" s="536"/>
      <c r="DSA1" s="536"/>
      <c r="DSB1" s="536"/>
      <c r="DSC1" s="536"/>
      <c r="DSD1" s="536"/>
      <c r="DSE1" s="536"/>
      <c r="DSF1" s="536"/>
      <c r="DSG1" s="536"/>
      <c r="DSH1" s="536"/>
      <c r="DSI1" s="536"/>
      <c r="DSJ1" s="536"/>
      <c r="DSK1" s="536"/>
      <c r="DSL1" s="536"/>
      <c r="DSM1" s="536"/>
      <c r="DSN1" s="536"/>
      <c r="DSO1" s="536"/>
      <c r="DSP1" s="536"/>
      <c r="DSQ1" s="536"/>
      <c r="DSR1" s="536"/>
      <c r="DSS1" s="536"/>
      <c r="DST1" s="536"/>
      <c r="DSU1" s="536"/>
      <c r="DSV1" s="536"/>
      <c r="DSW1" s="536"/>
      <c r="DSX1" s="536"/>
      <c r="DSY1" s="536"/>
      <c r="DSZ1" s="536"/>
      <c r="DTA1" s="536"/>
      <c r="DTB1" s="536"/>
      <c r="DTC1" s="536"/>
      <c r="DTD1" s="536"/>
      <c r="DTE1" s="536"/>
      <c r="DTF1" s="536"/>
      <c r="DTG1" s="536"/>
      <c r="DTH1" s="536"/>
      <c r="DTI1" s="536"/>
      <c r="DTJ1" s="536"/>
      <c r="DTK1" s="536"/>
      <c r="DTL1" s="536"/>
      <c r="DTM1" s="536"/>
      <c r="DTN1" s="536"/>
      <c r="DTO1" s="536"/>
      <c r="DTP1" s="536"/>
      <c r="DTQ1" s="536"/>
      <c r="DTR1" s="536"/>
      <c r="DTS1" s="536"/>
      <c r="DTT1" s="536"/>
      <c r="DTU1" s="536"/>
      <c r="DTV1" s="536"/>
      <c r="DTW1" s="536"/>
      <c r="DTX1" s="536"/>
      <c r="DTY1" s="536"/>
      <c r="DTZ1" s="536"/>
      <c r="DUA1" s="536"/>
      <c r="DUB1" s="536"/>
      <c r="DUC1" s="536"/>
      <c r="DUD1" s="536"/>
      <c r="DUE1" s="536"/>
      <c r="DUF1" s="536"/>
      <c r="DUG1" s="536"/>
      <c r="DUH1" s="536"/>
      <c r="DUI1" s="536"/>
      <c r="DUJ1" s="536"/>
      <c r="DUK1" s="536"/>
      <c r="DUL1" s="536"/>
      <c r="DUM1" s="536"/>
      <c r="DUN1" s="536"/>
      <c r="DUO1" s="536"/>
      <c r="DUP1" s="536"/>
      <c r="DUQ1" s="536"/>
      <c r="DUR1" s="536"/>
      <c r="DUS1" s="536"/>
      <c r="DUT1" s="536"/>
      <c r="DUU1" s="536"/>
      <c r="DUV1" s="536"/>
      <c r="DUW1" s="536"/>
      <c r="DUX1" s="536"/>
      <c r="DUY1" s="536"/>
      <c r="DUZ1" s="536"/>
      <c r="DVA1" s="536"/>
      <c r="DVB1" s="536"/>
      <c r="DVC1" s="536"/>
      <c r="DVD1" s="536"/>
      <c r="DVE1" s="536"/>
      <c r="DVF1" s="536"/>
      <c r="DVG1" s="536"/>
      <c r="DVH1" s="536"/>
      <c r="DVI1" s="536"/>
      <c r="DVJ1" s="536"/>
      <c r="DVK1" s="536"/>
      <c r="DVL1" s="536"/>
      <c r="DVM1" s="536"/>
      <c r="DVN1" s="536"/>
      <c r="DVO1" s="536"/>
      <c r="DVP1" s="536"/>
      <c r="DVQ1" s="536"/>
      <c r="DVR1" s="536"/>
      <c r="DVS1" s="536"/>
      <c r="DVT1" s="536"/>
      <c r="DVU1" s="536"/>
      <c r="DVV1" s="536"/>
      <c r="DVW1" s="536"/>
      <c r="DVX1" s="536"/>
      <c r="DVY1" s="536"/>
      <c r="DVZ1" s="536"/>
      <c r="DWA1" s="536"/>
      <c r="DWB1" s="536"/>
      <c r="DWC1" s="536"/>
      <c r="DWD1" s="536"/>
      <c r="DWE1" s="536"/>
      <c r="DWF1" s="536"/>
      <c r="DWG1" s="536"/>
      <c r="DWH1" s="536"/>
      <c r="DWI1" s="536"/>
      <c r="DWJ1" s="536"/>
      <c r="DWK1" s="536"/>
      <c r="DWL1" s="536"/>
      <c r="DWM1" s="536"/>
      <c r="DWN1" s="536"/>
      <c r="DWO1" s="536"/>
      <c r="DWP1" s="536"/>
      <c r="DWQ1" s="536"/>
      <c r="DWR1" s="536"/>
      <c r="DWS1" s="536"/>
      <c r="DWT1" s="536"/>
      <c r="DWU1" s="536"/>
      <c r="DWV1" s="536"/>
      <c r="DWW1" s="536"/>
      <c r="DWX1" s="536"/>
      <c r="DWY1" s="536"/>
      <c r="DWZ1" s="536"/>
      <c r="DXA1" s="536"/>
      <c r="DXB1" s="536"/>
      <c r="DXC1" s="536"/>
      <c r="DXD1" s="536"/>
      <c r="DXE1" s="536"/>
      <c r="DXF1" s="536"/>
      <c r="DXG1" s="536"/>
      <c r="DXH1" s="536"/>
      <c r="DXI1" s="536"/>
      <c r="DXJ1" s="536"/>
      <c r="DXK1" s="536"/>
      <c r="DXL1" s="536"/>
      <c r="DXM1" s="536"/>
      <c r="DXN1" s="536"/>
      <c r="DXO1" s="536"/>
      <c r="DXP1" s="536"/>
      <c r="DXQ1" s="536"/>
      <c r="DXR1" s="536"/>
      <c r="DXS1" s="536"/>
      <c r="DXT1" s="536"/>
      <c r="DXU1" s="536"/>
      <c r="DXV1" s="536"/>
      <c r="DXW1" s="536"/>
      <c r="DXX1" s="536"/>
      <c r="DXY1" s="536"/>
      <c r="DXZ1" s="536"/>
      <c r="DYA1" s="536"/>
      <c r="DYB1" s="536"/>
      <c r="DYC1" s="536"/>
      <c r="DYD1" s="536"/>
      <c r="DYE1" s="536"/>
      <c r="DYF1" s="536"/>
      <c r="DYG1" s="536"/>
      <c r="DYH1" s="536"/>
      <c r="DYI1" s="536"/>
      <c r="DYJ1" s="536"/>
      <c r="DYK1" s="536"/>
      <c r="DYL1" s="536"/>
      <c r="DYM1" s="536"/>
      <c r="DYN1" s="536"/>
      <c r="DYO1" s="536"/>
      <c r="DYP1" s="536"/>
      <c r="DYQ1" s="536"/>
      <c r="DYR1" s="536"/>
      <c r="DYS1" s="536"/>
      <c r="DYT1" s="536"/>
      <c r="DYU1" s="536"/>
      <c r="DYV1" s="536"/>
      <c r="DYW1" s="536"/>
      <c r="DYX1" s="536"/>
      <c r="DYY1" s="536"/>
      <c r="DYZ1" s="536"/>
      <c r="DZA1" s="536"/>
      <c r="DZB1" s="536"/>
      <c r="DZC1" s="536"/>
      <c r="DZD1" s="536"/>
      <c r="DZE1" s="536"/>
      <c r="DZF1" s="536"/>
      <c r="DZG1" s="536"/>
      <c r="DZH1" s="536"/>
      <c r="DZI1" s="536"/>
      <c r="DZJ1" s="536"/>
      <c r="DZK1" s="536"/>
      <c r="DZL1" s="536"/>
      <c r="DZM1" s="536"/>
      <c r="DZN1" s="536"/>
      <c r="DZO1" s="536"/>
      <c r="DZP1" s="536"/>
      <c r="DZQ1" s="536"/>
      <c r="DZR1" s="536"/>
      <c r="DZS1" s="536"/>
      <c r="DZT1" s="536"/>
      <c r="DZU1" s="536"/>
      <c r="DZV1" s="536"/>
      <c r="DZW1" s="536"/>
      <c r="DZX1" s="536"/>
      <c r="DZY1" s="536"/>
      <c r="DZZ1" s="536"/>
      <c r="EAA1" s="536"/>
      <c r="EAB1" s="536"/>
      <c r="EAC1" s="536"/>
      <c r="EAD1" s="536"/>
      <c r="EAE1" s="536"/>
      <c r="EAF1" s="536"/>
      <c r="EAG1" s="536"/>
      <c r="EAH1" s="536"/>
      <c r="EAI1" s="536"/>
      <c r="EAJ1" s="536"/>
      <c r="EAK1" s="536"/>
      <c r="EAL1" s="536"/>
      <c r="EAM1" s="536"/>
      <c r="EAN1" s="536"/>
      <c r="EAO1" s="536"/>
      <c r="EAP1" s="536"/>
      <c r="EAQ1" s="536"/>
      <c r="EAR1" s="536"/>
      <c r="EAS1" s="536"/>
      <c r="EAT1" s="536"/>
      <c r="EAU1" s="536"/>
      <c r="EAV1" s="536"/>
      <c r="EAW1" s="536"/>
      <c r="EAX1" s="536"/>
      <c r="EAY1" s="536"/>
      <c r="EAZ1" s="536"/>
      <c r="EBA1" s="536"/>
      <c r="EBB1" s="536"/>
      <c r="EBC1" s="536"/>
      <c r="EBD1" s="536"/>
      <c r="EBE1" s="536"/>
      <c r="EBF1" s="536"/>
      <c r="EBG1" s="536"/>
      <c r="EBH1" s="536"/>
      <c r="EBI1" s="536"/>
      <c r="EBJ1" s="536"/>
      <c r="EBK1" s="536"/>
      <c r="EBL1" s="536"/>
      <c r="EBM1" s="536"/>
      <c r="EBN1" s="536"/>
      <c r="EBO1" s="536"/>
      <c r="EBP1" s="536"/>
      <c r="EBQ1" s="536"/>
      <c r="EBR1" s="536"/>
      <c r="EBS1" s="536"/>
      <c r="EBT1" s="536"/>
      <c r="EBU1" s="536"/>
      <c r="EBV1" s="536"/>
      <c r="EBW1" s="536"/>
      <c r="EBX1" s="536"/>
      <c r="EBY1" s="536"/>
      <c r="EBZ1" s="536"/>
      <c r="ECA1" s="536"/>
      <c r="ECB1" s="536"/>
      <c r="ECC1" s="536"/>
      <c r="ECD1" s="536"/>
      <c r="ECE1" s="536"/>
      <c r="ECF1" s="536"/>
      <c r="ECG1" s="536"/>
      <c r="ECH1" s="536"/>
      <c r="ECI1" s="536"/>
      <c r="ECJ1" s="536"/>
      <c r="ECK1" s="536"/>
      <c r="ECL1" s="536"/>
      <c r="ECM1" s="536"/>
      <c r="ECN1" s="536"/>
      <c r="ECO1" s="536"/>
      <c r="ECP1" s="536"/>
      <c r="ECQ1" s="536"/>
      <c r="ECR1" s="536"/>
      <c r="ECS1" s="536"/>
      <c r="ECT1" s="536"/>
      <c r="ECU1" s="536"/>
      <c r="ECV1" s="536"/>
      <c r="ECW1" s="536"/>
      <c r="ECX1" s="536"/>
      <c r="ECY1" s="536"/>
      <c r="ECZ1" s="536"/>
      <c r="EDA1" s="536"/>
      <c r="EDB1" s="536"/>
      <c r="EDC1" s="536"/>
      <c r="EDD1" s="536"/>
      <c r="EDE1" s="536"/>
      <c r="EDF1" s="536"/>
      <c r="EDG1" s="536"/>
      <c r="EDH1" s="536"/>
      <c r="EDI1" s="536"/>
      <c r="EDJ1" s="536"/>
      <c r="EDK1" s="536"/>
      <c r="EDL1" s="536"/>
      <c r="EDM1" s="536"/>
      <c r="EDN1" s="536"/>
      <c r="EDO1" s="536"/>
      <c r="EDP1" s="536"/>
      <c r="EDQ1" s="536"/>
      <c r="EDR1" s="536"/>
      <c r="EDS1" s="536"/>
      <c r="EDT1" s="536"/>
      <c r="EDU1" s="536"/>
      <c r="EDV1" s="536"/>
      <c r="EDW1" s="536"/>
      <c r="EDX1" s="536"/>
      <c r="EDY1" s="536"/>
      <c r="EDZ1" s="536"/>
      <c r="EEA1" s="536"/>
      <c r="EEB1" s="536"/>
      <c r="EEC1" s="536"/>
      <c r="EED1" s="536"/>
      <c r="EEE1" s="536"/>
      <c r="EEF1" s="536"/>
      <c r="EEG1" s="536"/>
      <c r="EEH1" s="536"/>
      <c r="EEI1" s="536"/>
      <c r="EEJ1" s="536"/>
      <c r="EEK1" s="536"/>
      <c r="EEL1" s="536"/>
      <c r="EEM1" s="536"/>
      <c r="EEN1" s="536"/>
      <c r="EEO1" s="536"/>
      <c r="EEP1" s="536"/>
      <c r="EEQ1" s="536"/>
      <c r="EER1" s="536"/>
      <c r="EES1" s="536"/>
      <c r="EET1" s="536"/>
      <c r="EEU1" s="536"/>
      <c r="EEV1" s="536"/>
      <c r="EEW1" s="536"/>
      <c r="EEX1" s="536"/>
      <c r="EEY1" s="536"/>
      <c r="EEZ1" s="536"/>
      <c r="EFA1" s="536"/>
      <c r="EFB1" s="536"/>
      <c r="EFC1" s="536"/>
      <c r="EFD1" s="536"/>
      <c r="EFE1" s="536"/>
      <c r="EFF1" s="536"/>
      <c r="EFG1" s="536"/>
      <c r="EFH1" s="536"/>
      <c r="EFI1" s="536"/>
      <c r="EFJ1" s="536"/>
      <c r="EFK1" s="536"/>
      <c r="EFL1" s="536"/>
      <c r="EFM1" s="536"/>
      <c r="EFN1" s="536"/>
      <c r="EFO1" s="536"/>
      <c r="EFP1" s="536"/>
      <c r="EFQ1" s="536"/>
      <c r="EFR1" s="536"/>
      <c r="EFS1" s="536"/>
      <c r="EFT1" s="536"/>
      <c r="EFU1" s="536"/>
      <c r="EFV1" s="536"/>
      <c r="EFW1" s="536"/>
      <c r="EFX1" s="536"/>
      <c r="EFY1" s="536"/>
      <c r="EFZ1" s="536"/>
      <c r="EGA1" s="536"/>
      <c r="EGB1" s="536"/>
      <c r="EGC1" s="536"/>
      <c r="EGD1" s="536"/>
      <c r="EGE1" s="536"/>
      <c r="EGF1" s="536"/>
      <c r="EGG1" s="536"/>
      <c r="EGH1" s="536"/>
      <c r="EGI1" s="536"/>
      <c r="EGJ1" s="536"/>
      <c r="EGK1" s="536"/>
      <c r="EGL1" s="536"/>
      <c r="EGM1" s="536"/>
      <c r="EGN1" s="536"/>
      <c r="EGO1" s="536"/>
      <c r="EGP1" s="536"/>
      <c r="EGQ1" s="536"/>
      <c r="EGR1" s="536"/>
      <c r="EGS1" s="536"/>
      <c r="EGT1" s="536"/>
      <c r="EGU1" s="536"/>
      <c r="EGV1" s="536"/>
      <c r="EGW1" s="536"/>
      <c r="EGX1" s="536"/>
      <c r="EGY1" s="536"/>
      <c r="EGZ1" s="536"/>
      <c r="EHA1" s="536"/>
      <c r="EHB1" s="536"/>
      <c r="EHC1" s="536"/>
      <c r="EHD1" s="536"/>
      <c r="EHE1" s="536"/>
      <c r="EHF1" s="536"/>
      <c r="EHG1" s="536"/>
      <c r="EHH1" s="536"/>
      <c r="EHI1" s="536"/>
      <c r="EHJ1" s="536"/>
      <c r="EHK1" s="536"/>
      <c r="EHL1" s="536"/>
      <c r="EHM1" s="536"/>
      <c r="EHN1" s="536"/>
      <c r="EHO1" s="536"/>
      <c r="EHP1" s="536"/>
      <c r="EHQ1" s="536"/>
      <c r="EHR1" s="536"/>
      <c r="EHS1" s="536"/>
      <c r="EHT1" s="536"/>
      <c r="EHU1" s="536"/>
      <c r="EHV1" s="536"/>
      <c r="EHW1" s="536"/>
      <c r="EHX1" s="536"/>
      <c r="EHY1" s="536"/>
      <c r="EHZ1" s="536"/>
      <c r="EIA1" s="536"/>
      <c r="EIB1" s="536"/>
      <c r="EIC1" s="536"/>
      <c r="EID1" s="536"/>
      <c r="EIE1" s="536"/>
      <c r="EIF1" s="536"/>
      <c r="EIG1" s="536"/>
      <c r="EIH1" s="536"/>
      <c r="EII1" s="536"/>
      <c r="EIJ1" s="536"/>
      <c r="EIK1" s="536"/>
      <c r="EIL1" s="536"/>
      <c r="EIM1" s="536"/>
      <c r="EIN1" s="536"/>
      <c r="EIO1" s="536"/>
      <c r="EIP1" s="536"/>
      <c r="EIQ1" s="536"/>
      <c r="EIR1" s="536"/>
      <c r="EIS1" s="536"/>
      <c r="EIT1" s="536"/>
      <c r="EIU1" s="536"/>
      <c r="EIV1" s="536"/>
      <c r="EIW1" s="536"/>
      <c r="EIX1" s="536"/>
      <c r="EIY1" s="536"/>
      <c r="EIZ1" s="536"/>
      <c r="EJA1" s="536"/>
      <c r="EJB1" s="536"/>
      <c r="EJC1" s="536"/>
      <c r="EJD1" s="536"/>
      <c r="EJE1" s="536"/>
      <c r="EJF1" s="536"/>
      <c r="EJG1" s="536"/>
      <c r="EJH1" s="536"/>
      <c r="EJI1" s="536"/>
      <c r="EJJ1" s="536"/>
      <c r="EJK1" s="536"/>
      <c r="EJL1" s="536"/>
      <c r="EJM1" s="536"/>
      <c r="EJN1" s="536"/>
      <c r="EJO1" s="536"/>
      <c r="EJP1" s="536"/>
      <c r="EJQ1" s="536"/>
      <c r="EJR1" s="536"/>
      <c r="EJS1" s="536"/>
      <c r="EJT1" s="536"/>
      <c r="EJU1" s="536"/>
      <c r="EJV1" s="536"/>
      <c r="EJW1" s="536"/>
      <c r="EJX1" s="536"/>
      <c r="EJY1" s="536"/>
      <c r="EJZ1" s="536"/>
      <c r="EKA1" s="536"/>
      <c r="EKB1" s="536"/>
      <c r="EKC1" s="536"/>
      <c r="EKD1" s="536"/>
      <c r="EKE1" s="536"/>
      <c r="EKF1" s="536"/>
      <c r="EKG1" s="536"/>
      <c r="EKH1" s="536"/>
      <c r="EKI1" s="536"/>
      <c r="EKJ1" s="536"/>
      <c r="EKK1" s="536"/>
      <c r="EKL1" s="536"/>
      <c r="EKM1" s="536"/>
      <c r="EKN1" s="536"/>
      <c r="EKO1" s="536"/>
      <c r="EKP1" s="536"/>
      <c r="EKQ1" s="536"/>
      <c r="EKR1" s="536"/>
      <c r="EKS1" s="536"/>
      <c r="EKT1" s="536"/>
      <c r="EKU1" s="536"/>
      <c r="EKV1" s="536"/>
      <c r="EKW1" s="536"/>
      <c r="EKX1" s="536"/>
      <c r="EKY1" s="536"/>
      <c r="EKZ1" s="536"/>
      <c r="ELA1" s="536"/>
      <c r="ELB1" s="536"/>
      <c r="ELC1" s="536"/>
      <c r="ELD1" s="536"/>
      <c r="ELE1" s="536"/>
      <c r="ELF1" s="536"/>
      <c r="ELG1" s="536"/>
      <c r="ELH1" s="536"/>
      <c r="ELI1" s="536"/>
      <c r="ELJ1" s="536"/>
      <c r="ELK1" s="536"/>
      <c r="ELL1" s="536"/>
      <c r="ELM1" s="536"/>
      <c r="ELN1" s="536"/>
      <c r="ELO1" s="536"/>
      <c r="ELP1" s="536"/>
      <c r="ELQ1" s="536"/>
      <c r="ELR1" s="536"/>
      <c r="ELS1" s="536"/>
      <c r="ELT1" s="536"/>
      <c r="ELU1" s="536"/>
      <c r="ELV1" s="536"/>
      <c r="ELW1" s="536"/>
      <c r="ELX1" s="536"/>
      <c r="ELY1" s="536"/>
      <c r="ELZ1" s="536"/>
      <c r="EMA1" s="536"/>
      <c r="EMB1" s="536"/>
      <c r="EMC1" s="536"/>
      <c r="EMD1" s="536"/>
      <c r="EME1" s="536"/>
      <c r="EMF1" s="536"/>
      <c r="EMG1" s="536"/>
      <c r="EMH1" s="536"/>
      <c r="EMI1" s="536"/>
      <c r="EMJ1" s="536"/>
      <c r="EMK1" s="536"/>
      <c r="EML1" s="536"/>
      <c r="EMM1" s="536"/>
      <c r="EMN1" s="536"/>
      <c r="EMO1" s="536"/>
      <c r="EMP1" s="536"/>
      <c r="EMQ1" s="536"/>
      <c r="EMR1" s="536"/>
      <c r="EMS1" s="536"/>
      <c r="EMT1" s="536"/>
      <c r="EMU1" s="536"/>
      <c r="EMV1" s="536"/>
      <c r="EMW1" s="536"/>
      <c r="EMX1" s="536"/>
      <c r="EMY1" s="536"/>
      <c r="EMZ1" s="536"/>
      <c r="ENA1" s="536"/>
      <c r="ENB1" s="536"/>
      <c r="ENC1" s="536"/>
      <c r="END1" s="536"/>
      <c r="ENE1" s="536"/>
      <c r="ENF1" s="536"/>
      <c r="ENG1" s="536"/>
      <c r="ENH1" s="536"/>
      <c r="ENI1" s="536"/>
      <c r="ENJ1" s="536"/>
      <c r="ENK1" s="536"/>
      <c r="ENL1" s="536"/>
      <c r="ENM1" s="536"/>
      <c r="ENN1" s="536"/>
      <c r="ENO1" s="536"/>
      <c r="ENP1" s="536"/>
      <c r="ENQ1" s="536"/>
      <c r="ENR1" s="536"/>
      <c r="ENS1" s="536"/>
      <c r="ENT1" s="536"/>
      <c r="ENU1" s="536"/>
      <c r="ENV1" s="536"/>
      <c r="ENW1" s="536"/>
      <c r="ENX1" s="536"/>
      <c r="ENY1" s="536"/>
      <c r="ENZ1" s="536"/>
      <c r="EOA1" s="536"/>
      <c r="EOB1" s="536"/>
      <c r="EOC1" s="536"/>
      <c r="EOD1" s="536"/>
      <c r="EOE1" s="536"/>
      <c r="EOF1" s="536"/>
      <c r="EOG1" s="536"/>
      <c r="EOH1" s="536"/>
      <c r="EOI1" s="536"/>
      <c r="EOJ1" s="536"/>
      <c r="EOK1" s="536"/>
      <c r="EOL1" s="536"/>
      <c r="EOM1" s="536"/>
      <c r="EON1" s="536"/>
      <c r="EOO1" s="536"/>
      <c r="EOP1" s="536"/>
      <c r="EOQ1" s="536"/>
      <c r="EOR1" s="536"/>
      <c r="EOS1" s="536"/>
      <c r="EOT1" s="536"/>
      <c r="EOU1" s="536"/>
      <c r="EOV1" s="536"/>
      <c r="EOW1" s="536"/>
      <c r="EOX1" s="536"/>
      <c r="EOY1" s="536"/>
      <c r="EOZ1" s="536"/>
      <c r="EPA1" s="536"/>
      <c r="EPB1" s="536"/>
      <c r="EPC1" s="536"/>
      <c r="EPD1" s="536"/>
      <c r="EPE1" s="536"/>
      <c r="EPF1" s="536"/>
      <c r="EPG1" s="536"/>
      <c r="EPH1" s="536"/>
      <c r="EPI1" s="536"/>
      <c r="EPJ1" s="536"/>
      <c r="EPK1" s="536"/>
      <c r="EPL1" s="536"/>
      <c r="EPM1" s="536"/>
      <c r="EPN1" s="536"/>
      <c r="EPO1" s="536"/>
      <c r="EPP1" s="536"/>
      <c r="EPQ1" s="536"/>
      <c r="EPR1" s="536"/>
      <c r="EPS1" s="536"/>
      <c r="EPT1" s="536"/>
      <c r="EPU1" s="536"/>
      <c r="EPV1" s="536"/>
      <c r="EPW1" s="536"/>
      <c r="EPX1" s="536"/>
      <c r="EPY1" s="536"/>
      <c r="EPZ1" s="536"/>
      <c r="EQA1" s="536"/>
      <c r="EQB1" s="536"/>
      <c r="EQC1" s="536"/>
      <c r="EQD1" s="536"/>
      <c r="EQE1" s="536"/>
      <c r="EQF1" s="536"/>
      <c r="EQG1" s="536"/>
      <c r="EQH1" s="536"/>
      <c r="EQI1" s="536"/>
      <c r="EQJ1" s="536"/>
      <c r="EQK1" s="536"/>
      <c r="EQL1" s="536"/>
      <c r="EQM1" s="536"/>
      <c r="EQN1" s="536"/>
      <c r="EQO1" s="536"/>
      <c r="EQP1" s="536"/>
      <c r="EQQ1" s="536"/>
      <c r="EQR1" s="536"/>
      <c r="EQS1" s="536"/>
      <c r="EQT1" s="536"/>
      <c r="EQU1" s="536"/>
      <c r="EQV1" s="536"/>
      <c r="EQW1" s="536"/>
      <c r="EQX1" s="536"/>
      <c r="EQY1" s="536"/>
      <c r="EQZ1" s="536"/>
      <c r="ERA1" s="536"/>
      <c r="ERB1" s="536"/>
      <c r="ERC1" s="536"/>
      <c r="ERD1" s="536"/>
      <c r="ERE1" s="536"/>
      <c r="ERF1" s="536"/>
      <c r="ERG1" s="536"/>
      <c r="ERH1" s="536"/>
      <c r="ERI1" s="536"/>
      <c r="ERJ1" s="536"/>
      <c r="ERK1" s="536"/>
      <c r="ERL1" s="536"/>
      <c r="ERM1" s="536"/>
      <c r="ERN1" s="536"/>
      <c r="ERO1" s="536"/>
      <c r="ERP1" s="536"/>
      <c r="ERQ1" s="536"/>
      <c r="ERR1" s="536"/>
      <c r="ERS1" s="536"/>
      <c r="ERT1" s="536"/>
      <c r="ERU1" s="536"/>
      <c r="ERV1" s="536"/>
      <c r="ERW1" s="536"/>
      <c r="ERX1" s="536"/>
      <c r="ERY1" s="536"/>
      <c r="ERZ1" s="536"/>
      <c r="ESA1" s="536"/>
      <c r="ESB1" s="536"/>
      <c r="ESC1" s="536"/>
      <c r="ESD1" s="536"/>
      <c r="ESE1" s="536"/>
      <c r="ESF1" s="536"/>
      <c r="ESG1" s="536"/>
      <c r="ESH1" s="536"/>
      <c r="ESI1" s="536"/>
      <c r="ESJ1" s="536"/>
      <c r="ESK1" s="536"/>
      <c r="ESL1" s="536"/>
      <c r="ESM1" s="536"/>
      <c r="ESN1" s="536"/>
      <c r="ESO1" s="536"/>
      <c r="ESP1" s="536"/>
      <c r="ESQ1" s="536"/>
      <c r="ESR1" s="536"/>
      <c r="ESS1" s="536"/>
      <c r="EST1" s="536"/>
      <c r="ESU1" s="536"/>
      <c r="ESV1" s="536"/>
      <c r="ESW1" s="536"/>
      <c r="ESX1" s="536"/>
      <c r="ESY1" s="536"/>
      <c r="ESZ1" s="536"/>
      <c r="ETA1" s="536"/>
      <c r="ETB1" s="536"/>
      <c r="ETC1" s="536"/>
      <c r="ETD1" s="536"/>
      <c r="ETE1" s="536"/>
      <c r="ETF1" s="536"/>
      <c r="ETG1" s="536"/>
      <c r="ETH1" s="536"/>
      <c r="ETI1" s="536"/>
      <c r="ETJ1" s="536"/>
      <c r="ETK1" s="536"/>
      <c r="ETL1" s="536"/>
      <c r="ETM1" s="536"/>
      <c r="ETN1" s="536"/>
      <c r="ETO1" s="536"/>
      <c r="ETP1" s="536"/>
      <c r="ETQ1" s="536"/>
      <c r="ETR1" s="536"/>
      <c r="ETS1" s="536"/>
      <c r="ETT1" s="536"/>
      <c r="ETU1" s="536"/>
      <c r="ETV1" s="536"/>
      <c r="ETW1" s="536"/>
      <c r="ETX1" s="536"/>
      <c r="ETY1" s="536"/>
      <c r="ETZ1" s="536"/>
      <c r="EUA1" s="536"/>
      <c r="EUB1" s="536"/>
      <c r="EUC1" s="536"/>
      <c r="EUD1" s="536"/>
      <c r="EUE1" s="536"/>
      <c r="EUF1" s="536"/>
      <c r="EUG1" s="536"/>
      <c r="EUH1" s="536"/>
      <c r="EUI1" s="536"/>
      <c r="EUJ1" s="536"/>
      <c r="EUK1" s="536"/>
      <c r="EUL1" s="536"/>
      <c r="EUM1" s="536"/>
      <c r="EUN1" s="536"/>
      <c r="EUO1" s="536"/>
      <c r="EUP1" s="536"/>
      <c r="EUQ1" s="536"/>
      <c r="EUR1" s="536"/>
      <c r="EUS1" s="536"/>
      <c r="EUT1" s="536"/>
      <c r="EUU1" s="536"/>
      <c r="EUV1" s="536"/>
      <c r="EUW1" s="536"/>
      <c r="EUX1" s="536"/>
      <c r="EUY1" s="536"/>
      <c r="EUZ1" s="536"/>
      <c r="EVA1" s="536"/>
      <c r="EVB1" s="536"/>
      <c r="EVC1" s="536"/>
      <c r="EVD1" s="536"/>
      <c r="EVE1" s="536"/>
      <c r="EVF1" s="536"/>
      <c r="EVG1" s="536"/>
      <c r="EVH1" s="536"/>
      <c r="EVI1" s="536"/>
      <c r="EVJ1" s="536"/>
      <c r="EVK1" s="536"/>
      <c r="EVL1" s="536"/>
      <c r="EVM1" s="536"/>
      <c r="EVN1" s="536"/>
      <c r="EVO1" s="536"/>
      <c r="EVP1" s="536"/>
      <c r="EVQ1" s="536"/>
      <c r="EVR1" s="536"/>
      <c r="EVS1" s="536"/>
      <c r="EVT1" s="536"/>
      <c r="EVU1" s="536"/>
      <c r="EVV1" s="536"/>
      <c r="EVW1" s="536"/>
      <c r="EVX1" s="536"/>
      <c r="EVY1" s="536"/>
      <c r="EVZ1" s="536"/>
      <c r="EWA1" s="536"/>
      <c r="EWB1" s="536"/>
      <c r="EWC1" s="536"/>
      <c r="EWD1" s="536"/>
      <c r="EWE1" s="536"/>
      <c r="EWF1" s="536"/>
      <c r="EWG1" s="536"/>
      <c r="EWH1" s="536"/>
      <c r="EWI1" s="536"/>
      <c r="EWJ1" s="536"/>
      <c r="EWK1" s="536"/>
      <c r="EWL1" s="536"/>
      <c r="EWM1" s="536"/>
      <c r="EWN1" s="536"/>
      <c r="EWO1" s="536"/>
      <c r="EWP1" s="536"/>
      <c r="EWQ1" s="536"/>
      <c r="EWR1" s="536"/>
      <c r="EWS1" s="536"/>
      <c r="EWT1" s="536"/>
      <c r="EWU1" s="536"/>
      <c r="EWV1" s="536"/>
      <c r="EWW1" s="536"/>
      <c r="EWX1" s="536"/>
      <c r="EWY1" s="536"/>
      <c r="EWZ1" s="536"/>
      <c r="EXA1" s="536"/>
      <c r="EXB1" s="536"/>
      <c r="EXC1" s="536"/>
      <c r="EXD1" s="536"/>
      <c r="EXE1" s="536"/>
      <c r="EXF1" s="536"/>
      <c r="EXG1" s="536"/>
      <c r="EXH1" s="536"/>
      <c r="EXI1" s="536"/>
      <c r="EXJ1" s="536"/>
      <c r="EXK1" s="536"/>
      <c r="EXL1" s="536"/>
      <c r="EXM1" s="536"/>
      <c r="EXN1" s="536"/>
      <c r="EXO1" s="536"/>
      <c r="EXP1" s="536"/>
      <c r="EXQ1" s="536"/>
      <c r="EXR1" s="536"/>
      <c r="EXS1" s="536"/>
      <c r="EXT1" s="536"/>
      <c r="EXU1" s="536"/>
      <c r="EXV1" s="536"/>
      <c r="EXW1" s="536"/>
      <c r="EXX1" s="536"/>
      <c r="EXY1" s="536"/>
      <c r="EXZ1" s="536"/>
      <c r="EYA1" s="536"/>
      <c r="EYB1" s="536"/>
      <c r="EYC1" s="536"/>
      <c r="EYD1" s="536"/>
      <c r="EYE1" s="536"/>
      <c r="EYF1" s="536"/>
      <c r="EYG1" s="536"/>
      <c r="EYH1" s="536"/>
      <c r="EYI1" s="536"/>
      <c r="EYJ1" s="536"/>
      <c r="EYK1" s="536"/>
      <c r="EYL1" s="536"/>
      <c r="EYM1" s="536"/>
      <c r="EYN1" s="536"/>
      <c r="EYO1" s="536"/>
      <c r="EYP1" s="536"/>
      <c r="EYQ1" s="536"/>
      <c r="EYR1" s="536"/>
      <c r="EYS1" s="536"/>
      <c r="EYT1" s="536"/>
      <c r="EYU1" s="536"/>
      <c r="EYV1" s="536"/>
      <c r="EYW1" s="536"/>
      <c r="EYX1" s="536"/>
      <c r="EYY1" s="536"/>
      <c r="EYZ1" s="536"/>
      <c r="EZA1" s="536"/>
      <c r="EZB1" s="536"/>
      <c r="EZC1" s="536"/>
      <c r="EZD1" s="536"/>
      <c r="EZE1" s="536"/>
      <c r="EZF1" s="536"/>
      <c r="EZG1" s="536"/>
      <c r="EZH1" s="536"/>
      <c r="EZI1" s="536"/>
      <c r="EZJ1" s="536"/>
      <c r="EZK1" s="536"/>
      <c r="EZL1" s="536"/>
      <c r="EZM1" s="536"/>
      <c r="EZN1" s="536"/>
      <c r="EZO1" s="536"/>
      <c r="EZP1" s="536"/>
      <c r="EZQ1" s="536"/>
      <c r="EZR1" s="536"/>
      <c r="EZS1" s="536"/>
      <c r="EZT1" s="536"/>
      <c r="EZU1" s="536"/>
      <c r="EZV1" s="536"/>
      <c r="EZW1" s="536"/>
      <c r="EZX1" s="536"/>
      <c r="EZY1" s="536"/>
      <c r="EZZ1" s="536"/>
      <c r="FAA1" s="536"/>
      <c r="FAB1" s="536"/>
      <c r="FAC1" s="536"/>
      <c r="FAD1" s="536"/>
      <c r="FAE1" s="536"/>
      <c r="FAF1" s="536"/>
      <c r="FAG1" s="536"/>
      <c r="FAH1" s="536"/>
      <c r="FAI1" s="536"/>
      <c r="FAJ1" s="536"/>
      <c r="FAK1" s="536"/>
      <c r="FAL1" s="536"/>
      <c r="FAM1" s="536"/>
      <c r="FAN1" s="536"/>
      <c r="FAO1" s="536"/>
      <c r="FAP1" s="536"/>
      <c r="FAQ1" s="536"/>
      <c r="FAR1" s="536"/>
      <c r="FAS1" s="536"/>
      <c r="FAT1" s="536"/>
      <c r="FAU1" s="536"/>
      <c r="FAV1" s="536"/>
      <c r="FAW1" s="536"/>
      <c r="FAX1" s="536"/>
      <c r="FAY1" s="536"/>
      <c r="FAZ1" s="536"/>
      <c r="FBA1" s="536"/>
      <c r="FBB1" s="536"/>
      <c r="FBC1" s="536"/>
      <c r="FBD1" s="536"/>
      <c r="FBE1" s="536"/>
      <c r="FBF1" s="536"/>
      <c r="FBG1" s="536"/>
      <c r="FBH1" s="536"/>
      <c r="FBI1" s="536"/>
      <c r="FBJ1" s="536"/>
      <c r="FBK1" s="536"/>
      <c r="FBL1" s="536"/>
      <c r="FBM1" s="536"/>
      <c r="FBN1" s="536"/>
      <c r="FBO1" s="536"/>
      <c r="FBP1" s="536"/>
      <c r="FBQ1" s="536"/>
      <c r="FBR1" s="536"/>
      <c r="FBS1" s="536"/>
      <c r="FBT1" s="536"/>
      <c r="FBU1" s="536"/>
      <c r="FBV1" s="536"/>
      <c r="FBW1" s="536"/>
      <c r="FBX1" s="536"/>
      <c r="FBY1" s="536"/>
      <c r="FBZ1" s="536"/>
      <c r="FCA1" s="536"/>
      <c r="FCB1" s="536"/>
      <c r="FCC1" s="536"/>
      <c r="FCD1" s="536"/>
      <c r="FCE1" s="536"/>
      <c r="FCF1" s="536"/>
      <c r="FCG1" s="536"/>
      <c r="FCH1" s="536"/>
      <c r="FCI1" s="536"/>
      <c r="FCJ1" s="536"/>
      <c r="FCK1" s="536"/>
      <c r="FCL1" s="536"/>
      <c r="FCM1" s="536"/>
      <c r="FCN1" s="536"/>
      <c r="FCO1" s="536"/>
      <c r="FCP1" s="536"/>
      <c r="FCQ1" s="536"/>
      <c r="FCR1" s="536"/>
      <c r="FCS1" s="536"/>
      <c r="FCT1" s="536"/>
      <c r="FCU1" s="536"/>
      <c r="FCV1" s="536"/>
      <c r="FCW1" s="536"/>
      <c r="FCX1" s="536"/>
      <c r="FCY1" s="536"/>
      <c r="FCZ1" s="536"/>
      <c r="FDA1" s="536"/>
      <c r="FDB1" s="536"/>
      <c r="FDC1" s="536"/>
      <c r="FDD1" s="536"/>
      <c r="FDE1" s="536"/>
      <c r="FDF1" s="536"/>
      <c r="FDG1" s="536"/>
      <c r="FDH1" s="536"/>
      <c r="FDI1" s="536"/>
      <c r="FDJ1" s="536"/>
      <c r="FDK1" s="536"/>
      <c r="FDL1" s="536"/>
      <c r="FDM1" s="536"/>
      <c r="FDN1" s="536"/>
      <c r="FDO1" s="536"/>
      <c r="FDP1" s="536"/>
      <c r="FDQ1" s="536"/>
      <c r="FDR1" s="536"/>
      <c r="FDS1" s="536"/>
      <c r="FDT1" s="536"/>
      <c r="FDU1" s="536"/>
      <c r="FDV1" s="536"/>
      <c r="FDW1" s="536"/>
      <c r="FDX1" s="536"/>
      <c r="FDY1" s="536"/>
      <c r="FDZ1" s="536"/>
      <c r="FEA1" s="536"/>
      <c r="FEB1" s="536"/>
      <c r="FEC1" s="536"/>
      <c r="FED1" s="536"/>
      <c r="FEE1" s="536"/>
      <c r="FEF1" s="536"/>
      <c r="FEG1" s="536"/>
      <c r="FEH1" s="536"/>
      <c r="FEI1" s="536"/>
      <c r="FEJ1" s="536"/>
      <c r="FEK1" s="536"/>
      <c r="FEL1" s="536"/>
      <c r="FEM1" s="536"/>
      <c r="FEN1" s="536"/>
      <c r="FEO1" s="536"/>
      <c r="FEP1" s="536"/>
      <c r="FEQ1" s="536"/>
      <c r="FER1" s="536"/>
      <c r="FES1" s="536"/>
      <c r="FET1" s="536"/>
      <c r="FEU1" s="536"/>
      <c r="FEV1" s="536"/>
      <c r="FEW1" s="536"/>
      <c r="FEX1" s="536"/>
      <c r="FEY1" s="536"/>
      <c r="FEZ1" s="536"/>
      <c r="FFA1" s="536"/>
      <c r="FFB1" s="536"/>
      <c r="FFC1" s="536"/>
      <c r="FFD1" s="536"/>
      <c r="FFE1" s="536"/>
      <c r="FFF1" s="536"/>
      <c r="FFG1" s="536"/>
      <c r="FFH1" s="536"/>
      <c r="FFI1" s="536"/>
      <c r="FFJ1" s="536"/>
      <c r="FFK1" s="536"/>
      <c r="FFL1" s="536"/>
      <c r="FFM1" s="536"/>
      <c r="FFN1" s="536"/>
      <c r="FFO1" s="536"/>
      <c r="FFP1" s="536"/>
      <c r="FFQ1" s="536"/>
      <c r="FFR1" s="536"/>
      <c r="FFS1" s="536"/>
      <c r="FFT1" s="536"/>
      <c r="FFU1" s="536"/>
      <c r="FFV1" s="536"/>
      <c r="FFW1" s="536"/>
      <c r="FFX1" s="536"/>
      <c r="FFY1" s="536"/>
      <c r="FFZ1" s="536"/>
      <c r="FGA1" s="536"/>
      <c r="FGB1" s="536"/>
      <c r="FGC1" s="536"/>
      <c r="FGD1" s="536"/>
      <c r="FGE1" s="536"/>
      <c r="FGF1" s="536"/>
      <c r="FGG1" s="536"/>
      <c r="FGH1" s="536"/>
      <c r="FGI1" s="536"/>
      <c r="FGJ1" s="536"/>
      <c r="FGK1" s="536"/>
      <c r="FGL1" s="536"/>
      <c r="FGM1" s="536"/>
      <c r="FGN1" s="536"/>
      <c r="FGO1" s="536"/>
      <c r="FGP1" s="536"/>
      <c r="FGQ1" s="536"/>
      <c r="FGR1" s="536"/>
      <c r="FGS1" s="536"/>
      <c r="FGT1" s="536"/>
      <c r="FGU1" s="536"/>
      <c r="FGV1" s="536"/>
      <c r="FGW1" s="536"/>
      <c r="FGX1" s="536"/>
      <c r="FGY1" s="536"/>
      <c r="FGZ1" s="536"/>
      <c r="FHA1" s="536"/>
      <c r="FHB1" s="536"/>
      <c r="FHC1" s="536"/>
      <c r="FHD1" s="536"/>
      <c r="FHE1" s="536"/>
      <c r="FHF1" s="536"/>
      <c r="FHG1" s="536"/>
      <c r="FHH1" s="536"/>
      <c r="FHI1" s="536"/>
      <c r="FHJ1" s="536"/>
      <c r="FHK1" s="536"/>
      <c r="FHL1" s="536"/>
      <c r="FHM1" s="536"/>
      <c r="FHN1" s="536"/>
      <c r="FHO1" s="536"/>
      <c r="FHP1" s="536"/>
      <c r="FHQ1" s="536"/>
      <c r="FHR1" s="536"/>
      <c r="FHS1" s="536"/>
      <c r="FHT1" s="536"/>
      <c r="FHU1" s="536"/>
      <c r="FHV1" s="536"/>
      <c r="FHW1" s="536"/>
      <c r="FHX1" s="536"/>
      <c r="FHY1" s="536"/>
      <c r="FHZ1" s="536"/>
      <c r="FIA1" s="536"/>
      <c r="FIB1" s="536"/>
      <c r="FIC1" s="536"/>
      <c r="FID1" s="536"/>
      <c r="FIE1" s="536"/>
      <c r="FIF1" s="536"/>
      <c r="FIG1" s="536"/>
      <c r="FIH1" s="536"/>
      <c r="FII1" s="536"/>
      <c r="FIJ1" s="536"/>
      <c r="FIK1" s="536"/>
      <c r="FIL1" s="536"/>
      <c r="FIM1" s="536"/>
      <c r="FIN1" s="536"/>
      <c r="FIO1" s="536"/>
      <c r="FIP1" s="536"/>
      <c r="FIQ1" s="536"/>
      <c r="FIR1" s="536"/>
      <c r="FIS1" s="536"/>
      <c r="FIT1" s="536"/>
      <c r="FIU1" s="536"/>
      <c r="FIV1" s="536"/>
      <c r="FIW1" s="536"/>
      <c r="FIX1" s="536"/>
      <c r="FIY1" s="536"/>
      <c r="FIZ1" s="536"/>
      <c r="FJA1" s="536"/>
      <c r="FJB1" s="536"/>
      <c r="FJC1" s="536"/>
      <c r="FJD1" s="536"/>
      <c r="FJE1" s="536"/>
      <c r="FJF1" s="536"/>
      <c r="FJG1" s="536"/>
      <c r="FJH1" s="536"/>
      <c r="FJI1" s="536"/>
      <c r="FJJ1" s="536"/>
      <c r="FJK1" s="536"/>
      <c r="FJL1" s="536"/>
      <c r="FJM1" s="536"/>
      <c r="FJN1" s="536"/>
      <c r="FJO1" s="536"/>
      <c r="FJP1" s="536"/>
      <c r="FJQ1" s="536"/>
      <c r="FJR1" s="536"/>
      <c r="FJS1" s="536"/>
      <c r="FJT1" s="536"/>
      <c r="FJU1" s="536"/>
      <c r="FJV1" s="536"/>
      <c r="FJW1" s="536"/>
      <c r="FJX1" s="536"/>
      <c r="FJY1" s="536"/>
      <c r="FJZ1" s="536"/>
      <c r="FKA1" s="536"/>
      <c r="FKB1" s="536"/>
      <c r="FKC1" s="536"/>
      <c r="FKD1" s="536"/>
      <c r="FKE1" s="536"/>
      <c r="FKF1" s="536"/>
      <c r="FKG1" s="536"/>
      <c r="FKH1" s="536"/>
      <c r="FKI1" s="536"/>
      <c r="FKJ1" s="536"/>
      <c r="FKK1" s="536"/>
      <c r="FKL1" s="536"/>
      <c r="FKM1" s="536"/>
      <c r="FKN1" s="536"/>
      <c r="FKO1" s="536"/>
      <c r="FKP1" s="536"/>
      <c r="FKQ1" s="536"/>
      <c r="FKR1" s="536"/>
      <c r="FKS1" s="536"/>
      <c r="FKT1" s="536"/>
      <c r="FKU1" s="536"/>
      <c r="FKV1" s="536"/>
      <c r="FKW1" s="536"/>
      <c r="FKX1" s="536"/>
      <c r="FKY1" s="536"/>
      <c r="FKZ1" s="536"/>
      <c r="FLA1" s="536"/>
      <c r="FLB1" s="536"/>
      <c r="FLC1" s="536"/>
      <c r="FLD1" s="536"/>
      <c r="FLE1" s="536"/>
      <c r="FLF1" s="536"/>
      <c r="FLG1" s="536"/>
      <c r="FLH1" s="536"/>
      <c r="FLI1" s="536"/>
      <c r="FLJ1" s="536"/>
      <c r="FLK1" s="536"/>
      <c r="FLL1" s="536"/>
      <c r="FLM1" s="536"/>
      <c r="FLN1" s="536"/>
      <c r="FLO1" s="536"/>
      <c r="FLP1" s="536"/>
      <c r="FLQ1" s="536"/>
      <c r="FLR1" s="536"/>
      <c r="FLS1" s="536"/>
      <c r="FLT1" s="536"/>
      <c r="FLU1" s="536"/>
      <c r="FLV1" s="536"/>
      <c r="FLW1" s="536"/>
      <c r="FLX1" s="536"/>
      <c r="FLY1" s="536"/>
      <c r="FLZ1" s="536"/>
      <c r="FMA1" s="536"/>
      <c r="FMB1" s="536"/>
      <c r="FMC1" s="536"/>
      <c r="FMD1" s="536"/>
      <c r="FME1" s="536"/>
      <c r="FMF1" s="536"/>
      <c r="FMG1" s="536"/>
      <c r="FMH1" s="536"/>
      <c r="FMI1" s="536"/>
      <c r="FMJ1" s="536"/>
      <c r="FMK1" s="536"/>
      <c r="FML1" s="536"/>
      <c r="FMM1" s="536"/>
      <c r="FMN1" s="536"/>
      <c r="FMO1" s="536"/>
      <c r="FMP1" s="536"/>
      <c r="FMQ1" s="536"/>
      <c r="FMR1" s="536"/>
      <c r="FMS1" s="536"/>
      <c r="FMT1" s="536"/>
      <c r="FMU1" s="536"/>
      <c r="FMV1" s="536"/>
      <c r="FMW1" s="536"/>
      <c r="FMX1" s="536"/>
      <c r="FMY1" s="536"/>
      <c r="FMZ1" s="536"/>
      <c r="FNA1" s="536"/>
      <c r="FNB1" s="536"/>
      <c r="FNC1" s="536"/>
      <c r="FND1" s="536"/>
      <c r="FNE1" s="536"/>
      <c r="FNF1" s="536"/>
      <c r="FNG1" s="536"/>
      <c r="FNH1" s="536"/>
      <c r="FNI1" s="536"/>
      <c r="FNJ1" s="536"/>
      <c r="FNK1" s="536"/>
      <c r="FNL1" s="536"/>
      <c r="FNM1" s="536"/>
      <c r="FNN1" s="536"/>
      <c r="FNO1" s="536"/>
      <c r="FNP1" s="536"/>
      <c r="FNQ1" s="536"/>
      <c r="FNR1" s="536"/>
      <c r="FNS1" s="536"/>
      <c r="FNT1" s="536"/>
      <c r="FNU1" s="536"/>
      <c r="FNV1" s="536"/>
      <c r="FNW1" s="536"/>
      <c r="FNX1" s="536"/>
      <c r="FNY1" s="536"/>
      <c r="FNZ1" s="536"/>
      <c r="FOA1" s="536"/>
      <c r="FOB1" s="536"/>
      <c r="FOC1" s="536"/>
      <c r="FOD1" s="536"/>
      <c r="FOE1" s="536"/>
      <c r="FOF1" s="536"/>
      <c r="FOG1" s="536"/>
      <c r="FOH1" s="536"/>
      <c r="FOI1" s="536"/>
      <c r="FOJ1" s="536"/>
      <c r="FOK1" s="536"/>
      <c r="FOL1" s="536"/>
      <c r="FOM1" s="536"/>
      <c r="FON1" s="536"/>
      <c r="FOO1" s="536"/>
      <c r="FOP1" s="536"/>
      <c r="FOQ1" s="536"/>
      <c r="FOR1" s="536"/>
      <c r="FOS1" s="536"/>
      <c r="FOT1" s="536"/>
      <c r="FOU1" s="536"/>
      <c r="FOV1" s="536"/>
      <c r="FOW1" s="536"/>
      <c r="FOX1" s="536"/>
      <c r="FOY1" s="536"/>
      <c r="FOZ1" s="536"/>
      <c r="FPA1" s="536"/>
      <c r="FPB1" s="536"/>
      <c r="FPC1" s="536"/>
      <c r="FPD1" s="536"/>
      <c r="FPE1" s="536"/>
      <c r="FPF1" s="536"/>
      <c r="FPG1" s="536"/>
      <c r="FPH1" s="536"/>
      <c r="FPI1" s="536"/>
      <c r="FPJ1" s="536"/>
      <c r="FPK1" s="536"/>
      <c r="FPL1" s="536"/>
      <c r="FPM1" s="536"/>
      <c r="FPN1" s="536"/>
      <c r="FPO1" s="536"/>
      <c r="FPP1" s="536"/>
      <c r="FPQ1" s="536"/>
      <c r="FPR1" s="536"/>
      <c r="FPS1" s="536"/>
      <c r="FPT1" s="536"/>
      <c r="FPU1" s="536"/>
      <c r="FPV1" s="536"/>
      <c r="FPW1" s="536"/>
      <c r="FPX1" s="536"/>
      <c r="FPY1" s="536"/>
      <c r="FPZ1" s="536"/>
      <c r="FQA1" s="536"/>
      <c r="FQB1" s="536"/>
      <c r="FQC1" s="536"/>
      <c r="FQD1" s="536"/>
      <c r="FQE1" s="536"/>
      <c r="FQF1" s="536"/>
      <c r="FQG1" s="536"/>
      <c r="FQH1" s="536"/>
      <c r="FQI1" s="536"/>
      <c r="FQJ1" s="536"/>
      <c r="FQK1" s="536"/>
      <c r="FQL1" s="536"/>
      <c r="FQM1" s="536"/>
      <c r="FQN1" s="536"/>
      <c r="FQO1" s="536"/>
      <c r="FQP1" s="536"/>
      <c r="FQQ1" s="536"/>
      <c r="FQR1" s="536"/>
      <c r="FQS1" s="536"/>
      <c r="FQT1" s="536"/>
      <c r="FQU1" s="536"/>
      <c r="FQV1" s="536"/>
      <c r="FQW1" s="536"/>
      <c r="FQX1" s="536"/>
      <c r="FQY1" s="536"/>
      <c r="FQZ1" s="536"/>
      <c r="FRA1" s="536"/>
      <c r="FRB1" s="536"/>
      <c r="FRC1" s="536"/>
      <c r="FRD1" s="536"/>
      <c r="FRE1" s="536"/>
      <c r="FRF1" s="536"/>
      <c r="FRG1" s="536"/>
      <c r="FRH1" s="536"/>
      <c r="FRI1" s="536"/>
      <c r="FRJ1" s="536"/>
      <c r="FRK1" s="536"/>
      <c r="FRL1" s="536"/>
      <c r="FRM1" s="536"/>
      <c r="FRN1" s="536"/>
      <c r="FRO1" s="536"/>
      <c r="FRP1" s="536"/>
      <c r="FRQ1" s="536"/>
      <c r="FRR1" s="536"/>
      <c r="FRS1" s="536"/>
      <c r="FRT1" s="536"/>
      <c r="FRU1" s="536"/>
      <c r="FRV1" s="536"/>
      <c r="FRW1" s="536"/>
      <c r="FRX1" s="536"/>
      <c r="FRY1" s="536"/>
      <c r="FRZ1" s="536"/>
      <c r="FSA1" s="536"/>
      <c r="FSB1" s="536"/>
      <c r="FSC1" s="536"/>
      <c r="FSD1" s="536"/>
      <c r="FSE1" s="536"/>
      <c r="FSF1" s="536"/>
      <c r="FSG1" s="536"/>
      <c r="FSH1" s="536"/>
      <c r="FSI1" s="536"/>
      <c r="FSJ1" s="536"/>
      <c r="FSK1" s="536"/>
      <c r="FSL1" s="536"/>
      <c r="FSM1" s="536"/>
      <c r="FSN1" s="536"/>
      <c r="FSO1" s="536"/>
      <c r="FSP1" s="536"/>
      <c r="FSQ1" s="536"/>
      <c r="FSR1" s="536"/>
      <c r="FSS1" s="536"/>
      <c r="FST1" s="536"/>
      <c r="FSU1" s="536"/>
      <c r="FSV1" s="536"/>
      <c r="FSW1" s="536"/>
      <c r="FSX1" s="536"/>
      <c r="FSY1" s="536"/>
      <c r="FSZ1" s="536"/>
      <c r="FTA1" s="536"/>
      <c r="FTB1" s="536"/>
      <c r="FTC1" s="536"/>
      <c r="FTD1" s="536"/>
      <c r="FTE1" s="536"/>
      <c r="FTF1" s="536"/>
      <c r="FTG1" s="536"/>
      <c r="FTH1" s="536"/>
      <c r="FTI1" s="536"/>
      <c r="FTJ1" s="536"/>
      <c r="FTK1" s="536"/>
      <c r="FTL1" s="536"/>
      <c r="FTM1" s="536"/>
      <c r="FTN1" s="536"/>
      <c r="FTO1" s="536"/>
      <c r="FTP1" s="536"/>
      <c r="FTQ1" s="536"/>
      <c r="FTR1" s="536"/>
      <c r="FTS1" s="536"/>
      <c r="FTT1" s="536"/>
      <c r="FTU1" s="536"/>
      <c r="FTV1" s="536"/>
      <c r="FTW1" s="536"/>
      <c r="FTX1" s="536"/>
      <c r="FTY1" s="536"/>
      <c r="FTZ1" s="536"/>
      <c r="FUA1" s="536"/>
      <c r="FUB1" s="536"/>
      <c r="FUC1" s="536"/>
      <c r="FUD1" s="536"/>
      <c r="FUE1" s="536"/>
      <c r="FUF1" s="536"/>
      <c r="FUG1" s="536"/>
      <c r="FUH1" s="536"/>
      <c r="FUI1" s="536"/>
      <c r="FUJ1" s="536"/>
      <c r="FUK1" s="536"/>
      <c r="FUL1" s="536"/>
      <c r="FUM1" s="536"/>
      <c r="FUN1" s="536"/>
      <c r="FUO1" s="536"/>
      <c r="FUP1" s="536"/>
      <c r="FUQ1" s="536"/>
      <c r="FUR1" s="536"/>
      <c r="FUS1" s="536"/>
      <c r="FUT1" s="536"/>
      <c r="FUU1" s="536"/>
      <c r="FUV1" s="536"/>
      <c r="FUW1" s="536"/>
      <c r="FUX1" s="536"/>
      <c r="FUY1" s="536"/>
      <c r="FUZ1" s="536"/>
      <c r="FVA1" s="536"/>
      <c r="FVB1" s="536"/>
      <c r="FVC1" s="536"/>
      <c r="FVD1" s="536"/>
      <c r="FVE1" s="536"/>
      <c r="FVF1" s="536"/>
      <c r="FVG1" s="536"/>
      <c r="FVH1" s="536"/>
      <c r="FVI1" s="536"/>
      <c r="FVJ1" s="536"/>
      <c r="FVK1" s="536"/>
      <c r="FVL1" s="536"/>
      <c r="FVM1" s="536"/>
      <c r="FVN1" s="536"/>
      <c r="FVO1" s="536"/>
      <c r="FVP1" s="536"/>
      <c r="FVQ1" s="536"/>
      <c r="FVR1" s="536"/>
      <c r="FVS1" s="536"/>
      <c r="FVT1" s="536"/>
      <c r="FVU1" s="536"/>
      <c r="FVV1" s="536"/>
      <c r="FVW1" s="536"/>
      <c r="FVX1" s="536"/>
      <c r="FVY1" s="536"/>
      <c r="FVZ1" s="536"/>
      <c r="FWA1" s="536"/>
      <c r="FWB1" s="536"/>
      <c r="FWC1" s="536"/>
      <c r="FWD1" s="536"/>
      <c r="FWE1" s="536"/>
      <c r="FWF1" s="536"/>
      <c r="FWG1" s="536"/>
      <c r="FWH1" s="536"/>
      <c r="FWI1" s="536"/>
      <c r="FWJ1" s="536"/>
      <c r="FWK1" s="536"/>
      <c r="FWL1" s="536"/>
      <c r="FWM1" s="536"/>
      <c r="FWN1" s="536"/>
      <c r="FWO1" s="536"/>
      <c r="FWP1" s="536"/>
      <c r="FWQ1" s="536"/>
      <c r="FWR1" s="536"/>
      <c r="FWS1" s="536"/>
      <c r="FWT1" s="536"/>
      <c r="FWU1" s="536"/>
      <c r="FWV1" s="536"/>
      <c r="FWW1" s="536"/>
      <c r="FWX1" s="536"/>
      <c r="FWY1" s="536"/>
      <c r="FWZ1" s="536"/>
      <c r="FXA1" s="536"/>
      <c r="FXB1" s="536"/>
      <c r="FXC1" s="536"/>
      <c r="FXD1" s="536"/>
      <c r="FXE1" s="536"/>
      <c r="FXF1" s="536"/>
      <c r="FXG1" s="536"/>
      <c r="FXH1" s="536"/>
      <c r="FXI1" s="536"/>
      <c r="FXJ1" s="536"/>
      <c r="FXK1" s="536"/>
      <c r="FXL1" s="536"/>
      <c r="FXM1" s="536"/>
      <c r="FXN1" s="536"/>
      <c r="FXO1" s="536"/>
      <c r="FXP1" s="536"/>
      <c r="FXQ1" s="536"/>
      <c r="FXR1" s="536"/>
      <c r="FXS1" s="536"/>
      <c r="FXT1" s="536"/>
      <c r="FXU1" s="536"/>
      <c r="FXV1" s="536"/>
      <c r="FXW1" s="536"/>
      <c r="FXX1" s="536"/>
      <c r="FXY1" s="536"/>
      <c r="FXZ1" s="536"/>
      <c r="FYA1" s="536"/>
      <c r="FYB1" s="536"/>
      <c r="FYC1" s="536"/>
      <c r="FYD1" s="536"/>
      <c r="FYE1" s="536"/>
      <c r="FYF1" s="536"/>
      <c r="FYG1" s="536"/>
      <c r="FYH1" s="536"/>
      <c r="FYI1" s="536"/>
      <c r="FYJ1" s="536"/>
      <c r="FYK1" s="536"/>
      <c r="FYL1" s="536"/>
      <c r="FYM1" s="536"/>
      <c r="FYN1" s="536"/>
      <c r="FYO1" s="536"/>
      <c r="FYP1" s="536"/>
      <c r="FYQ1" s="536"/>
      <c r="FYR1" s="536"/>
      <c r="FYS1" s="536"/>
      <c r="FYT1" s="536"/>
      <c r="FYU1" s="536"/>
      <c r="FYV1" s="536"/>
      <c r="FYW1" s="536"/>
      <c r="FYX1" s="536"/>
      <c r="FYY1" s="536"/>
      <c r="FYZ1" s="536"/>
      <c r="FZA1" s="536"/>
      <c r="FZB1" s="536"/>
      <c r="FZC1" s="536"/>
      <c r="FZD1" s="536"/>
      <c r="FZE1" s="536"/>
      <c r="FZF1" s="536"/>
      <c r="FZG1" s="536"/>
      <c r="FZH1" s="536"/>
      <c r="FZI1" s="536"/>
      <c r="FZJ1" s="536"/>
      <c r="FZK1" s="536"/>
      <c r="FZL1" s="536"/>
      <c r="FZM1" s="536"/>
      <c r="FZN1" s="536"/>
      <c r="FZO1" s="536"/>
      <c r="FZP1" s="536"/>
      <c r="FZQ1" s="536"/>
      <c r="FZR1" s="536"/>
      <c r="FZS1" s="536"/>
      <c r="FZT1" s="536"/>
      <c r="FZU1" s="536"/>
      <c r="FZV1" s="536"/>
      <c r="FZW1" s="536"/>
      <c r="FZX1" s="536"/>
      <c r="FZY1" s="536"/>
      <c r="FZZ1" s="536"/>
      <c r="GAA1" s="536"/>
      <c r="GAB1" s="536"/>
      <c r="GAC1" s="536"/>
      <c r="GAD1" s="536"/>
      <c r="GAE1" s="536"/>
      <c r="GAF1" s="536"/>
      <c r="GAG1" s="536"/>
      <c r="GAH1" s="536"/>
      <c r="GAI1" s="536"/>
      <c r="GAJ1" s="536"/>
      <c r="GAK1" s="536"/>
      <c r="GAL1" s="536"/>
      <c r="GAM1" s="536"/>
      <c r="GAN1" s="536"/>
      <c r="GAO1" s="536"/>
      <c r="GAP1" s="536"/>
      <c r="GAQ1" s="536"/>
      <c r="GAR1" s="536"/>
      <c r="GAS1" s="536"/>
      <c r="GAT1" s="536"/>
      <c r="GAU1" s="536"/>
      <c r="GAV1" s="536"/>
      <c r="GAW1" s="536"/>
      <c r="GAX1" s="536"/>
      <c r="GAY1" s="536"/>
      <c r="GAZ1" s="536"/>
      <c r="GBA1" s="536"/>
      <c r="GBB1" s="536"/>
      <c r="GBC1" s="536"/>
      <c r="GBD1" s="536"/>
      <c r="GBE1" s="536"/>
      <c r="GBF1" s="536"/>
      <c r="GBG1" s="536"/>
      <c r="GBH1" s="536"/>
      <c r="GBI1" s="536"/>
      <c r="GBJ1" s="536"/>
      <c r="GBK1" s="536"/>
      <c r="GBL1" s="536"/>
      <c r="GBM1" s="536"/>
      <c r="GBN1" s="536"/>
      <c r="GBO1" s="536"/>
      <c r="GBP1" s="536"/>
      <c r="GBQ1" s="536"/>
      <c r="GBR1" s="536"/>
      <c r="GBS1" s="536"/>
      <c r="GBT1" s="536"/>
      <c r="GBU1" s="536"/>
      <c r="GBV1" s="536"/>
      <c r="GBW1" s="536"/>
      <c r="GBX1" s="536"/>
      <c r="GBY1" s="536"/>
      <c r="GBZ1" s="536"/>
      <c r="GCA1" s="536"/>
      <c r="GCB1" s="536"/>
      <c r="GCC1" s="536"/>
      <c r="GCD1" s="536"/>
      <c r="GCE1" s="536"/>
      <c r="GCF1" s="536"/>
      <c r="GCG1" s="536"/>
      <c r="GCH1" s="536"/>
      <c r="GCI1" s="536"/>
      <c r="GCJ1" s="536"/>
      <c r="GCK1" s="536"/>
      <c r="GCL1" s="536"/>
      <c r="GCM1" s="536"/>
      <c r="GCN1" s="536"/>
      <c r="GCO1" s="536"/>
      <c r="GCP1" s="536"/>
      <c r="GCQ1" s="536"/>
      <c r="GCR1" s="536"/>
      <c r="GCS1" s="536"/>
      <c r="GCT1" s="536"/>
      <c r="GCU1" s="536"/>
      <c r="GCV1" s="536"/>
      <c r="GCW1" s="536"/>
      <c r="GCX1" s="536"/>
      <c r="GCY1" s="536"/>
      <c r="GCZ1" s="536"/>
      <c r="GDA1" s="536"/>
      <c r="GDB1" s="536"/>
      <c r="GDC1" s="536"/>
      <c r="GDD1" s="536"/>
      <c r="GDE1" s="536"/>
      <c r="GDF1" s="536"/>
      <c r="GDG1" s="536"/>
      <c r="GDH1" s="536"/>
      <c r="GDI1" s="536"/>
      <c r="GDJ1" s="536"/>
      <c r="GDK1" s="536"/>
      <c r="GDL1" s="536"/>
      <c r="GDM1" s="536"/>
      <c r="GDN1" s="536"/>
      <c r="GDO1" s="536"/>
      <c r="GDP1" s="536"/>
      <c r="GDQ1" s="536"/>
      <c r="GDR1" s="536"/>
      <c r="GDS1" s="536"/>
      <c r="GDT1" s="536"/>
      <c r="GDU1" s="536"/>
      <c r="GDV1" s="536"/>
      <c r="GDW1" s="536"/>
      <c r="GDX1" s="536"/>
      <c r="GDY1" s="536"/>
      <c r="GDZ1" s="536"/>
      <c r="GEA1" s="536"/>
      <c r="GEB1" s="536"/>
      <c r="GEC1" s="536"/>
      <c r="GED1" s="536"/>
      <c r="GEE1" s="536"/>
      <c r="GEF1" s="536"/>
      <c r="GEG1" s="536"/>
      <c r="GEH1" s="536"/>
      <c r="GEI1" s="536"/>
      <c r="GEJ1" s="536"/>
      <c r="GEK1" s="536"/>
      <c r="GEL1" s="536"/>
      <c r="GEM1" s="536"/>
      <c r="GEN1" s="536"/>
      <c r="GEO1" s="536"/>
      <c r="GEP1" s="536"/>
      <c r="GEQ1" s="536"/>
      <c r="GER1" s="536"/>
      <c r="GES1" s="536"/>
      <c r="GET1" s="536"/>
      <c r="GEU1" s="536"/>
      <c r="GEV1" s="536"/>
      <c r="GEW1" s="536"/>
      <c r="GEX1" s="536"/>
      <c r="GEY1" s="536"/>
      <c r="GEZ1" s="536"/>
      <c r="GFA1" s="536"/>
      <c r="GFB1" s="536"/>
      <c r="GFC1" s="536"/>
      <c r="GFD1" s="536"/>
      <c r="GFE1" s="536"/>
      <c r="GFF1" s="536"/>
      <c r="GFG1" s="536"/>
      <c r="GFH1" s="536"/>
      <c r="GFI1" s="536"/>
      <c r="GFJ1" s="536"/>
      <c r="GFK1" s="536"/>
      <c r="GFL1" s="536"/>
      <c r="GFM1" s="536"/>
      <c r="GFN1" s="536"/>
      <c r="GFO1" s="536"/>
      <c r="GFP1" s="536"/>
      <c r="GFQ1" s="536"/>
      <c r="GFR1" s="536"/>
      <c r="GFS1" s="536"/>
      <c r="GFT1" s="536"/>
      <c r="GFU1" s="536"/>
      <c r="GFV1" s="536"/>
      <c r="GFW1" s="536"/>
      <c r="GFX1" s="536"/>
      <c r="GFY1" s="536"/>
      <c r="GFZ1" s="536"/>
      <c r="GGA1" s="536"/>
      <c r="GGB1" s="536"/>
      <c r="GGC1" s="536"/>
      <c r="GGD1" s="536"/>
      <c r="GGE1" s="536"/>
      <c r="GGF1" s="536"/>
      <c r="GGG1" s="536"/>
      <c r="GGH1" s="536"/>
      <c r="GGI1" s="536"/>
      <c r="GGJ1" s="536"/>
      <c r="GGK1" s="536"/>
      <c r="GGL1" s="536"/>
      <c r="GGM1" s="536"/>
      <c r="GGN1" s="536"/>
      <c r="GGO1" s="536"/>
      <c r="GGP1" s="536"/>
      <c r="GGQ1" s="536"/>
      <c r="GGR1" s="536"/>
      <c r="GGS1" s="536"/>
      <c r="GGT1" s="536"/>
      <c r="GGU1" s="536"/>
      <c r="GGV1" s="536"/>
      <c r="GGW1" s="536"/>
      <c r="GGX1" s="536"/>
      <c r="GGY1" s="536"/>
      <c r="GGZ1" s="536"/>
      <c r="GHA1" s="536"/>
      <c r="GHB1" s="536"/>
      <c r="GHC1" s="536"/>
      <c r="GHD1" s="536"/>
      <c r="GHE1" s="536"/>
      <c r="GHF1" s="536"/>
      <c r="GHG1" s="536"/>
      <c r="GHH1" s="536"/>
      <c r="GHI1" s="536"/>
      <c r="GHJ1" s="536"/>
      <c r="GHK1" s="536"/>
      <c r="GHL1" s="536"/>
      <c r="GHM1" s="536"/>
      <c r="GHN1" s="536"/>
      <c r="GHO1" s="536"/>
      <c r="GHP1" s="536"/>
      <c r="GHQ1" s="536"/>
      <c r="GHR1" s="536"/>
      <c r="GHS1" s="536"/>
      <c r="GHT1" s="536"/>
      <c r="GHU1" s="536"/>
      <c r="GHV1" s="536"/>
      <c r="GHW1" s="536"/>
      <c r="GHX1" s="536"/>
      <c r="GHY1" s="536"/>
      <c r="GHZ1" s="536"/>
      <c r="GIA1" s="536"/>
      <c r="GIB1" s="536"/>
      <c r="GIC1" s="536"/>
      <c r="GID1" s="536"/>
      <c r="GIE1" s="536"/>
      <c r="GIF1" s="536"/>
      <c r="GIG1" s="536"/>
      <c r="GIH1" s="536"/>
      <c r="GII1" s="536"/>
      <c r="GIJ1" s="536"/>
      <c r="GIK1" s="536"/>
      <c r="GIL1" s="536"/>
      <c r="GIM1" s="536"/>
      <c r="GIN1" s="536"/>
      <c r="GIO1" s="536"/>
      <c r="GIP1" s="536"/>
      <c r="GIQ1" s="536"/>
      <c r="GIR1" s="536"/>
      <c r="GIS1" s="536"/>
      <c r="GIT1" s="536"/>
      <c r="GIU1" s="536"/>
      <c r="GIV1" s="536"/>
      <c r="GIW1" s="536"/>
      <c r="GIX1" s="536"/>
      <c r="GIY1" s="536"/>
      <c r="GIZ1" s="536"/>
      <c r="GJA1" s="536"/>
      <c r="GJB1" s="536"/>
      <c r="GJC1" s="536"/>
      <c r="GJD1" s="536"/>
      <c r="GJE1" s="536"/>
      <c r="GJF1" s="536"/>
      <c r="GJG1" s="536"/>
      <c r="GJH1" s="536"/>
      <c r="GJI1" s="536"/>
      <c r="GJJ1" s="536"/>
      <c r="GJK1" s="536"/>
      <c r="GJL1" s="536"/>
      <c r="GJM1" s="536"/>
      <c r="GJN1" s="536"/>
      <c r="GJO1" s="536"/>
      <c r="GJP1" s="536"/>
      <c r="GJQ1" s="536"/>
      <c r="GJR1" s="536"/>
      <c r="GJS1" s="536"/>
      <c r="GJT1" s="536"/>
      <c r="GJU1" s="536"/>
      <c r="GJV1" s="536"/>
      <c r="GJW1" s="536"/>
      <c r="GJX1" s="536"/>
      <c r="GJY1" s="536"/>
      <c r="GJZ1" s="536"/>
      <c r="GKA1" s="536"/>
      <c r="GKB1" s="536"/>
      <c r="GKC1" s="536"/>
      <c r="GKD1" s="536"/>
      <c r="GKE1" s="536"/>
      <c r="GKF1" s="536"/>
      <c r="GKG1" s="536"/>
      <c r="GKH1" s="536"/>
      <c r="GKI1" s="536"/>
      <c r="GKJ1" s="536"/>
      <c r="GKK1" s="536"/>
      <c r="GKL1" s="536"/>
      <c r="GKM1" s="536"/>
      <c r="GKN1" s="536"/>
      <c r="GKO1" s="536"/>
      <c r="GKP1" s="536"/>
      <c r="GKQ1" s="536"/>
      <c r="GKR1" s="536"/>
      <c r="GKS1" s="536"/>
      <c r="GKT1" s="536"/>
      <c r="GKU1" s="536"/>
      <c r="GKV1" s="536"/>
      <c r="GKW1" s="536"/>
      <c r="GKX1" s="536"/>
      <c r="GKY1" s="536"/>
      <c r="GKZ1" s="536"/>
      <c r="GLA1" s="536"/>
      <c r="GLB1" s="536"/>
      <c r="GLC1" s="536"/>
      <c r="GLD1" s="536"/>
      <c r="GLE1" s="536"/>
      <c r="GLF1" s="536"/>
      <c r="GLG1" s="536"/>
      <c r="GLH1" s="536"/>
      <c r="GLI1" s="536"/>
      <c r="GLJ1" s="536"/>
      <c r="GLK1" s="536"/>
      <c r="GLL1" s="536"/>
      <c r="GLM1" s="536"/>
      <c r="GLN1" s="536"/>
      <c r="GLO1" s="536"/>
      <c r="GLP1" s="536"/>
      <c r="GLQ1" s="536"/>
      <c r="GLR1" s="536"/>
      <c r="GLS1" s="536"/>
      <c r="GLT1" s="536"/>
      <c r="GLU1" s="536"/>
      <c r="GLV1" s="536"/>
      <c r="GLW1" s="536"/>
      <c r="GLX1" s="536"/>
      <c r="GLY1" s="536"/>
      <c r="GLZ1" s="536"/>
      <c r="GMA1" s="536"/>
      <c r="GMB1" s="536"/>
      <c r="GMC1" s="536"/>
      <c r="GMD1" s="536"/>
      <c r="GME1" s="536"/>
      <c r="GMF1" s="536"/>
      <c r="GMG1" s="536"/>
      <c r="GMH1" s="536"/>
      <c r="GMI1" s="536"/>
      <c r="GMJ1" s="536"/>
      <c r="GMK1" s="536"/>
      <c r="GML1" s="536"/>
      <c r="GMM1" s="536"/>
      <c r="GMN1" s="536"/>
      <c r="GMO1" s="536"/>
      <c r="GMP1" s="536"/>
      <c r="GMQ1" s="536"/>
      <c r="GMR1" s="536"/>
      <c r="GMS1" s="536"/>
      <c r="GMT1" s="536"/>
      <c r="GMU1" s="536"/>
      <c r="GMV1" s="536"/>
      <c r="GMW1" s="536"/>
      <c r="GMX1" s="536"/>
      <c r="GMY1" s="536"/>
      <c r="GMZ1" s="536"/>
      <c r="GNA1" s="536"/>
      <c r="GNB1" s="536"/>
      <c r="GNC1" s="536"/>
      <c r="GND1" s="536"/>
      <c r="GNE1" s="536"/>
      <c r="GNF1" s="536"/>
      <c r="GNG1" s="536"/>
      <c r="GNH1" s="536"/>
      <c r="GNI1" s="536"/>
      <c r="GNJ1" s="536"/>
      <c r="GNK1" s="536"/>
      <c r="GNL1" s="536"/>
      <c r="GNM1" s="536"/>
      <c r="GNN1" s="536"/>
      <c r="GNO1" s="536"/>
      <c r="GNP1" s="536"/>
      <c r="GNQ1" s="536"/>
      <c r="GNR1" s="536"/>
      <c r="GNS1" s="536"/>
      <c r="GNT1" s="536"/>
      <c r="GNU1" s="536"/>
      <c r="GNV1" s="536"/>
      <c r="GNW1" s="536"/>
      <c r="GNX1" s="536"/>
      <c r="GNY1" s="536"/>
      <c r="GNZ1" s="536"/>
      <c r="GOA1" s="536"/>
      <c r="GOB1" s="536"/>
      <c r="GOC1" s="536"/>
      <c r="GOD1" s="536"/>
      <c r="GOE1" s="536"/>
      <c r="GOF1" s="536"/>
      <c r="GOG1" s="536"/>
      <c r="GOH1" s="536"/>
      <c r="GOI1" s="536"/>
      <c r="GOJ1" s="536"/>
      <c r="GOK1" s="536"/>
      <c r="GOL1" s="536"/>
      <c r="GOM1" s="536"/>
      <c r="GON1" s="536"/>
      <c r="GOO1" s="536"/>
      <c r="GOP1" s="536"/>
      <c r="GOQ1" s="536"/>
      <c r="GOR1" s="536"/>
      <c r="GOS1" s="536"/>
      <c r="GOT1" s="536"/>
      <c r="GOU1" s="536"/>
      <c r="GOV1" s="536"/>
      <c r="GOW1" s="536"/>
      <c r="GOX1" s="536"/>
      <c r="GOY1" s="536"/>
      <c r="GOZ1" s="536"/>
      <c r="GPA1" s="536"/>
      <c r="GPB1" s="536"/>
      <c r="GPC1" s="536"/>
      <c r="GPD1" s="536"/>
      <c r="GPE1" s="536"/>
      <c r="GPF1" s="536"/>
      <c r="GPG1" s="536"/>
      <c r="GPH1" s="536"/>
      <c r="GPI1" s="536"/>
      <c r="GPJ1" s="536"/>
      <c r="GPK1" s="536"/>
      <c r="GPL1" s="536"/>
      <c r="GPM1" s="536"/>
      <c r="GPN1" s="536"/>
      <c r="GPO1" s="536"/>
      <c r="GPP1" s="536"/>
      <c r="GPQ1" s="536"/>
      <c r="GPR1" s="536"/>
      <c r="GPS1" s="536"/>
      <c r="GPT1" s="536"/>
      <c r="GPU1" s="536"/>
      <c r="GPV1" s="536"/>
      <c r="GPW1" s="536"/>
      <c r="GPX1" s="536"/>
      <c r="GPY1" s="536"/>
      <c r="GPZ1" s="536"/>
      <c r="GQA1" s="536"/>
      <c r="GQB1" s="536"/>
      <c r="GQC1" s="536"/>
      <c r="GQD1" s="536"/>
      <c r="GQE1" s="536"/>
      <c r="GQF1" s="536"/>
      <c r="GQG1" s="536"/>
      <c r="GQH1" s="536"/>
      <c r="GQI1" s="536"/>
      <c r="GQJ1" s="536"/>
      <c r="GQK1" s="536"/>
      <c r="GQL1" s="536"/>
      <c r="GQM1" s="536"/>
      <c r="GQN1" s="536"/>
      <c r="GQO1" s="536"/>
      <c r="GQP1" s="536"/>
      <c r="GQQ1" s="536"/>
      <c r="GQR1" s="536"/>
      <c r="GQS1" s="536"/>
      <c r="GQT1" s="536"/>
      <c r="GQU1" s="536"/>
      <c r="GQV1" s="536"/>
      <c r="GQW1" s="536"/>
      <c r="GQX1" s="536"/>
      <c r="GQY1" s="536"/>
      <c r="GQZ1" s="536"/>
      <c r="GRA1" s="536"/>
      <c r="GRB1" s="536"/>
      <c r="GRC1" s="536"/>
      <c r="GRD1" s="536"/>
      <c r="GRE1" s="536"/>
      <c r="GRF1" s="536"/>
      <c r="GRG1" s="536"/>
      <c r="GRH1" s="536"/>
      <c r="GRI1" s="536"/>
      <c r="GRJ1" s="536"/>
      <c r="GRK1" s="536"/>
      <c r="GRL1" s="536"/>
      <c r="GRM1" s="536"/>
      <c r="GRN1" s="536"/>
      <c r="GRO1" s="536"/>
      <c r="GRP1" s="536"/>
      <c r="GRQ1" s="536"/>
      <c r="GRR1" s="536"/>
      <c r="GRS1" s="536"/>
      <c r="GRT1" s="536"/>
      <c r="GRU1" s="536"/>
      <c r="GRV1" s="536"/>
      <c r="GRW1" s="536"/>
      <c r="GRX1" s="536"/>
      <c r="GRY1" s="536"/>
      <c r="GRZ1" s="536"/>
      <c r="GSA1" s="536"/>
      <c r="GSB1" s="536"/>
      <c r="GSC1" s="536"/>
      <c r="GSD1" s="536"/>
      <c r="GSE1" s="536"/>
      <c r="GSF1" s="536"/>
      <c r="GSG1" s="536"/>
      <c r="GSH1" s="536"/>
      <c r="GSI1" s="536"/>
      <c r="GSJ1" s="536"/>
      <c r="GSK1" s="536"/>
      <c r="GSL1" s="536"/>
      <c r="GSM1" s="536"/>
      <c r="GSN1" s="536"/>
      <c r="GSO1" s="536"/>
      <c r="GSP1" s="536"/>
      <c r="GSQ1" s="536"/>
      <c r="GSR1" s="536"/>
      <c r="GSS1" s="536"/>
      <c r="GST1" s="536"/>
      <c r="GSU1" s="536"/>
      <c r="GSV1" s="536"/>
      <c r="GSW1" s="536"/>
      <c r="GSX1" s="536"/>
      <c r="GSY1" s="536"/>
      <c r="GSZ1" s="536"/>
      <c r="GTA1" s="536"/>
      <c r="GTB1" s="536"/>
      <c r="GTC1" s="536"/>
      <c r="GTD1" s="536"/>
      <c r="GTE1" s="536"/>
      <c r="GTF1" s="536"/>
      <c r="GTG1" s="536"/>
      <c r="GTH1" s="536"/>
      <c r="GTI1" s="536"/>
      <c r="GTJ1" s="536"/>
      <c r="GTK1" s="536"/>
      <c r="GTL1" s="536"/>
      <c r="GTM1" s="536"/>
      <c r="GTN1" s="536"/>
      <c r="GTO1" s="536"/>
      <c r="GTP1" s="536"/>
      <c r="GTQ1" s="536"/>
      <c r="GTR1" s="536"/>
      <c r="GTS1" s="536"/>
      <c r="GTT1" s="536"/>
      <c r="GTU1" s="536"/>
      <c r="GTV1" s="536"/>
      <c r="GTW1" s="536"/>
      <c r="GTX1" s="536"/>
      <c r="GTY1" s="536"/>
      <c r="GTZ1" s="536"/>
      <c r="GUA1" s="536"/>
      <c r="GUB1" s="536"/>
      <c r="GUC1" s="536"/>
      <c r="GUD1" s="536"/>
      <c r="GUE1" s="536"/>
      <c r="GUF1" s="536"/>
      <c r="GUG1" s="536"/>
      <c r="GUH1" s="536"/>
      <c r="GUI1" s="536"/>
      <c r="GUJ1" s="536"/>
      <c r="GUK1" s="536"/>
      <c r="GUL1" s="536"/>
      <c r="GUM1" s="536"/>
      <c r="GUN1" s="536"/>
      <c r="GUO1" s="536"/>
      <c r="GUP1" s="536"/>
      <c r="GUQ1" s="536"/>
      <c r="GUR1" s="536"/>
      <c r="GUS1" s="536"/>
      <c r="GUT1" s="536"/>
      <c r="GUU1" s="536"/>
      <c r="GUV1" s="536"/>
      <c r="GUW1" s="536"/>
      <c r="GUX1" s="536"/>
      <c r="GUY1" s="536"/>
      <c r="GUZ1" s="536"/>
      <c r="GVA1" s="536"/>
      <c r="GVB1" s="536"/>
      <c r="GVC1" s="536"/>
      <c r="GVD1" s="536"/>
      <c r="GVE1" s="536"/>
      <c r="GVF1" s="536"/>
      <c r="GVG1" s="536"/>
      <c r="GVH1" s="536"/>
      <c r="GVI1" s="536"/>
      <c r="GVJ1" s="536"/>
      <c r="GVK1" s="536"/>
      <c r="GVL1" s="536"/>
      <c r="GVM1" s="536"/>
      <c r="GVN1" s="536"/>
      <c r="GVO1" s="536"/>
      <c r="GVP1" s="536"/>
      <c r="GVQ1" s="536"/>
      <c r="GVR1" s="536"/>
      <c r="GVS1" s="536"/>
      <c r="GVT1" s="536"/>
      <c r="GVU1" s="536"/>
      <c r="GVV1" s="536"/>
      <c r="GVW1" s="536"/>
      <c r="GVX1" s="536"/>
      <c r="GVY1" s="536"/>
      <c r="GVZ1" s="536"/>
      <c r="GWA1" s="536"/>
      <c r="GWB1" s="536"/>
      <c r="GWC1" s="536"/>
      <c r="GWD1" s="536"/>
      <c r="GWE1" s="536"/>
      <c r="GWF1" s="536"/>
      <c r="GWG1" s="536"/>
      <c r="GWH1" s="536"/>
      <c r="GWI1" s="536"/>
      <c r="GWJ1" s="536"/>
      <c r="GWK1" s="536"/>
      <c r="GWL1" s="536"/>
      <c r="GWM1" s="536"/>
      <c r="GWN1" s="536"/>
      <c r="GWO1" s="536"/>
      <c r="GWP1" s="536"/>
      <c r="GWQ1" s="536"/>
      <c r="GWR1" s="536"/>
      <c r="GWS1" s="536"/>
      <c r="GWT1" s="536"/>
      <c r="GWU1" s="536"/>
      <c r="GWV1" s="536"/>
      <c r="GWW1" s="536"/>
      <c r="GWX1" s="536"/>
      <c r="GWY1" s="536"/>
      <c r="GWZ1" s="536"/>
      <c r="GXA1" s="536"/>
      <c r="GXB1" s="536"/>
      <c r="GXC1" s="536"/>
      <c r="GXD1" s="536"/>
      <c r="GXE1" s="536"/>
      <c r="GXF1" s="536"/>
      <c r="GXG1" s="536"/>
      <c r="GXH1" s="536"/>
      <c r="GXI1" s="536"/>
      <c r="GXJ1" s="536"/>
      <c r="GXK1" s="536"/>
      <c r="GXL1" s="536"/>
      <c r="GXM1" s="536"/>
      <c r="GXN1" s="536"/>
      <c r="GXO1" s="536"/>
      <c r="GXP1" s="536"/>
      <c r="GXQ1" s="536"/>
      <c r="GXR1" s="536"/>
      <c r="GXS1" s="536"/>
      <c r="GXT1" s="536"/>
      <c r="GXU1" s="536"/>
      <c r="GXV1" s="536"/>
      <c r="GXW1" s="536"/>
      <c r="GXX1" s="536"/>
      <c r="GXY1" s="536"/>
      <c r="GXZ1" s="536"/>
      <c r="GYA1" s="536"/>
      <c r="GYB1" s="536"/>
      <c r="GYC1" s="536"/>
      <c r="GYD1" s="536"/>
      <c r="GYE1" s="536"/>
      <c r="GYF1" s="536"/>
      <c r="GYG1" s="536"/>
      <c r="GYH1" s="536"/>
      <c r="GYI1" s="536"/>
      <c r="GYJ1" s="536"/>
      <c r="GYK1" s="536"/>
      <c r="GYL1" s="536"/>
      <c r="GYM1" s="536"/>
      <c r="GYN1" s="536"/>
      <c r="GYO1" s="536"/>
      <c r="GYP1" s="536"/>
      <c r="GYQ1" s="536"/>
      <c r="GYR1" s="536"/>
      <c r="GYS1" s="536"/>
      <c r="GYT1" s="536"/>
      <c r="GYU1" s="536"/>
      <c r="GYV1" s="536"/>
      <c r="GYW1" s="536"/>
      <c r="GYX1" s="536"/>
      <c r="GYY1" s="536"/>
      <c r="GYZ1" s="536"/>
      <c r="GZA1" s="536"/>
      <c r="GZB1" s="536"/>
      <c r="GZC1" s="536"/>
      <c r="GZD1" s="536"/>
      <c r="GZE1" s="536"/>
      <c r="GZF1" s="536"/>
      <c r="GZG1" s="536"/>
      <c r="GZH1" s="536"/>
      <c r="GZI1" s="536"/>
      <c r="GZJ1" s="536"/>
      <c r="GZK1" s="536"/>
      <c r="GZL1" s="536"/>
      <c r="GZM1" s="536"/>
      <c r="GZN1" s="536"/>
      <c r="GZO1" s="536"/>
      <c r="GZP1" s="536"/>
      <c r="GZQ1" s="536"/>
      <c r="GZR1" s="536"/>
      <c r="GZS1" s="536"/>
      <c r="GZT1" s="536"/>
      <c r="GZU1" s="536"/>
      <c r="GZV1" s="536"/>
      <c r="GZW1" s="536"/>
      <c r="GZX1" s="536"/>
      <c r="GZY1" s="536"/>
      <c r="GZZ1" s="536"/>
      <c r="HAA1" s="536"/>
      <c r="HAB1" s="536"/>
      <c r="HAC1" s="536"/>
      <c r="HAD1" s="536"/>
      <c r="HAE1" s="536"/>
      <c r="HAF1" s="536"/>
      <c r="HAG1" s="536"/>
      <c r="HAH1" s="536"/>
      <c r="HAI1" s="536"/>
      <c r="HAJ1" s="536"/>
      <c r="HAK1" s="536"/>
      <c r="HAL1" s="536"/>
      <c r="HAM1" s="536"/>
      <c r="HAN1" s="536"/>
      <c r="HAO1" s="536"/>
      <c r="HAP1" s="536"/>
      <c r="HAQ1" s="536"/>
      <c r="HAR1" s="536"/>
      <c r="HAS1" s="536"/>
      <c r="HAT1" s="536"/>
      <c r="HAU1" s="536"/>
      <c r="HAV1" s="536"/>
      <c r="HAW1" s="536"/>
      <c r="HAX1" s="536"/>
      <c r="HAY1" s="536"/>
      <c r="HAZ1" s="536"/>
      <c r="HBA1" s="536"/>
      <c r="HBB1" s="536"/>
      <c r="HBC1" s="536"/>
      <c r="HBD1" s="536"/>
      <c r="HBE1" s="536"/>
      <c r="HBF1" s="536"/>
      <c r="HBG1" s="536"/>
      <c r="HBH1" s="536"/>
      <c r="HBI1" s="536"/>
      <c r="HBJ1" s="536"/>
      <c r="HBK1" s="536"/>
      <c r="HBL1" s="536"/>
      <c r="HBM1" s="536"/>
      <c r="HBN1" s="536"/>
      <c r="HBO1" s="536"/>
      <c r="HBP1" s="536"/>
      <c r="HBQ1" s="536"/>
      <c r="HBR1" s="536"/>
      <c r="HBS1" s="536"/>
      <c r="HBT1" s="536"/>
      <c r="HBU1" s="536"/>
      <c r="HBV1" s="536"/>
      <c r="HBW1" s="536"/>
      <c r="HBX1" s="536"/>
      <c r="HBY1" s="536"/>
      <c r="HBZ1" s="536"/>
      <c r="HCA1" s="536"/>
      <c r="HCB1" s="536"/>
      <c r="HCC1" s="536"/>
      <c r="HCD1" s="536"/>
      <c r="HCE1" s="536"/>
      <c r="HCF1" s="536"/>
      <c r="HCG1" s="536"/>
      <c r="HCH1" s="536"/>
      <c r="HCI1" s="536"/>
      <c r="HCJ1" s="536"/>
      <c r="HCK1" s="536"/>
      <c r="HCL1" s="536"/>
      <c r="HCM1" s="536"/>
      <c r="HCN1" s="536"/>
      <c r="HCO1" s="536"/>
      <c r="HCP1" s="536"/>
      <c r="HCQ1" s="536"/>
      <c r="HCR1" s="536"/>
      <c r="HCS1" s="536"/>
      <c r="HCT1" s="536"/>
      <c r="HCU1" s="536"/>
      <c r="HCV1" s="536"/>
      <c r="HCW1" s="536"/>
      <c r="HCX1" s="536"/>
      <c r="HCY1" s="536"/>
      <c r="HCZ1" s="536"/>
      <c r="HDA1" s="536"/>
      <c r="HDB1" s="536"/>
      <c r="HDC1" s="536"/>
      <c r="HDD1" s="536"/>
      <c r="HDE1" s="536"/>
      <c r="HDF1" s="536"/>
      <c r="HDG1" s="536"/>
      <c r="HDH1" s="536"/>
      <c r="HDI1" s="536"/>
      <c r="HDJ1" s="536"/>
      <c r="HDK1" s="536"/>
      <c r="HDL1" s="536"/>
      <c r="HDM1" s="536"/>
      <c r="HDN1" s="536"/>
      <c r="HDO1" s="536"/>
      <c r="HDP1" s="536"/>
      <c r="HDQ1" s="536"/>
      <c r="HDR1" s="536"/>
      <c r="HDS1" s="536"/>
      <c r="HDT1" s="536"/>
      <c r="HDU1" s="536"/>
      <c r="HDV1" s="536"/>
      <c r="HDW1" s="536"/>
      <c r="HDX1" s="536"/>
      <c r="HDY1" s="536"/>
      <c r="HDZ1" s="536"/>
      <c r="HEA1" s="536"/>
      <c r="HEB1" s="536"/>
      <c r="HEC1" s="536"/>
      <c r="HED1" s="536"/>
      <c r="HEE1" s="536"/>
      <c r="HEF1" s="536"/>
      <c r="HEG1" s="536"/>
      <c r="HEH1" s="536"/>
      <c r="HEI1" s="536"/>
      <c r="HEJ1" s="536"/>
      <c r="HEK1" s="536"/>
      <c r="HEL1" s="536"/>
      <c r="HEM1" s="536"/>
      <c r="HEN1" s="536"/>
      <c r="HEO1" s="536"/>
      <c r="HEP1" s="536"/>
      <c r="HEQ1" s="536"/>
      <c r="HER1" s="536"/>
      <c r="HES1" s="536"/>
      <c r="HET1" s="536"/>
      <c r="HEU1" s="536"/>
      <c r="HEV1" s="536"/>
      <c r="HEW1" s="536"/>
      <c r="HEX1" s="536"/>
      <c r="HEY1" s="536"/>
      <c r="HEZ1" s="536"/>
      <c r="HFA1" s="536"/>
      <c r="HFB1" s="536"/>
      <c r="HFC1" s="536"/>
      <c r="HFD1" s="536"/>
      <c r="HFE1" s="536"/>
      <c r="HFF1" s="536"/>
      <c r="HFG1" s="536"/>
      <c r="HFH1" s="536"/>
      <c r="HFI1" s="536"/>
      <c r="HFJ1" s="536"/>
      <c r="HFK1" s="536"/>
      <c r="HFL1" s="536"/>
      <c r="HFM1" s="536"/>
      <c r="HFN1" s="536"/>
      <c r="HFO1" s="536"/>
      <c r="HFP1" s="536"/>
      <c r="HFQ1" s="536"/>
      <c r="HFR1" s="536"/>
      <c r="HFS1" s="536"/>
      <c r="HFT1" s="536"/>
      <c r="HFU1" s="536"/>
      <c r="HFV1" s="536"/>
      <c r="HFW1" s="536"/>
      <c r="HFX1" s="536"/>
      <c r="HFY1" s="536"/>
      <c r="HFZ1" s="536"/>
      <c r="HGA1" s="536"/>
      <c r="HGB1" s="536"/>
      <c r="HGC1" s="536"/>
      <c r="HGD1" s="536"/>
      <c r="HGE1" s="536"/>
      <c r="HGF1" s="536"/>
      <c r="HGG1" s="536"/>
      <c r="HGH1" s="536"/>
      <c r="HGI1" s="536"/>
      <c r="HGJ1" s="536"/>
      <c r="HGK1" s="536"/>
      <c r="HGL1" s="536"/>
      <c r="HGM1" s="536"/>
      <c r="HGN1" s="536"/>
      <c r="HGO1" s="536"/>
      <c r="HGP1" s="536"/>
      <c r="HGQ1" s="536"/>
      <c r="HGR1" s="536"/>
      <c r="HGS1" s="536"/>
      <c r="HGT1" s="536"/>
      <c r="HGU1" s="536"/>
      <c r="HGV1" s="536"/>
      <c r="HGW1" s="536"/>
      <c r="HGX1" s="536"/>
      <c r="HGY1" s="536"/>
      <c r="HGZ1" s="536"/>
      <c r="HHA1" s="536"/>
      <c r="HHB1" s="536"/>
      <c r="HHC1" s="536"/>
      <c r="HHD1" s="536"/>
      <c r="HHE1" s="536"/>
      <c r="HHF1" s="536"/>
      <c r="HHG1" s="536"/>
      <c r="HHH1" s="536"/>
      <c r="HHI1" s="536"/>
      <c r="HHJ1" s="536"/>
      <c r="HHK1" s="536"/>
      <c r="HHL1" s="536"/>
      <c r="HHM1" s="536"/>
      <c r="HHN1" s="536"/>
      <c r="HHO1" s="536"/>
      <c r="HHP1" s="536"/>
      <c r="HHQ1" s="536"/>
      <c r="HHR1" s="536"/>
      <c r="HHS1" s="536"/>
      <c r="HHT1" s="536"/>
      <c r="HHU1" s="536"/>
      <c r="HHV1" s="536"/>
      <c r="HHW1" s="536"/>
      <c r="HHX1" s="536"/>
      <c r="HHY1" s="536"/>
      <c r="HHZ1" s="536"/>
      <c r="HIA1" s="536"/>
      <c r="HIB1" s="536"/>
      <c r="HIC1" s="536"/>
      <c r="HID1" s="536"/>
      <c r="HIE1" s="536"/>
      <c r="HIF1" s="536"/>
      <c r="HIG1" s="536"/>
      <c r="HIH1" s="536"/>
      <c r="HII1" s="536"/>
      <c r="HIJ1" s="536"/>
      <c r="HIK1" s="536"/>
      <c r="HIL1" s="536"/>
      <c r="HIM1" s="536"/>
      <c r="HIN1" s="536"/>
      <c r="HIO1" s="536"/>
      <c r="HIP1" s="536"/>
      <c r="HIQ1" s="536"/>
      <c r="HIR1" s="536"/>
      <c r="HIS1" s="536"/>
      <c r="HIT1" s="536"/>
      <c r="HIU1" s="536"/>
      <c r="HIV1" s="536"/>
      <c r="HIW1" s="536"/>
      <c r="HIX1" s="536"/>
      <c r="HIY1" s="536"/>
      <c r="HIZ1" s="536"/>
      <c r="HJA1" s="536"/>
      <c r="HJB1" s="536"/>
      <c r="HJC1" s="536"/>
      <c r="HJD1" s="536"/>
      <c r="HJE1" s="536"/>
      <c r="HJF1" s="536"/>
      <c r="HJG1" s="536"/>
      <c r="HJH1" s="536"/>
      <c r="HJI1" s="536"/>
      <c r="HJJ1" s="536"/>
      <c r="HJK1" s="536"/>
      <c r="HJL1" s="536"/>
      <c r="HJM1" s="536"/>
      <c r="HJN1" s="536"/>
      <c r="HJO1" s="536"/>
      <c r="HJP1" s="536"/>
      <c r="HJQ1" s="536"/>
      <c r="HJR1" s="536"/>
      <c r="HJS1" s="536"/>
      <c r="HJT1" s="536"/>
      <c r="HJU1" s="536"/>
      <c r="HJV1" s="536"/>
      <c r="HJW1" s="536"/>
      <c r="HJX1" s="536"/>
      <c r="HJY1" s="536"/>
      <c r="HJZ1" s="536"/>
      <c r="HKA1" s="536"/>
      <c r="HKB1" s="536"/>
      <c r="HKC1" s="536"/>
      <c r="HKD1" s="536"/>
      <c r="HKE1" s="536"/>
      <c r="HKF1" s="536"/>
      <c r="HKG1" s="536"/>
      <c r="HKH1" s="536"/>
      <c r="HKI1" s="536"/>
      <c r="HKJ1" s="536"/>
      <c r="HKK1" s="536"/>
      <c r="HKL1" s="536"/>
      <c r="HKM1" s="536"/>
      <c r="HKN1" s="536"/>
      <c r="HKO1" s="536"/>
      <c r="HKP1" s="536"/>
      <c r="HKQ1" s="536"/>
      <c r="HKR1" s="536"/>
      <c r="HKS1" s="536"/>
      <c r="HKT1" s="536"/>
      <c r="HKU1" s="536"/>
      <c r="HKV1" s="536"/>
      <c r="HKW1" s="536"/>
      <c r="HKX1" s="536"/>
      <c r="HKY1" s="536"/>
      <c r="HKZ1" s="536"/>
      <c r="HLA1" s="536"/>
      <c r="HLB1" s="536"/>
      <c r="HLC1" s="536"/>
      <c r="HLD1" s="536"/>
      <c r="HLE1" s="536"/>
      <c r="HLF1" s="536"/>
      <c r="HLG1" s="536"/>
      <c r="HLH1" s="536"/>
      <c r="HLI1" s="536"/>
      <c r="HLJ1" s="536"/>
      <c r="HLK1" s="536"/>
      <c r="HLL1" s="536"/>
      <c r="HLM1" s="536"/>
      <c r="HLN1" s="536"/>
      <c r="HLO1" s="536"/>
      <c r="HLP1" s="536"/>
      <c r="HLQ1" s="536"/>
      <c r="HLR1" s="536"/>
      <c r="HLS1" s="536"/>
      <c r="HLT1" s="536"/>
      <c r="HLU1" s="536"/>
      <c r="HLV1" s="536"/>
      <c r="HLW1" s="536"/>
      <c r="HLX1" s="536"/>
      <c r="HLY1" s="536"/>
      <c r="HLZ1" s="536"/>
      <c r="HMA1" s="536"/>
      <c r="HMB1" s="536"/>
      <c r="HMC1" s="536"/>
      <c r="HMD1" s="536"/>
      <c r="HME1" s="536"/>
      <c r="HMF1" s="536"/>
      <c r="HMG1" s="536"/>
      <c r="HMH1" s="536"/>
      <c r="HMI1" s="536"/>
      <c r="HMJ1" s="536"/>
      <c r="HMK1" s="536"/>
      <c r="HML1" s="536"/>
      <c r="HMM1" s="536"/>
      <c r="HMN1" s="536"/>
      <c r="HMO1" s="536"/>
      <c r="HMP1" s="536"/>
      <c r="HMQ1" s="536"/>
      <c r="HMR1" s="536"/>
      <c r="HMS1" s="536"/>
      <c r="HMT1" s="536"/>
      <c r="HMU1" s="536"/>
      <c r="HMV1" s="536"/>
      <c r="HMW1" s="536"/>
      <c r="HMX1" s="536"/>
      <c r="HMY1" s="536"/>
      <c r="HMZ1" s="536"/>
      <c r="HNA1" s="536"/>
      <c r="HNB1" s="536"/>
      <c r="HNC1" s="536"/>
      <c r="HND1" s="536"/>
      <c r="HNE1" s="536"/>
      <c r="HNF1" s="536"/>
      <c r="HNG1" s="536"/>
      <c r="HNH1" s="536"/>
      <c r="HNI1" s="536"/>
      <c r="HNJ1" s="536"/>
      <c r="HNK1" s="536"/>
      <c r="HNL1" s="536"/>
      <c r="HNM1" s="536"/>
      <c r="HNN1" s="536"/>
      <c r="HNO1" s="536"/>
      <c r="HNP1" s="536"/>
      <c r="HNQ1" s="536"/>
      <c r="HNR1" s="536"/>
      <c r="HNS1" s="536"/>
      <c r="HNT1" s="536"/>
      <c r="HNU1" s="536"/>
      <c r="HNV1" s="536"/>
      <c r="HNW1" s="536"/>
      <c r="HNX1" s="536"/>
      <c r="HNY1" s="536"/>
      <c r="HNZ1" s="536"/>
      <c r="HOA1" s="536"/>
      <c r="HOB1" s="536"/>
      <c r="HOC1" s="536"/>
      <c r="HOD1" s="536"/>
      <c r="HOE1" s="536"/>
      <c r="HOF1" s="536"/>
      <c r="HOG1" s="536"/>
      <c r="HOH1" s="536"/>
      <c r="HOI1" s="536"/>
      <c r="HOJ1" s="536"/>
      <c r="HOK1" s="536"/>
      <c r="HOL1" s="536"/>
      <c r="HOM1" s="536"/>
      <c r="HON1" s="536"/>
      <c r="HOO1" s="536"/>
      <c r="HOP1" s="536"/>
      <c r="HOQ1" s="536"/>
      <c r="HOR1" s="536"/>
      <c r="HOS1" s="536"/>
      <c r="HOT1" s="536"/>
      <c r="HOU1" s="536"/>
      <c r="HOV1" s="536"/>
      <c r="HOW1" s="536"/>
      <c r="HOX1" s="536"/>
      <c r="HOY1" s="536"/>
      <c r="HOZ1" s="536"/>
      <c r="HPA1" s="536"/>
      <c r="HPB1" s="536"/>
      <c r="HPC1" s="536"/>
      <c r="HPD1" s="536"/>
      <c r="HPE1" s="536"/>
      <c r="HPF1" s="536"/>
      <c r="HPG1" s="536"/>
      <c r="HPH1" s="536"/>
      <c r="HPI1" s="536"/>
      <c r="HPJ1" s="536"/>
      <c r="HPK1" s="536"/>
      <c r="HPL1" s="536"/>
      <c r="HPM1" s="536"/>
      <c r="HPN1" s="536"/>
      <c r="HPO1" s="536"/>
      <c r="HPP1" s="536"/>
      <c r="HPQ1" s="536"/>
      <c r="HPR1" s="536"/>
      <c r="HPS1" s="536"/>
      <c r="HPT1" s="536"/>
      <c r="HPU1" s="536"/>
      <c r="HPV1" s="536"/>
      <c r="HPW1" s="536"/>
      <c r="HPX1" s="536"/>
      <c r="HPY1" s="536"/>
      <c r="HPZ1" s="536"/>
      <c r="HQA1" s="536"/>
      <c r="HQB1" s="536"/>
      <c r="HQC1" s="536"/>
      <c r="HQD1" s="536"/>
      <c r="HQE1" s="536"/>
      <c r="HQF1" s="536"/>
      <c r="HQG1" s="536"/>
      <c r="HQH1" s="536"/>
      <c r="HQI1" s="536"/>
      <c r="HQJ1" s="536"/>
      <c r="HQK1" s="536"/>
      <c r="HQL1" s="536"/>
      <c r="HQM1" s="536"/>
      <c r="HQN1" s="536"/>
      <c r="HQO1" s="536"/>
      <c r="HQP1" s="536"/>
      <c r="HQQ1" s="536"/>
      <c r="HQR1" s="536"/>
      <c r="HQS1" s="536"/>
      <c r="HQT1" s="536"/>
      <c r="HQU1" s="536"/>
      <c r="HQV1" s="536"/>
      <c r="HQW1" s="536"/>
      <c r="HQX1" s="536"/>
      <c r="HQY1" s="536"/>
      <c r="HQZ1" s="536"/>
      <c r="HRA1" s="536"/>
      <c r="HRB1" s="536"/>
      <c r="HRC1" s="536"/>
      <c r="HRD1" s="536"/>
      <c r="HRE1" s="536"/>
      <c r="HRF1" s="536"/>
      <c r="HRG1" s="536"/>
      <c r="HRH1" s="536"/>
      <c r="HRI1" s="536"/>
      <c r="HRJ1" s="536"/>
      <c r="HRK1" s="536"/>
      <c r="HRL1" s="536"/>
      <c r="HRM1" s="536"/>
      <c r="HRN1" s="536"/>
      <c r="HRO1" s="536"/>
      <c r="HRP1" s="536"/>
      <c r="HRQ1" s="536"/>
      <c r="HRR1" s="536"/>
      <c r="HRS1" s="536"/>
      <c r="HRT1" s="536"/>
      <c r="HRU1" s="536"/>
      <c r="HRV1" s="536"/>
      <c r="HRW1" s="536"/>
      <c r="HRX1" s="536"/>
      <c r="HRY1" s="536"/>
      <c r="HRZ1" s="536"/>
      <c r="HSA1" s="536"/>
      <c r="HSB1" s="536"/>
      <c r="HSC1" s="536"/>
      <c r="HSD1" s="536"/>
      <c r="HSE1" s="536"/>
      <c r="HSF1" s="536"/>
      <c r="HSG1" s="536"/>
      <c r="HSH1" s="536"/>
      <c r="HSI1" s="536"/>
      <c r="HSJ1" s="536"/>
      <c r="HSK1" s="536"/>
      <c r="HSL1" s="536"/>
      <c r="HSM1" s="536"/>
      <c r="HSN1" s="536"/>
      <c r="HSO1" s="536"/>
      <c r="HSP1" s="536"/>
      <c r="HSQ1" s="536"/>
      <c r="HSR1" s="536"/>
      <c r="HSS1" s="536"/>
      <c r="HST1" s="536"/>
      <c r="HSU1" s="536"/>
      <c r="HSV1" s="536"/>
      <c r="HSW1" s="536"/>
      <c r="HSX1" s="536"/>
      <c r="HSY1" s="536"/>
      <c r="HSZ1" s="536"/>
      <c r="HTA1" s="536"/>
      <c r="HTB1" s="536"/>
      <c r="HTC1" s="536"/>
      <c r="HTD1" s="536"/>
      <c r="HTE1" s="536"/>
      <c r="HTF1" s="536"/>
      <c r="HTG1" s="536"/>
      <c r="HTH1" s="536"/>
      <c r="HTI1" s="536"/>
      <c r="HTJ1" s="536"/>
      <c r="HTK1" s="536"/>
      <c r="HTL1" s="536"/>
      <c r="HTM1" s="536"/>
      <c r="HTN1" s="536"/>
      <c r="HTO1" s="536"/>
      <c r="HTP1" s="536"/>
      <c r="HTQ1" s="536"/>
      <c r="HTR1" s="536"/>
      <c r="HTS1" s="536"/>
      <c r="HTT1" s="536"/>
      <c r="HTU1" s="536"/>
      <c r="HTV1" s="536"/>
      <c r="HTW1" s="536"/>
      <c r="HTX1" s="536"/>
      <c r="HTY1" s="536"/>
      <c r="HTZ1" s="536"/>
      <c r="HUA1" s="536"/>
      <c r="HUB1" s="536"/>
      <c r="HUC1" s="536"/>
      <c r="HUD1" s="536"/>
      <c r="HUE1" s="536"/>
      <c r="HUF1" s="536"/>
      <c r="HUG1" s="536"/>
      <c r="HUH1" s="536"/>
      <c r="HUI1" s="536"/>
      <c r="HUJ1" s="536"/>
      <c r="HUK1" s="536"/>
      <c r="HUL1" s="536"/>
      <c r="HUM1" s="536"/>
      <c r="HUN1" s="536"/>
      <c r="HUO1" s="536"/>
      <c r="HUP1" s="536"/>
      <c r="HUQ1" s="536"/>
      <c r="HUR1" s="536"/>
      <c r="HUS1" s="536"/>
      <c r="HUT1" s="536"/>
      <c r="HUU1" s="536"/>
      <c r="HUV1" s="536"/>
      <c r="HUW1" s="536"/>
      <c r="HUX1" s="536"/>
      <c r="HUY1" s="536"/>
      <c r="HUZ1" s="536"/>
      <c r="HVA1" s="536"/>
      <c r="HVB1" s="536"/>
      <c r="HVC1" s="536"/>
      <c r="HVD1" s="536"/>
      <c r="HVE1" s="536"/>
      <c r="HVF1" s="536"/>
      <c r="HVG1" s="536"/>
      <c r="HVH1" s="536"/>
      <c r="HVI1" s="536"/>
      <c r="HVJ1" s="536"/>
      <c r="HVK1" s="536"/>
      <c r="HVL1" s="536"/>
      <c r="HVM1" s="536"/>
      <c r="HVN1" s="536"/>
      <c r="HVO1" s="536"/>
      <c r="HVP1" s="536"/>
      <c r="HVQ1" s="536"/>
      <c r="HVR1" s="536"/>
      <c r="HVS1" s="536"/>
      <c r="HVT1" s="536"/>
      <c r="HVU1" s="536"/>
      <c r="HVV1" s="536"/>
      <c r="HVW1" s="536"/>
      <c r="HVX1" s="536"/>
      <c r="HVY1" s="536"/>
      <c r="HVZ1" s="536"/>
      <c r="HWA1" s="536"/>
      <c r="HWB1" s="536"/>
      <c r="HWC1" s="536"/>
      <c r="HWD1" s="536"/>
      <c r="HWE1" s="536"/>
      <c r="HWF1" s="536"/>
      <c r="HWG1" s="536"/>
      <c r="HWH1" s="536"/>
      <c r="HWI1" s="536"/>
      <c r="HWJ1" s="536"/>
      <c r="HWK1" s="536"/>
      <c r="HWL1" s="536"/>
      <c r="HWM1" s="536"/>
      <c r="HWN1" s="536"/>
      <c r="HWO1" s="536"/>
      <c r="HWP1" s="536"/>
      <c r="HWQ1" s="536"/>
      <c r="HWR1" s="536"/>
      <c r="HWS1" s="536"/>
      <c r="HWT1" s="536"/>
      <c r="HWU1" s="536"/>
      <c r="HWV1" s="536"/>
      <c r="HWW1" s="536"/>
      <c r="HWX1" s="536"/>
      <c r="HWY1" s="536"/>
      <c r="HWZ1" s="536"/>
      <c r="HXA1" s="536"/>
      <c r="HXB1" s="536"/>
      <c r="HXC1" s="536"/>
      <c r="HXD1" s="536"/>
      <c r="HXE1" s="536"/>
      <c r="HXF1" s="536"/>
      <c r="HXG1" s="536"/>
      <c r="HXH1" s="536"/>
      <c r="HXI1" s="536"/>
      <c r="HXJ1" s="536"/>
      <c r="HXK1" s="536"/>
      <c r="HXL1" s="536"/>
      <c r="HXM1" s="536"/>
      <c r="HXN1" s="536"/>
      <c r="HXO1" s="536"/>
      <c r="HXP1" s="536"/>
      <c r="HXQ1" s="536"/>
      <c r="HXR1" s="536"/>
      <c r="HXS1" s="536"/>
      <c r="HXT1" s="536"/>
      <c r="HXU1" s="536"/>
      <c r="HXV1" s="536"/>
      <c r="HXW1" s="536"/>
      <c r="HXX1" s="536"/>
      <c r="HXY1" s="536"/>
      <c r="HXZ1" s="536"/>
      <c r="HYA1" s="536"/>
      <c r="HYB1" s="536"/>
      <c r="HYC1" s="536"/>
      <c r="HYD1" s="536"/>
      <c r="HYE1" s="536"/>
      <c r="HYF1" s="536"/>
      <c r="HYG1" s="536"/>
      <c r="HYH1" s="536"/>
      <c r="HYI1" s="536"/>
      <c r="HYJ1" s="536"/>
      <c r="HYK1" s="536"/>
      <c r="HYL1" s="536"/>
      <c r="HYM1" s="536"/>
      <c r="HYN1" s="536"/>
      <c r="HYO1" s="536"/>
      <c r="HYP1" s="536"/>
      <c r="HYQ1" s="536"/>
      <c r="HYR1" s="536"/>
      <c r="HYS1" s="536"/>
      <c r="HYT1" s="536"/>
      <c r="HYU1" s="536"/>
      <c r="HYV1" s="536"/>
      <c r="HYW1" s="536"/>
      <c r="HYX1" s="536"/>
      <c r="HYY1" s="536"/>
      <c r="HYZ1" s="536"/>
      <c r="HZA1" s="536"/>
      <c r="HZB1" s="536"/>
      <c r="HZC1" s="536"/>
      <c r="HZD1" s="536"/>
      <c r="HZE1" s="536"/>
      <c r="HZF1" s="536"/>
      <c r="HZG1" s="536"/>
      <c r="HZH1" s="536"/>
      <c r="HZI1" s="536"/>
      <c r="HZJ1" s="536"/>
      <c r="HZK1" s="536"/>
      <c r="HZL1" s="536"/>
      <c r="HZM1" s="536"/>
      <c r="HZN1" s="536"/>
      <c r="HZO1" s="536"/>
      <c r="HZP1" s="536"/>
      <c r="HZQ1" s="536"/>
      <c r="HZR1" s="536"/>
      <c r="HZS1" s="536"/>
      <c r="HZT1" s="536"/>
      <c r="HZU1" s="536"/>
      <c r="HZV1" s="536"/>
      <c r="HZW1" s="536"/>
      <c r="HZX1" s="536"/>
      <c r="HZY1" s="536"/>
      <c r="HZZ1" s="536"/>
      <c r="IAA1" s="536"/>
      <c r="IAB1" s="536"/>
      <c r="IAC1" s="536"/>
      <c r="IAD1" s="536"/>
      <c r="IAE1" s="536"/>
      <c r="IAF1" s="536"/>
      <c r="IAG1" s="536"/>
      <c r="IAH1" s="536"/>
      <c r="IAI1" s="536"/>
      <c r="IAJ1" s="536"/>
      <c r="IAK1" s="536"/>
      <c r="IAL1" s="536"/>
      <c r="IAM1" s="536"/>
      <c r="IAN1" s="536"/>
      <c r="IAO1" s="536"/>
      <c r="IAP1" s="536"/>
      <c r="IAQ1" s="536"/>
      <c r="IAR1" s="536"/>
      <c r="IAS1" s="536"/>
      <c r="IAT1" s="536"/>
      <c r="IAU1" s="536"/>
      <c r="IAV1" s="536"/>
      <c r="IAW1" s="536"/>
      <c r="IAX1" s="536"/>
      <c r="IAY1" s="536"/>
      <c r="IAZ1" s="536"/>
      <c r="IBA1" s="536"/>
      <c r="IBB1" s="536"/>
      <c r="IBC1" s="536"/>
      <c r="IBD1" s="536"/>
      <c r="IBE1" s="536"/>
      <c r="IBF1" s="536"/>
      <c r="IBG1" s="536"/>
      <c r="IBH1" s="536"/>
      <c r="IBI1" s="536"/>
      <c r="IBJ1" s="536"/>
      <c r="IBK1" s="536"/>
      <c r="IBL1" s="536"/>
      <c r="IBM1" s="536"/>
      <c r="IBN1" s="536"/>
      <c r="IBO1" s="536"/>
      <c r="IBP1" s="536"/>
      <c r="IBQ1" s="536"/>
      <c r="IBR1" s="536"/>
      <c r="IBS1" s="536"/>
      <c r="IBT1" s="536"/>
      <c r="IBU1" s="536"/>
      <c r="IBV1" s="536"/>
      <c r="IBW1" s="536"/>
      <c r="IBX1" s="536"/>
      <c r="IBY1" s="536"/>
      <c r="IBZ1" s="536"/>
      <c r="ICA1" s="536"/>
      <c r="ICB1" s="536"/>
      <c r="ICC1" s="536"/>
      <c r="ICD1" s="536"/>
      <c r="ICE1" s="536"/>
      <c r="ICF1" s="536"/>
      <c r="ICG1" s="536"/>
      <c r="ICH1" s="536"/>
      <c r="ICI1" s="536"/>
      <c r="ICJ1" s="536"/>
      <c r="ICK1" s="536"/>
      <c r="ICL1" s="536"/>
      <c r="ICM1" s="536"/>
      <c r="ICN1" s="536"/>
      <c r="ICO1" s="536"/>
      <c r="ICP1" s="536"/>
      <c r="ICQ1" s="536"/>
      <c r="ICR1" s="536"/>
      <c r="ICS1" s="536"/>
      <c r="ICT1" s="536"/>
      <c r="ICU1" s="536"/>
      <c r="ICV1" s="536"/>
      <c r="ICW1" s="536"/>
      <c r="ICX1" s="536"/>
      <c r="ICY1" s="536"/>
      <c r="ICZ1" s="536"/>
      <c r="IDA1" s="536"/>
      <c r="IDB1" s="536"/>
      <c r="IDC1" s="536"/>
      <c r="IDD1" s="536"/>
      <c r="IDE1" s="536"/>
      <c r="IDF1" s="536"/>
      <c r="IDG1" s="536"/>
      <c r="IDH1" s="536"/>
      <c r="IDI1" s="536"/>
      <c r="IDJ1" s="536"/>
      <c r="IDK1" s="536"/>
      <c r="IDL1" s="536"/>
      <c r="IDM1" s="536"/>
      <c r="IDN1" s="536"/>
      <c r="IDO1" s="536"/>
      <c r="IDP1" s="536"/>
      <c r="IDQ1" s="536"/>
      <c r="IDR1" s="536"/>
      <c r="IDS1" s="536"/>
      <c r="IDT1" s="536"/>
      <c r="IDU1" s="536"/>
      <c r="IDV1" s="536"/>
      <c r="IDW1" s="536"/>
      <c r="IDX1" s="536"/>
      <c r="IDY1" s="536"/>
      <c r="IDZ1" s="536"/>
      <c r="IEA1" s="536"/>
      <c r="IEB1" s="536"/>
      <c r="IEC1" s="536"/>
      <c r="IED1" s="536"/>
      <c r="IEE1" s="536"/>
      <c r="IEF1" s="536"/>
      <c r="IEG1" s="536"/>
      <c r="IEH1" s="536"/>
      <c r="IEI1" s="536"/>
      <c r="IEJ1" s="536"/>
      <c r="IEK1" s="536"/>
      <c r="IEL1" s="536"/>
      <c r="IEM1" s="536"/>
      <c r="IEN1" s="536"/>
      <c r="IEO1" s="536"/>
      <c r="IEP1" s="536"/>
      <c r="IEQ1" s="536"/>
      <c r="IER1" s="536"/>
      <c r="IES1" s="536"/>
      <c r="IET1" s="536"/>
      <c r="IEU1" s="536"/>
      <c r="IEV1" s="536"/>
      <c r="IEW1" s="536"/>
      <c r="IEX1" s="536"/>
      <c r="IEY1" s="536"/>
      <c r="IEZ1" s="536"/>
      <c r="IFA1" s="536"/>
      <c r="IFB1" s="536"/>
      <c r="IFC1" s="536"/>
      <c r="IFD1" s="536"/>
      <c r="IFE1" s="536"/>
      <c r="IFF1" s="536"/>
      <c r="IFG1" s="536"/>
      <c r="IFH1" s="536"/>
      <c r="IFI1" s="536"/>
      <c r="IFJ1" s="536"/>
      <c r="IFK1" s="536"/>
      <c r="IFL1" s="536"/>
      <c r="IFM1" s="536"/>
      <c r="IFN1" s="536"/>
      <c r="IFO1" s="536"/>
      <c r="IFP1" s="536"/>
      <c r="IFQ1" s="536"/>
      <c r="IFR1" s="536"/>
      <c r="IFS1" s="536"/>
      <c r="IFT1" s="536"/>
      <c r="IFU1" s="536"/>
      <c r="IFV1" s="536"/>
      <c r="IFW1" s="536"/>
      <c r="IFX1" s="536"/>
      <c r="IFY1" s="536"/>
      <c r="IFZ1" s="536"/>
      <c r="IGA1" s="536"/>
      <c r="IGB1" s="536"/>
      <c r="IGC1" s="536"/>
      <c r="IGD1" s="536"/>
      <c r="IGE1" s="536"/>
      <c r="IGF1" s="536"/>
      <c r="IGG1" s="536"/>
      <c r="IGH1" s="536"/>
      <c r="IGI1" s="536"/>
      <c r="IGJ1" s="536"/>
      <c r="IGK1" s="536"/>
      <c r="IGL1" s="536"/>
      <c r="IGM1" s="536"/>
      <c r="IGN1" s="536"/>
      <c r="IGO1" s="536"/>
      <c r="IGP1" s="536"/>
      <c r="IGQ1" s="536"/>
      <c r="IGR1" s="536"/>
      <c r="IGS1" s="536"/>
      <c r="IGT1" s="536"/>
      <c r="IGU1" s="536"/>
      <c r="IGV1" s="536"/>
      <c r="IGW1" s="536"/>
      <c r="IGX1" s="536"/>
      <c r="IGY1" s="536"/>
      <c r="IGZ1" s="536"/>
      <c r="IHA1" s="536"/>
      <c r="IHB1" s="536"/>
      <c r="IHC1" s="536"/>
      <c r="IHD1" s="536"/>
      <c r="IHE1" s="536"/>
      <c r="IHF1" s="536"/>
      <c r="IHG1" s="536"/>
      <c r="IHH1" s="536"/>
      <c r="IHI1" s="536"/>
      <c r="IHJ1" s="536"/>
      <c r="IHK1" s="536"/>
      <c r="IHL1" s="536"/>
      <c r="IHM1" s="536"/>
      <c r="IHN1" s="536"/>
      <c r="IHO1" s="536"/>
      <c r="IHP1" s="536"/>
      <c r="IHQ1" s="536"/>
      <c r="IHR1" s="536"/>
      <c r="IHS1" s="536"/>
      <c r="IHT1" s="536"/>
      <c r="IHU1" s="536"/>
      <c r="IHV1" s="536"/>
      <c r="IHW1" s="536"/>
      <c r="IHX1" s="536"/>
      <c r="IHY1" s="536"/>
      <c r="IHZ1" s="536"/>
      <c r="IIA1" s="536"/>
      <c r="IIB1" s="536"/>
      <c r="IIC1" s="536"/>
      <c r="IID1" s="536"/>
      <c r="IIE1" s="536"/>
      <c r="IIF1" s="536"/>
      <c r="IIG1" s="536"/>
      <c r="IIH1" s="536"/>
      <c r="III1" s="536"/>
      <c r="IIJ1" s="536"/>
      <c r="IIK1" s="536"/>
      <c r="IIL1" s="536"/>
      <c r="IIM1" s="536"/>
      <c r="IIN1" s="536"/>
      <c r="IIO1" s="536"/>
      <c r="IIP1" s="536"/>
      <c r="IIQ1" s="536"/>
      <c r="IIR1" s="536"/>
      <c r="IIS1" s="536"/>
      <c r="IIT1" s="536"/>
      <c r="IIU1" s="536"/>
      <c r="IIV1" s="536"/>
      <c r="IIW1" s="536"/>
      <c r="IIX1" s="536"/>
      <c r="IIY1" s="536"/>
      <c r="IIZ1" s="536"/>
      <c r="IJA1" s="536"/>
      <c r="IJB1" s="536"/>
      <c r="IJC1" s="536"/>
      <c r="IJD1" s="536"/>
      <c r="IJE1" s="536"/>
      <c r="IJF1" s="536"/>
      <c r="IJG1" s="536"/>
      <c r="IJH1" s="536"/>
      <c r="IJI1" s="536"/>
      <c r="IJJ1" s="536"/>
      <c r="IJK1" s="536"/>
      <c r="IJL1" s="536"/>
      <c r="IJM1" s="536"/>
      <c r="IJN1" s="536"/>
      <c r="IJO1" s="536"/>
      <c r="IJP1" s="536"/>
      <c r="IJQ1" s="536"/>
      <c r="IJR1" s="536"/>
      <c r="IJS1" s="536"/>
      <c r="IJT1" s="536"/>
      <c r="IJU1" s="536"/>
      <c r="IJV1" s="536"/>
      <c r="IJW1" s="536"/>
      <c r="IJX1" s="536"/>
      <c r="IJY1" s="536"/>
      <c r="IJZ1" s="536"/>
      <c r="IKA1" s="536"/>
      <c r="IKB1" s="536"/>
      <c r="IKC1" s="536"/>
      <c r="IKD1" s="536"/>
      <c r="IKE1" s="536"/>
      <c r="IKF1" s="536"/>
      <c r="IKG1" s="536"/>
      <c r="IKH1" s="536"/>
      <c r="IKI1" s="536"/>
      <c r="IKJ1" s="536"/>
      <c r="IKK1" s="536"/>
      <c r="IKL1" s="536"/>
      <c r="IKM1" s="536"/>
      <c r="IKN1" s="536"/>
      <c r="IKO1" s="536"/>
      <c r="IKP1" s="536"/>
      <c r="IKQ1" s="536"/>
      <c r="IKR1" s="536"/>
      <c r="IKS1" s="536"/>
      <c r="IKT1" s="536"/>
      <c r="IKU1" s="536"/>
      <c r="IKV1" s="536"/>
      <c r="IKW1" s="536"/>
      <c r="IKX1" s="536"/>
      <c r="IKY1" s="536"/>
      <c r="IKZ1" s="536"/>
      <c r="ILA1" s="536"/>
      <c r="ILB1" s="536"/>
      <c r="ILC1" s="536"/>
      <c r="ILD1" s="536"/>
      <c r="ILE1" s="536"/>
      <c r="ILF1" s="536"/>
      <c r="ILG1" s="536"/>
      <c r="ILH1" s="536"/>
      <c r="ILI1" s="536"/>
      <c r="ILJ1" s="536"/>
      <c r="ILK1" s="536"/>
      <c r="ILL1" s="536"/>
      <c r="ILM1" s="536"/>
      <c r="ILN1" s="536"/>
      <c r="ILO1" s="536"/>
      <c r="ILP1" s="536"/>
      <c r="ILQ1" s="536"/>
      <c r="ILR1" s="536"/>
      <c r="ILS1" s="536"/>
      <c r="ILT1" s="536"/>
      <c r="ILU1" s="536"/>
      <c r="ILV1" s="536"/>
      <c r="ILW1" s="536"/>
      <c r="ILX1" s="536"/>
      <c r="ILY1" s="536"/>
      <c r="ILZ1" s="536"/>
      <c r="IMA1" s="536"/>
      <c r="IMB1" s="536"/>
      <c r="IMC1" s="536"/>
      <c r="IMD1" s="536"/>
      <c r="IME1" s="536"/>
      <c r="IMF1" s="536"/>
      <c r="IMG1" s="536"/>
      <c r="IMH1" s="536"/>
      <c r="IMI1" s="536"/>
      <c r="IMJ1" s="536"/>
      <c r="IMK1" s="536"/>
      <c r="IML1" s="536"/>
      <c r="IMM1" s="536"/>
      <c r="IMN1" s="536"/>
      <c r="IMO1" s="536"/>
      <c r="IMP1" s="536"/>
      <c r="IMQ1" s="536"/>
      <c r="IMR1" s="536"/>
      <c r="IMS1" s="536"/>
      <c r="IMT1" s="536"/>
      <c r="IMU1" s="536"/>
      <c r="IMV1" s="536"/>
      <c r="IMW1" s="536"/>
      <c r="IMX1" s="536"/>
      <c r="IMY1" s="536"/>
      <c r="IMZ1" s="536"/>
      <c r="INA1" s="536"/>
      <c r="INB1" s="536"/>
      <c r="INC1" s="536"/>
      <c r="IND1" s="536"/>
      <c r="INE1" s="536"/>
      <c r="INF1" s="536"/>
      <c r="ING1" s="536"/>
      <c r="INH1" s="536"/>
      <c r="INI1" s="536"/>
      <c r="INJ1" s="536"/>
      <c r="INK1" s="536"/>
      <c r="INL1" s="536"/>
      <c r="INM1" s="536"/>
      <c r="INN1" s="536"/>
      <c r="INO1" s="536"/>
      <c r="INP1" s="536"/>
      <c r="INQ1" s="536"/>
      <c r="INR1" s="536"/>
      <c r="INS1" s="536"/>
      <c r="INT1" s="536"/>
      <c r="INU1" s="536"/>
      <c r="INV1" s="536"/>
      <c r="INW1" s="536"/>
      <c r="INX1" s="536"/>
      <c r="INY1" s="536"/>
      <c r="INZ1" s="536"/>
      <c r="IOA1" s="536"/>
      <c r="IOB1" s="536"/>
      <c r="IOC1" s="536"/>
      <c r="IOD1" s="536"/>
      <c r="IOE1" s="536"/>
      <c r="IOF1" s="536"/>
      <c r="IOG1" s="536"/>
      <c r="IOH1" s="536"/>
      <c r="IOI1" s="536"/>
      <c r="IOJ1" s="536"/>
      <c r="IOK1" s="536"/>
      <c r="IOL1" s="536"/>
      <c r="IOM1" s="536"/>
      <c r="ION1" s="536"/>
      <c r="IOO1" s="536"/>
      <c r="IOP1" s="536"/>
      <c r="IOQ1" s="536"/>
      <c r="IOR1" s="536"/>
      <c r="IOS1" s="536"/>
      <c r="IOT1" s="536"/>
      <c r="IOU1" s="536"/>
      <c r="IOV1" s="536"/>
      <c r="IOW1" s="536"/>
      <c r="IOX1" s="536"/>
      <c r="IOY1" s="536"/>
      <c r="IOZ1" s="536"/>
      <c r="IPA1" s="536"/>
      <c r="IPB1" s="536"/>
      <c r="IPC1" s="536"/>
      <c r="IPD1" s="536"/>
      <c r="IPE1" s="536"/>
      <c r="IPF1" s="536"/>
      <c r="IPG1" s="536"/>
      <c r="IPH1" s="536"/>
      <c r="IPI1" s="536"/>
      <c r="IPJ1" s="536"/>
      <c r="IPK1" s="536"/>
      <c r="IPL1" s="536"/>
      <c r="IPM1" s="536"/>
      <c r="IPN1" s="536"/>
      <c r="IPO1" s="536"/>
      <c r="IPP1" s="536"/>
      <c r="IPQ1" s="536"/>
      <c r="IPR1" s="536"/>
      <c r="IPS1" s="536"/>
      <c r="IPT1" s="536"/>
      <c r="IPU1" s="536"/>
      <c r="IPV1" s="536"/>
      <c r="IPW1" s="536"/>
      <c r="IPX1" s="536"/>
      <c r="IPY1" s="536"/>
      <c r="IPZ1" s="536"/>
      <c r="IQA1" s="536"/>
      <c r="IQB1" s="536"/>
      <c r="IQC1" s="536"/>
      <c r="IQD1" s="536"/>
      <c r="IQE1" s="536"/>
      <c r="IQF1" s="536"/>
      <c r="IQG1" s="536"/>
      <c r="IQH1" s="536"/>
      <c r="IQI1" s="536"/>
      <c r="IQJ1" s="536"/>
      <c r="IQK1" s="536"/>
      <c r="IQL1" s="536"/>
      <c r="IQM1" s="536"/>
      <c r="IQN1" s="536"/>
      <c r="IQO1" s="536"/>
      <c r="IQP1" s="536"/>
      <c r="IQQ1" s="536"/>
      <c r="IQR1" s="536"/>
      <c r="IQS1" s="536"/>
      <c r="IQT1" s="536"/>
      <c r="IQU1" s="536"/>
      <c r="IQV1" s="536"/>
      <c r="IQW1" s="536"/>
      <c r="IQX1" s="536"/>
      <c r="IQY1" s="536"/>
      <c r="IQZ1" s="536"/>
      <c r="IRA1" s="536"/>
      <c r="IRB1" s="536"/>
      <c r="IRC1" s="536"/>
      <c r="IRD1" s="536"/>
      <c r="IRE1" s="536"/>
      <c r="IRF1" s="536"/>
      <c r="IRG1" s="536"/>
      <c r="IRH1" s="536"/>
      <c r="IRI1" s="536"/>
      <c r="IRJ1" s="536"/>
      <c r="IRK1" s="536"/>
      <c r="IRL1" s="536"/>
      <c r="IRM1" s="536"/>
      <c r="IRN1" s="536"/>
      <c r="IRO1" s="536"/>
      <c r="IRP1" s="536"/>
      <c r="IRQ1" s="536"/>
      <c r="IRR1" s="536"/>
      <c r="IRS1" s="536"/>
      <c r="IRT1" s="536"/>
      <c r="IRU1" s="536"/>
      <c r="IRV1" s="536"/>
      <c r="IRW1" s="536"/>
      <c r="IRX1" s="536"/>
      <c r="IRY1" s="536"/>
      <c r="IRZ1" s="536"/>
      <c r="ISA1" s="536"/>
      <c r="ISB1" s="536"/>
      <c r="ISC1" s="536"/>
      <c r="ISD1" s="536"/>
      <c r="ISE1" s="536"/>
      <c r="ISF1" s="536"/>
      <c r="ISG1" s="536"/>
      <c r="ISH1" s="536"/>
      <c r="ISI1" s="536"/>
      <c r="ISJ1" s="536"/>
      <c r="ISK1" s="536"/>
      <c r="ISL1" s="536"/>
      <c r="ISM1" s="536"/>
      <c r="ISN1" s="536"/>
      <c r="ISO1" s="536"/>
      <c r="ISP1" s="536"/>
      <c r="ISQ1" s="536"/>
      <c r="ISR1" s="536"/>
      <c r="ISS1" s="536"/>
      <c r="IST1" s="536"/>
      <c r="ISU1" s="536"/>
      <c r="ISV1" s="536"/>
      <c r="ISW1" s="536"/>
      <c r="ISX1" s="536"/>
      <c r="ISY1" s="536"/>
      <c r="ISZ1" s="536"/>
      <c r="ITA1" s="536"/>
      <c r="ITB1" s="536"/>
      <c r="ITC1" s="536"/>
      <c r="ITD1" s="536"/>
      <c r="ITE1" s="536"/>
      <c r="ITF1" s="536"/>
      <c r="ITG1" s="536"/>
      <c r="ITH1" s="536"/>
      <c r="ITI1" s="536"/>
      <c r="ITJ1" s="536"/>
      <c r="ITK1" s="536"/>
      <c r="ITL1" s="536"/>
      <c r="ITM1" s="536"/>
      <c r="ITN1" s="536"/>
      <c r="ITO1" s="536"/>
      <c r="ITP1" s="536"/>
      <c r="ITQ1" s="536"/>
      <c r="ITR1" s="536"/>
      <c r="ITS1" s="536"/>
      <c r="ITT1" s="536"/>
      <c r="ITU1" s="536"/>
      <c r="ITV1" s="536"/>
      <c r="ITW1" s="536"/>
      <c r="ITX1" s="536"/>
      <c r="ITY1" s="536"/>
      <c r="ITZ1" s="536"/>
      <c r="IUA1" s="536"/>
      <c r="IUB1" s="536"/>
      <c r="IUC1" s="536"/>
      <c r="IUD1" s="536"/>
      <c r="IUE1" s="536"/>
      <c r="IUF1" s="536"/>
      <c r="IUG1" s="536"/>
      <c r="IUH1" s="536"/>
      <c r="IUI1" s="536"/>
      <c r="IUJ1" s="536"/>
      <c r="IUK1" s="536"/>
      <c r="IUL1" s="536"/>
      <c r="IUM1" s="536"/>
      <c r="IUN1" s="536"/>
      <c r="IUO1" s="536"/>
      <c r="IUP1" s="536"/>
      <c r="IUQ1" s="536"/>
      <c r="IUR1" s="536"/>
      <c r="IUS1" s="536"/>
      <c r="IUT1" s="536"/>
      <c r="IUU1" s="536"/>
      <c r="IUV1" s="536"/>
      <c r="IUW1" s="536"/>
      <c r="IUX1" s="536"/>
      <c r="IUY1" s="536"/>
      <c r="IUZ1" s="536"/>
      <c r="IVA1" s="536"/>
      <c r="IVB1" s="536"/>
      <c r="IVC1" s="536"/>
      <c r="IVD1" s="536"/>
      <c r="IVE1" s="536"/>
      <c r="IVF1" s="536"/>
      <c r="IVG1" s="536"/>
      <c r="IVH1" s="536"/>
      <c r="IVI1" s="536"/>
      <c r="IVJ1" s="536"/>
      <c r="IVK1" s="536"/>
      <c r="IVL1" s="536"/>
      <c r="IVM1" s="536"/>
      <c r="IVN1" s="536"/>
      <c r="IVO1" s="536"/>
      <c r="IVP1" s="536"/>
      <c r="IVQ1" s="536"/>
      <c r="IVR1" s="536"/>
      <c r="IVS1" s="536"/>
      <c r="IVT1" s="536"/>
      <c r="IVU1" s="536"/>
      <c r="IVV1" s="536"/>
      <c r="IVW1" s="536"/>
      <c r="IVX1" s="536"/>
      <c r="IVY1" s="536"/>
      <c r="IVZ1" s="536"/>
      <c r="IWA1" s="536"/>
      <c r="IWB1" s="536"/>
      <c r="IWC1" s="536"/>
      <c r="IWD1" s="536"/>
      <c r="IWE1" s="536"/>
      <c r="IWF1" s="536"/>
      <c r="IWG1" s="536"/>
      <c r="IWH1" s="536"/>
      <c r="IWI1" s="536"/>
      <c r="IWJ1" s="536"/>
      <c r="IWK1" s="536"/>
      <c r="IWL1" s="536"/>
      <c r="IWM1" s="536"/>
      <c r="IWN1" s="536"/>
      <c r="IWO1" s="536"/>
      <c r="IWP1" s="536"/>
      <c r="IWQ1" s="536"/>
      <c r="IWR1" s="536"/>
      <c r="IWS1" s="536"/>
      <c r="IWT1" s="536"/>
      <c r="IWU1" s="536"/>
      <c r="IWV1" s="536"/>
      <c r="IWW1" s="536"/>
      <c r="IWX1" s="536"/>
      <c r="IWY1" s="536"/>
      <c r="IWZ1" s="536"/>
      <c r="IXA1" s="536"/>
      <c r="IXB1" s="536"/>
      <c r="IXC1" s="536"/>
      <c r="IXD1" s="536"/>
      <c r="IXE1" s="536"/>
      <c r="IXF1" s="536"/>
      <c r="IXG1" s="536"/>
      <c r="IXH1" s="536"/>
      <c r="IXI1" s="536"/>
      <c r="IXJ1" s="536"/>
      <c r="IXK1" s="536"/>
      <c r="IXL1" s="536"/>
      <c r="IXM1" s="536"/>
      <c r="IXN1" s="536"/>
      <c r="IXO1" s="536"/>
      <c r="IXP1" s="536"/>
      <c r="IXQ1" s="536"/>
      <c r="IXR1" s="536"/>
      <c r="IXS1" s="536"/>
      <c r="IXT1" s="536"/>
      <c r="IXU1" s="536"/>
      <c r="IXV1" s="536"/>
      <c r="IXW1" s="536"/>
      <c r="IXX1" s="536"/>
      <c r="IXY1" s="536"/>
      <c r="IXZ1" s="536"/>
      <c r="IYA1" s="536"/>
      <c r="IYB1" s="536"/>
      <c r="IYC1" s="536"/>
      <c r="IYD1" s="536"/>
      <c r="IYE1" s="536"/>
      <c r="IYF1" s="536"/>
      <c r="IYG1" s="536"/>
      <c r="IYH1" s="536"/>
      <c r="IYI1" s="536"/>
      <c r="IYJ1" s="536"/>
      <c r="IYK1" s="536"/>
      <c r="IYL1" s="536"/>
      <c r="IYM1" s="536"/>
      <c r="IYN1" s="536"/>
      <c r="IYO1" s="536"/>
      <c r="IYP1" s="536"/>
      <c r="IYQ1" s="536"/>
      <c r="IYR1" s="536"/>
      <c r="IYS1" s="536"/>
      <c r="IYT1" s="536"/>
      <c r="IYU1" s="536"/>
      <c r="IYV1" s="536"/>
      <c r="IYW1" s="536"/>
      <c r="IYX1" s="536"/>
      <c r="IYY1" s="536"/>
      <c r="IYZ1" s="536"/>
      <c r="IZA1" s="536"/>
      <c r="IZB1" s="536"/>
      <c r="IZC1" s="536"/>
      <c r="IZD1" s="536"/>
      <c r="IZE1" s="536"/>
      <c r="IZF1" s="536"/>
      <c r="IZG1" s="536"/>
      <c r="IZH1" s="536"/>
      <c r="IZI1" s="536"/>
      <c r="IZJ1" s="536"/>
      <c r="IZK1" s="536"/>
      <c r="IZL1" s="536"/>
      <c r="IZM1" s="536"/>
      <c r="IZN1" s="536"/>
      <c r="IZO1" s="536"/>
      <c r="IZP1" s="536"/>
      <c r="IZQ1" s="536"/>
      <c r="IZR1" s="536"/>
      <c r="IZS1" s="536"/>
      <c r="IZT1" s="536"/>
      <c r="IZU1" s="536"/>
      <c r="IZV1" s="536"/>
      <c r="IZW1" s="536"/>
      <c r="IZX1" s="536"/>
      <c r="IZY1" s="536"/>
      <c r="IZZ1" s="536"/>
      <c r="JAA1" s="536"/>
      <c r="JAB1" s="536"/>
      <c r="JAC1" s="536"/>
      <c r="JAD1" s="536"/>
      <c r="JAE1" s="536"/>
      <c r="JAF1" s="536"/>
      <c r="JAG1" s="536"/>
      <c r="JAH1" s="536"/>
      <c r="JAI1" s="536"/>
      <c r="JAJ1" s="536"/>
      <c r="JAK1" s="536"/>
      <c r="JAL1" s="536"/>
      <c r="JAM1" s="536"/>
      <c r="JAN1" s="536"/>
      <c r="JAO1" s="536"/>
      <c r="JAP1" s="536"/>
      <c r="JAQ1" s="536"/>
      <c r="JAR1" s="536"/>
      <c r="JAS1" s="536"/>
      <c r="JAT1" s="536"/>
      <c r="JAU1" s="536"/>
      <c r="JAV1" s="536"/>
      <c r="JAW1" s="536"/>
      <c r="JAX1" s="536"/>
      <c r="JAY1" s="536"/>
      <c r="JAZ1" s="536"/>
      <c r="JBA1" s="536"/>
      <c r="JBB1" s="536"/>
      <c r="JBC1" s="536"/>
      <c r="JBD1" s="536"/>
      <c r="JBE1" s="536"/>
      <c r="JBF1" s="536"/>
      <c r="JBG1" s="536"/>
      <c r="JBH1" s="536"/>
      <c r="JBI1" s="536"/>
      <c r="JBJ1" s="536"/>
      <c r="JBK1" s="536"/>
      <c r="JBL1" s="536"/>
      <c r="JBM1" s="536"/>
      <c r="JBN1" s="536"/>
      <c r="JBO1" s="536"/>
      <c r="JBP1" s="536"/>
      <c r="JBQ1" s="536"/>
      <c r="JBR1" s="536"/>
      <c r="JBS1" s="536"/>
      <c r="JBT1" s="536"/>
      <c r="JBU1" s="536"/>
      <c r="JBV1" s="536"/>
      <c r="JBW1" s="536"/>
      <c r="JBX1" s="536"/>
      <c r="JBY1" s="536"/>
      <c r="JBZ1" s="536"/>
      <c r="JCA1" s="536"/>
      <c r="JCB1" s="536"/>
      <c r="JCC1" s="536"/>
      <c r="JCD1" s="536"/>
      <c r="JCE1" s="536"/>
      <c r="JCF1" s="536"/>
      <c r="JCG1" s="536"/>
      <c r="JCH1" s="536"/>
      <c r="JCI1" s="536"/>
      <c r="JCJ1" s="536"/>
      <c r="JCK1" s="536"/>
      <c r="JCL1" s="536"/>
      <c r="JCM1" s="536"/>
      <c r="JCN1" s="536"/>
      <c r="JCO1" s="536"/>
      <c r="JCP1" s="536"/>
      <c r="JCQ1" s="536"/>
      <c r="JCR1" s="536"/>
      <c r="JCS1" s="536"/>
      <c r="JCT1" s="536"/>
      <c r="JCU1" s="536"/>
      <c r="JCV1" s="536"/>
      <c r="JCW1" s="536"/>
      <c r="JCX1" s="536"/>
      <c r="JCY1" s="536"/>
      <c r="JCZ1" s="536"/>
      <c r="JDA1" s="536"/>
      <c r="JDB1" s="536"/>
      <c r="JDC1" s="536"/>
      <c r="JDD1" s="536"/>
      <c r="JDE1" s="536"/>
      <c r="JDF1" s="536"/>
      <c r="JDG1" s="536"/>
      <c r="JDH1" s="536"/>
      <c r="JDI1" s="536"/>
      <c r="JDJ1" s="536"/>
      <c r="JDK1" s="536"/>
      <c r="JDL1" s="536"/>
      <c r="JDM1" s="536"/>
      <c r="JDN1" s="536"/>
      <c r="JDO1" s="536"/>
      <c r="JDP1" s="536"/>
      <c r="JDQ1" s="536"/>
      <c r="JDR1" s="536"/>
      <c r="JDS1" s="536"/>
      <c r="JDT1" s="536"/>
      <c r="JDU1" s="536"/>
      <c r="JDV1" s="536"/>
      <c r="JDW1" s="536"/>
      <c r="JDX1" s="536"/>
      <c r="JDY1" s="536"/>
      <c r="JDZ1" s="536"/>
      <c r="JEA1" s="536"/>
      <c r="JEB1" s="536"/>
      <c r="JEC1" s="536"/>
      <c r="JED1" s="536"/>
      <c r="JEE1" s="536"/>
      <c r="JEF1" s="536"/>
      <c r="JEG1" s="536"/>
      <c r="JEH1" s="536"/>
      <c r="JEI1" s="536"/>
      <c r="JEJ1" s="536"/>
      <c r="JEK1" s="536"/>
      <c r="JEL1" s="536"/>
      <c r="JEM1" s="536"/>
      <c r="JEN1" s="536"/>
      <c r="JEO1" s="536"/>
      <c r="JEP1" s="536"/>
      <c r="JEQ1" s="536"/>
      <c r="JER1" s="536"/>
      <c r="JES1" s="536"/>
      <c r="JET1" s="536"/>
      <c r="JEU1" s="536"/>
      <c r="JEV1" s="536"/>
      <c r="JEW1" s="536"/>
      <c r="JEX1" s="536"/>
      <c r="JEY1" s="536"/>
      <c r="JEZ1" s="536"/>
      <c r="JFA1" s="536"/>
      <c r="JFB1" s="536"/>
      <c r="JFC1" s="536"/>
      <c r="JFD1" s="536"/>
      <c r="JFE1" s="536"/>
      <c r="JFF1" s="536"/>
      <c r="JFG1" s="536"/>
      <c r="JFH1" s="536"/>
      <c r="JFI1" s="536"/>
      <c r="JFJ1" s="536"/>
      <c r="JFK1" s="536"/>
      <c r="JFL1" s="536"/>
      <c r="JFM1" s="536"/>
      <c r="JFN1" s="536"/>
      <c r="JFO1" s="536"/>
      <c r="JFP1" s="536"/>
      <c r="JFQ1" s="536"/>
      <c r="JFR1" s="536"/>
      <c r="JFS1" s="536"/>
      <c r="JFT1" s="536"/>
      <c r="JFU1" s="536"/>
      <c r="JFV1" s="536"/>
      <c r="JFW1" s="536"/>
      <c r="JFX1" s="536"/>
      <c r="JFY1" s="536"/>
      <c r="JFZ1" s="536"/>
      <c r="JGA1" s="536"/>
      <c r="JGB1" s="536"/>
      <c r="JGC1" s="536"/>
      <c r="JGD1" s="536"/>
      <c r="JGE1" s="536"/>
      <c r="JGF1" s="536"/>
      <c r="JGG1" s="536"/>
      <c r="JGH1" s="536"/>
      <c r="JGI1" s="536"/>
      <c r="JGJ1" s="536"/>
      <c r="JGK1" s="536"/>
      <c r="JGL1" s="536"/>
      <c r="JGM1" s="536"/>
      <c r="JGN1" s="536"/>
      <c r="JGO1" s="536"/>
      <c r="JGP1" s="536"/>
      <c r="JGQ1" s="536"/>
      <c r="JGR1" s="536"/>
      <c r="JGS1" s="536"/>
      <c r="JGT1" s="536"/>
      <c r="JGU1" s="536"/>
      <c r="JGV1" s="536"/>
      <c r="JGW1" s="536"/>
      <c r="JGX1" s="536"/>
      <c r="JGY1" s="536"/>
      <c r="JGZ1" s="536"/>
      <c r="JHA1" s="536"/>
      <c r="JHB1" s="536"/>
      <c r="JHC1" s="536"/>
      <c r="JHD1" s="536"/>
      <c r="JHE1" s="536"/>
      <c r="JHF1" s="536"/>
      <c r="JHG1" s="536"/>
      <c r="JHH1" s="536"/>
      <c r="JHI1" s="536"/>
      <c r="JHJ1" s="536"/>
      <c r="JHK1" s="536"/>
      <c r="JHL1" s="536"/>
      <c r="JHM1" s="536"/>
      <c r="JHN1" s="536"/>
      <c r="JHO1" s="536"/>
      <c r="JHP1" s="536"/>
      <c r="JHQ1" s="536"/>
      <c r="JHR1" s="536"/>
      <c r="JHS1" s="536"/>
      <c r="JHT1" s="536"/>
      <c r="JHU1" s="536"/>
      <c r="JHV1" s="536"/>
      <c r="JHW1" s="536"/>
      <c r="JHX1" s="536"/>
      <c r="JHY1" s="536"/>
      <c r="JHZ1" s="536"/>
      <c r="JIA1" s="536"/>
      <c r="JIB1" s="536"/>
      <c r="JIC1" s="536"/>
      <c r="JID1" s="536"/>
      <c r="JIE1" s="536"/>
      <c r="JIF1" s="536"/>
      <c r="JIG1" s="536"/>
      <c r="JIH1" s="536"/>
      <c r="JII1" s="536"/>
      <c r="JIJ1" s="536"/>
      <c r="JIK1" s="536"/>
      <c r="JIL1" s="536"/>
      <c r="JIM1" s="536"/>
      <c r="JIN1" s="536"/>
      <c r="JIO1" s="536"/>
      <c r="JIP1" s="536"/>
      <c r="JIQ1" s="536"/>
      <c r="JIR1" s="536"/>
      <c r="JIS1" s="536"/>
      <c r="JIT1" s="536"/>
      <c r="JIU1" s="536"/>
      <c r="JIV1" s="536"/>
      <c r="JIW1" s="536"/>
      <c r="JIX1" s="536"/>
      <c r="JIY1" s="536"/>
      <c r="JIZ1" s="536"/>
      <c r="JJA1" s="536"/>
      <c r="JJB1" s="536"/>
      <c r="JJC1" s="536"/>
      <c r="JJD1" s="536"/>
      <c r="JJE1" s="536"/>
      <c r="JJF1" s="536"/>
      <c r="JJG1" s="536"/>
      <c r="JJH1" s="536"/>
      <c r="JJI1" s="536"/>
      <c r="JJJ1" s="536"/>
      <c r="JJK1" s="536"/>
      <c r="JJL1" s="536"/>
      <c r="JJM1" s="536"/>
      <c r="JJN1" s="536"/>
      <c r="JJO1" s="536"/>
      <c r="JJP1" s="536"/>
      <c r="JJQ1" s="536"/>
      <c r="JJR1" s="536"/>
      <c r="JJS1" s="536"/>
      <c r="JJT1" s="536"/>
      <c r="JJU1" s="536"/>
      <c r="JJV1" s="536"/>
      <c r="JJW1" s="536"/>
      <c r="JJX1" s="536"/>
      <c r="JJY1" s="536"/>
      <c r="JJZ1" s="536"/>
      <c r="JKA1" s="536"/>
      <c r="JKB1" s="536"/>
      <c r="JKC1" s="536"/>
      <c r="JKD1" s="536"/>
      <c r="JKE1" s="536"/>
      <c r="JKF1" s="536"/>
      <c r="JKG1" s="536"/>
      <c r="JKH1" s="536"/>
      <c r="JKI1" s="536"/>
      <c r="JKJ1" s="536"/>
      <c r="JKK1" s="536"/>
      <c r="JKL1" s="536"/>
      <c r="JKM1" s="536"/>
      <c r="JKN1" s="536"/>
      <c r="JKO1" s="536"/>
      <c r="JKP1" s="536"/>
      <c r="JKQ1" s="536"/>
      <c r="JKR1" s="536"/>
      <c r="JKS1" s="536"/>
      <c r="JKT1" s="536"/>
      <c r="JKU1" s="536"/>
      <c r="JKV1" s="536"/>
      <c r="JKW1" s="536"/>
      <c r="JKX1" s="536"/>
      <c r="JKY1" s="536"/>
      <c r="JKZ1" s="536"/>
      <c r="JLA1" s="536"/>
      <c r="JLB1" s="536"/>
      <c r="JLC1" s="536"/>
      <c r="JLD1" s="536"/>
      <c r="JLE1" s="536"/>
      <c r="JLF1" s="536"/>
      <c r="JLG1" s="536"/>
      <c r="JLH1" s="536"/>
      <c r="JLI1" s="536"/>
      <c r="JLJ1" s="536"/>
      <c r="JLK1" s="536"/>
      <c r="JLL1" s="536"/>
      <c r="JLM1" s="536"/>
      <c r="JLN1" s="536"/>
      <c r="JLO1" s="536"/>
      <c r="JLP1" s="536"/>
      <c r="JLQ1" s="536"/>
      <c r="JLR1" s="536"/>
      <c r="JLS1" s="536"/>
      <c r="JLT1" s="536"/>
      <c r="JLU1" s="536"/>
      <c r="JLV1" s="536"/>
      <c r="JLW1" s="536"/>
      <c r="JLX1" s="536"/>
      <c r="JLY1" s="536"/>
      <c r="JLZ1" s="536"/>
      <c r="JMA1" s="536"/>
      <c r="JMB1" s="536"/>
      <c r="JMC1" s="536"/>
      <c r="JMD1" s="536"/>
      <c r="JME1" s="536"/>
      <c r="JMF1" s="536"/>
      <c r="JMG1" s="536"/>
      <c r="JMH1" s="536"/>
      <c r="JMI1" s="536"/>
      <c r="JMJ1" s="536"/>
      <c r="JMK1" s="536"/>
      <c r="JML1" s="536"/>
      <c r="JMM1" s="536"/>
      <c r="JMN1" s="536"/>
      <c r="JMO1" s="536"/>
      <c r="JMP1" s="536"/>
      <c r="JMQ1" s="536"/>
      <c r="JMR1" s="536"/>
      <c r="JMS1" s="536"/>
      <c r="JMT1" s="536"/>
      <c r="JMU1" s="536"/>
      <c r="JMV1" s="536"/>
      <c r="JMW1" s="536"/>
      <c r="JMX1" s="536"/>
      <c r="JMY1" s="536"/>
      <c r="JMZ1" s="536"/>
      <c r="JNA1" s="536"/>
      <c r="JNB1" s="536"/>
      <c r="JNC1" s="536"/>
      <c r="JND1" s="536"/>
      <c r="JNE1" s="536"/>
      <c r="JNF1" s="536"/>
      <c r="JNG1" s="536"/>
      <c r="JNH1" s="536"/>
      <c r="JNI1" s="536"/>
      <c r="JNJ1" s="536"/>
      <c r="JNK1" s="536"/>
      <c r="JNL1" s="536"/>
      <c r="JNM1" s="536"/>
      <c r="JNN1" s="536"/>
      <c r="JNO1" s="536"/>
      <c r="JNP1" s="536"/>
      <c r="JNQ1" s="536"/>
      <c r="JNR1" s="536"/>
      <c r="JNS1" s="536"/>
      <c r="JNT1" s="536"/>
      <c r="JNU1" s="536"/>
      <c r="JNV1" s="536"/>
      <c r="JNW1" s="536"/>
      <c r="JNX1" s="536"/>
      <c r="JNY1" s="536"/>
      <c r="JNZ1" s="536"/>
      <c r="JOA1" s="536"/>
      <c r="JOB1" s="536"/>
      <c r="JOC1" s="536"/>
      <c r="JOD1" s="536"/>
      <c r="JOE1" s="536"/>
      <c r="JOF1" s="536"/>
      <c r="JOG1" s="536"/>
      <c r="JOH1" s="536"/>
      <c r="JOI1" s="536"/>
      <c r="JOJ1" s="536"/>
      <c r="JOK1" s="536"/>
      <c r="JOL1" s="536"/>
      <c r="JOM1" s="536"/>
      <c r="JON1" s="536"/>
      <c r="JOO1" s="536"/>
      <c r="JOP1" s="536"/>
      <c r="JOQ1" s="536"/>
      <c r="JOR1" s="536"/>
      <c r="JOS1" s="536"/>
      <c r="JOT1" s="536"/>
      <c r="JOU1" s="536"/>
      <c r="JOV1" s="536"/>
      <c r="JOW1" s="536"/>
      <c r="JOX1" s="536"/>
      <c r="JOY1" s="536"/>
      <c r="JOZ1" s="536"/>
      <c r="JPA1" s="536"/>
      <c r="JPB1" s="536"/>
      <c r="JPC1" s="536"/>
      <c r="JPD1" s="536"/>
      <c r="JPE1" s="536"/>
      <c r="JPF1" s="536"/>
      <c r="JPG1" s="536"/>
      <c r="JPH1" s="536"/>
      <c r="JPI1" s="536"/>
      <c r="JPJ1" s="536"/>
      <c r="JPK1" s="536"/>
      <c r="JPL1" s="536"/>
      <c r="JPM1" s="536"/>
      <c r="JPN1" s="536"/>
      <c r="JPO1" s="536"/>
      <c r="JPP1" s="536"/>
      <c r="JPQ1" s="536"/>
      <c r="JPR1" s="536"/>
      <c r="JPS1" s="536"/>
      <c r="JPT1" s="536"/>
      <c r="JPU1" s="536"/>
      <c r="JPV1" s="536"/>
      <c r="JPW1" s="536"/>
      <c r="JPX1" s="536"/>
      <c r="JPY1" s="536"/>
      <c r="JPZ1" s="536"/>
      <c r="JQA1" s="536"/>
      <c r="JQB1" s="536"/>
      <c r="JQC1" s="536"/>
      <c r="JQD1" s="536"/>
      <c r="JQE1" s="536"/>
      <c r="JQF1" s="536"/>
      <c r="JQG1" s="536"/>
      <c r="JQH1" s="536"/>
      <c r="JQI1" s="536"/>
      <c r="JQJ1" s="536"/>
      <c r="JQK1" s="536"/>
      <c r="JQL1" s="536"/>
      <c r="JQM1" s="536"/>
      <c r="JQN1" s="536"/>
      <c r="JQO1" s="536"/>
      <c r="JQP1" s="536"/>
      <c r="JQQ1" s="536"/>
      <c r="JQR1" s="536"/>
      <c r="JQS1" s="536"/>
      <c r="JQT1" s="536"/>
      <c r="JQU1" s="536"/>
      <c r="JQV1" s="536"/>
      <c r="JQW1" s="536"/>
      <c r="JQX1" s="536"/>
      <c r="JQY1" s="536"/>
      <c r="JQZ1" s="536"/>
      <c r="JRA1" s="536"/>
      <c r="JRB1" s="536"/>
      <c r="JRC1" s="536"/>
      <c r="JRD1" s="536"/>
      <c r="JRE1" s="536"/>
      <c r="JRF1" s="536"/>
      <c r="JRG1" s="536"/>
      <c r="JRH1" s="536"/>
      <c r="JRI1" s="536"/>
      <c r="JRJ1" s="536"/>
      <c r="JRK1" s="536"/>
      <c r="JRL1" s="536"/>
      <c r="JRM1" s="536"/>
      <c r="JRN1" s="536"/>
      <c r="JRO1" s="536"/>
      <c r="JRP1" s="536"/>
      <c r="JRQ1" s="536"/>
      <c r="JRR1" s="536"/>
      <c r="JRS1" s="536"/>
      <c r="JRT1" s="536"/>
      <c r="JRU1" s="536"/>
      <c r="JRV1" s="536"/>
      <c r="JRW1" s="536"/>
      <c r="JRX1" s="536"/>
      <c r="JRY1" s="536"/>
      <c r="JRZ1" s="536"/>
      <c r="JSA1" s="536"/>
      <c r="JSB1" s="536"/>
      <c r="JSC1" s="536"/>
      <c r="JSD1" s="536"/>
      <c r="JSE1" s="536"/>
      <c r="JSF1" s="536"/>
      <c r="JSG1" s="536"/>
      <c r="JSH1" s="536"/>
      <c r="JSI1" s="536"/>
      <c r="JSJ1" s="536"/>
      <c r="JSK1" s="536"/>
      <c r="JSL1" s="536"/>
      <c r="JSM1" s="536"/>
      <c r="JSN1" s="536"/>
      <c r="JSO1" s="536"/>
      <c r="JSP1" s="536"/>
      <c r="JSQ1" s="536"/>
      <c r="JSR1" s="536"/>
      <c r="JSS1" s="536"/>
      <c r="JST1" s="536"/>
      <c r="JSU1" s="536"/>
      <c r="JSV1" s="536"/>
      <c r="JSW1" s="536"/>
      <c r="JSX1" s="536"/>
      <c r="JSY1" s="536"/>
      <c r="JSZ1" s="536"/>
      <c r="JTA1" s="536"/>
      <c r="JTB1" s="536"/>
      <c r="JTC1" s="536"/>
      <c r="JTD1" s="536"/>
      <c r="JTE1" s="536"/>
      <c r="JTF1" s="536"/>
      <c r="JTG1" s="536"/>
      <c r="JTH1" s="536"/>
      <c r="JTI1" s="536"/>
      <c r="JTJ1" s="536"/>
      <c r="JTK1" s="536"/>
      <c r="JTL1" s="536"/>
      <c r="JTM1" s="536"/>
      <c r="JTN1" s="536"/>
      <c r="JTO1" s="536"/>
      <c r="JTP1" s="536"/>
      <c r="JTQ1" s="536"/>
      <c r="JTR1" s="536"/>
      <c r="JTS1" s="536"/>
      <c r="JTT1" s="536"/>
      <c r="JTU1" s="536"/>
      <c r="JTV1" s="536"/>
      <c r="JTW1" s="536"/>
      <c r="JTX1" s="536"/>
      <c r="JTY1" s="536"/>
      <c r="JTZ1" s="536"/>
      <c r="JUA1" s="536"/>
      <c r="JUB1" s="536"/>
      <c r="JUC1" s="536"/>
      <c r="JUD1" s="536"/>
      <c r="JUE1" s="536"/>
      <c r="JUF1" s="536"/>
      <c r="JUG1" s="536"/>
      <c r="JUH1" s="536"/>
      <c r="JUI1" s="536"/>
      <c r="JUJ1" s="536"/>
      <c r="JUK1" s="536"/>
      <c r="JUL1" s="536"/>
      <c r="JUM1" s="536"/>
      <c r="JUN1" s="536"/>
      <c r="JUO1" s="536"/>
      <c r="JUP1" s="536"/>
      <c r="JUQ1" s="536"/>
      <c r="JUR1" s="536"/>
      <c r="JUS1" s="536"/>
      <c r="JUT1" s="536"/>
      <c r="JUU1" s="536"/>
      <c r="JUV1" s="536"/>
      <c r="JUW1" s="536"/>
      <c r="JUX1" s="536"/>
      <c r="JUY1" s="536"/>
      <c r="JUZ1" s="536"/>
      <c r="JVA1" s="536"/>
      <c r="JVB1" s="536"/>
      <c r="JVC1" s="536"/>
      <c r="JVD1" s="536"/>
      <c r="JVE1" s="536"/>
      <c r="JVF1" s="536"/>
      <c r="JVG1" s="536"/>
      <c r="JVH1" s="536"/>
      <c r="JVI1" s="536"/>
      <c r="JVJ1" s="536"/>
      <c r="JVK1" s="536"/>
      <c r="JVL1" s="536"/>
      <c r="JVM1" s="536"/>
      <c r="JVN1" s="536"/>
      <c r="JVO1" s="536"/>
      <c r="JVP1" s="536"/>
      <c r="JVQ1" s="536"/>
      <c r="JVR1" s="536"/>
      <c r="JVS1" s="536"/>
      <c r="JVT1" s="536"/>
      <c r="JVU1" s="536"/>
      <c r="JVV1" s="536"/>
      <c r="JVW1" s="536"/>
      <c r="JVX1" s="536"/>
      <c r="JVY1" s="536"/>
      <c r="JVZ1" s="536"/>
      <c r="JWA1" s="536"/>
      <c r="JWB1" s="536"/>
      <c r="JWC1" s="536"/>
      <c r="JWD1" s="536"/>
      <c r="JWE1" s="536"/>
      <c r="JWF1" s="536"/>
      <c r="JWG1" s="536"/>
      <c r="JWH1" s="536"/>
      <c r="JWI1" s="536"/>
      <c r="JWJ1" s="536"/>
      <c r="JWK1" s="536"/>
      <c r="JWL1" s="536"/>
      <c r="JWM1" s="536"/>
      <c r="JWN1" s="536"/>
      <c r="JWO1" s="536"/>
      <c r="JWP1" s="536"/>
      <c r="JWQ1" s="536"/>
      <c r="JWR1" s="536"/>
      <c r="JWS1" s="536"/>
      <c r="JWT1" s="536"/>
      <c r="JWU1" s="536"/>
      <c r="JWV1" s="536"/>
      <c r="JWW1" s="536"/>
      <c r="JWX1" s="536"/>
      <c r="JWY1" s="536"/>
      <c r="JWZ1" s="536"/>
      <c r="JXA1" s="536"/>
      <c r="JXB1" s="536"/>
      <c r="JXC1" s="536"/>
      <c r="JXD1" s="536"/>
      <c r="JXE1" s="536"/>
      <c r="JXF1" s="536"/>
      <c r="JXG1" s="536"/>
      <c r="JXH1" s="536"/>
      <c r="JXI1" s="536"/>
      <c r="JXJ1" s="536"/>
      <c r="JXK1" s="536"/>
      <c r="JXL1" s="536"/>
      <c r="JXM1" s="536"/>
      <c r="JXN1" s="536"/>
      <c r="JXO1" s="536"/>
      <c r="JXP1" s="536"/>
      <c r="JXQ1" s="536"/>
      <c r="JXR1" s="536"/>
      <c r="JXS1" s="536"/>
      <c r="JXT1" s="536"/>
      <c r="JXU1" s="536"/>
      <c r="JXV1" s="536"/>
      <c r="JXW1" s="536"/>
      <c r="JXX1" s="536"/>
      <c r="JXY1" s="536"/>
      <c r="JXZ1" s="536"/>
      <c r="JYA1" s="536"/>
      <c r="JYB1" s="536"/>
      <c r="JYC1" s="536"/>
      <c r="JYD1" s="536"/>
      <c r="JYE1" s="536"/>
      <c r="JYF1" s="536"/>
      <c r="JYG1" s="536"/>
      <c r="JYH1" s="536"/>
      <c r="JYI1" s="536"/>
      <c r="JYJ1" s="536"/>
      <c r="JYK1" s="536"/>
      <c r="JYL1" s="536"/>
      <c r="JYM1" s="536"/>
      <c r="JYN1" s="536"/>
      <c r="JYO1" s="536"/>
      <c r="JYP1" s="536"/>
      <c r="JYQ1" s="536"/>
      <c r="JYR1" s="536"/>
      <c r="JYS1" s="536"/>
      <c r="JYT1" s="536"/>
      <c r="JYU1" s="536"/>
      <c r="JYV1" s="536"/>
      <c r="JYW1" s="536"/>
      <c r="JYX1" s="536"/>
      <c r="JYY1" s="536"/>
      <c r="JYZ1" s="536"/>
      <c r="JZA1" s="536"/>
      <c r="JZB1" s="536"/>
      <c r="JZC1" s="536"/>
      <c r="JZD1" s="536"/>
      <c r="JZE1" s="536"/>
      <c r="JZF1" s="536"/>
      <c r="JZG1" s="536"/>
      <c r="JZH1" s="536"/>
      <c r="JZI1" s="536"/>
      <c r="JZJ1" s="536"/>
      <c r="JZK1" s="536"/>
      <c r="JZL1" s="536"/>
      <c r="JZM1" s="536"/>
      <c r="JZN1" s="536"/>
      <c r="JZO1" s="536"/>
      <c r="JZP1" s="536"/>
      <c r="JZQ1" s="536"/>
      <c r="JZR1" s="536"/>
      <c r="JZS1" s="536"/>
      <c r="JZT1" s="536"/>
      <c r="JZU1" s="536"/>
      <c r="JZV1" s="536"/>
      <c r="JZW1" s="536"/>
      <c r="JZX1" s="536"/>
      <c r="JZY1" s="536"/>
      <c r="JZZ1" s="536"/>
      <c r="KAA1" s="536"/>
      <c r="KAB1" s="536"/>
      <c r="KAC1" s="536"/>
      <c r="KAD1" s="536"/>
      <c r="KAE1" s="536"/>
      <c r="KAF1" s="536"/>
      <c r="KAG1" s="536"/>
      <c r="KAH1" s="536"/>
      <c r="KAI1" s="536"/>
      <c r="KAJ1" s="536"/>
      <c r="KAK1" s="536"/>
      <c r="KAL1" s="536"/>
      <c r="KAM1" s="536"/>
      <c r="KAN1" s="536"/>
      <c r="KAO1" s="536"/>
      <c r="KAP1" s="536"/>
      <c r="KAQ1" s="536"/>
      <c r="KAR1" s="536"/>
      <c r="KAS1" s="536"/>
      <c r="KAT1" s="536"/>
      <c r="KAU1" s="536"/>
      <c r="KAV1" s="536"/>
      <c r="KAW1" s="536"/>
      <c r="KAX1" s="536"/>
      <c r="KAY1" s="536"/>
      <c r="KAZ1" s="536"/>
      <c r="KBA1" s="536"/>
      <c r="KBB1" s="536"/>
      <c r="KBC1" s="536"/>
      <c r="KBD1" s="536"/>
      <c r="KBE1" s="536"/>
      <c r="KBF1" s="536"/>
      <c r="KBG1" s="536"/>
      <c r="KBH1" s="536"/>
      <c r="KBI1" s="536"/>
      <c r="KBJ1" s="536"/>
      <c r="KBK1" s="536"/>
      <c r="KBL1" s="536"/>
      <c r="KBM1" s="536"/>
      <c r="KBN1" s="536"/>
      <c r="KBO1" s="536"/>
      <c r="KBP1" s="536"/>
      <c r="KBQ1" s="536"/>
      <c r="KBR1" s="536"/>
      <c r="KBS1" s="536"/>
      <c r="KBT1" s="536"/>
      <c r="KBU1" s="536"/>
      <c r="KBV1" s="536"/>
      <c r="KBW1" s="536"/>
      <c r="KBX1" s="536"/>
      <c r="KBY1" s="536"/>
      <c r="KBZ1" s="536"/>
      <c r="KCA1" s="536"/>
      <c r="KCB1" s="536"/>
      <c r="KCC1" s="536"/>
      <c r="KCD1" s="536"/>
      <c r="KCE1" s="536"/>
      <c r="KCF1" s="536"/>
      <c r="KCG1" s="536"/>
      <c r="KCH1" s="536"/>
      <c r="KCI1" s="536"/>
      <c r="KCJ1" s="536"/>
      <c r="KCK1" s="536"/>
      <c r="KCL1" s="536"/>
      <c r="KCM1" s="536"/>
      <c r="KCN1" s="536"/>
      <c r="KCO1" s="536"/>
      <c r="KCP1" s="536"/>
      <c r="KCQ1" s="536"/>
      <c r="KCR1" s="536"/>
      <c r="KCS1" s="536"/>
      <c r="KCT1" s="536"/>
      <c r="KCU1" s="536"/>
      <c r="KCV1" s="536"/>
      <c r="KCW1" s="536"/>
      <c r="KCX1" s="536"/>
      <c r="KCY1" s="536"/>
      <c r="KCZ1" s="536"/>
      <c r="KDA1" s="536"/>
      <c r="KDB1" s="536"/>
      <c r="KDC1" s="536"/>
      <c r="KDD1" s="536"/>
      <c r="KDE1" s="536"/>
      <c r="KDF1" s="536"/>
      <c r="KDG1" s="536"/>
      <c r="KDH1" s="536"/>
      <c r="KDI1" s="536"/>
      <c r="KDJ1" s="536"/>
      <c r="KDK1" s="536"/>
      <c r="KDL1" s="536"/>
      <c r="KDM1" s="536"/>
      <c r="KDN1" s="536"/>
      <c r="KDO1" s="536"/>
      <c r="KDP1" s="536"/>
      <c r="KDQ1" s="536"/>
      <c r="KDR1" s="536"/>
      <c r="KDS1" s="536"/>
      <c r="KDT1" s="536"/>
      <c r="KDU1" s="536"/>
      <c r="KDV1" s="536"/>
      <c r="KDW1" s="536"/>
      <c r="KDX1" s="536"/>
      <c r="KDY1" s="536"/>
      <c r="KDZ1" s="536"/>
      <c r="KEA1" s="536"/>
      <c r="KEB1" s="536"/>
      <c r="KEC1" s="536"/>
      <c r="KED1" s="536"/>
      <c r="KEE1" s="536"/>
      <c r="KEF1" s="536"/>
      <c r="KEG1" s="536"/>
      <c r="KEH1" s="536"/>
      <c r="KEI1" s="536"/>
      <c r="KEJ1" s="536"/>
      <c r="KEK1" s="536"/>
      <c r="KEL1" s="536"/>
      <c r="KEM1" s="536"/>
      <c r="KEN1" s="536"/>
      <c r="KEO1" s="536"/>
      <c r="KEP1" s="536"/>
      <c r="KEQ1" s="536"/>
      <c r="KER1" s="536"/>
      <c r="KES1" s="536"/>
      <c r="KET1" s="536"/>
      <c r="KEU1" s="536"/>
      <c r="KEV1" s="536"/>
      <c r="KEW1" s="536"/>
      <c r="KEX1" s="536"/>
      <c r="KEY1" s="536"/>
      <c r="KEZ1" s="536"/>
      <c r="KFA1" s="536"/>
      <c r="KFB1" s="536"/>
      <c r="KFC1" s="536"/>
      <c r="KFD1" s="536"/>
      <c r="KFE1" s="536"/>
      <c r="KFF1" s="536"/>
      <c r="KFG1" s="536"/>
      <c r="KFH1" s="536"/>
      <c r="KFI1" s="536"/>
      <c r="KFJ1" s="536"/>
      <c r="KFK1" s="536"/>
      <c r="KFL1" s="536"/>
      <c r="KFM1" s="536"/>
      <c r="KFN1" s="536"/>
      <c r="KFO1" s="536"/>
      <c r="KFP1" s="536"/>
      <c r="KFQ1" s="536"/>
      <c r="KFR1" s="536"/>
      <c r="KFS1" s="536"/>
      <c r="KFT1" s="536"/>
      <c r="KFU1" s="536"/>
      <c r="KFV1" s="536"/>
      <c r="KFW1" s="536"/>
      <c r="KFX1" s="536"/>
      <c r="KFY1" s="536"/>
      <c r="KFZ1" s="536"/>
      <c r="KGA1" s="536"/>
      <c r="KGB1" s="536"/>
      <c r="KGC1" s="536"/>
      <c r="KGD1" s="536"/>
      <c r="KGE1" s="536"/>
      <c r="KGF1" s="536"/>
      <c r="KGG1" s="536"/>
      <c r="KGH1" s="536"/>
      <c r="KGI1" s="536"/>
      <c r="KGJ1" s="536"/>
      <c r="KGK1" s="536"/>
      <c r="KGL1" s="536"/>
      <c r="KGM1" s="536"/>
      <c r="KGN1" s="536"/>
      <c r="KGO1" s="536"/>
      <c r="KGP1" s="536"/>
      <c r="KGQ1" s="536"/>
      <c r="KGR1" s="536"/>
      <c r="KGS1" s="536"/>
      <c r="KGT1" s="536"/>
      <c r="KGU1" s="536"/>
      <c r="KGV1" s="536"/>
      <c r="KGW1" s="536"/>
      <c r="KGX1" s="536"/>
      <c r="KGY1" s="536"/>
      <c r="KGZ1" s="536"/>
      <c r="KHA1" s="536"/>
      <c r="KHB1" s="536"/>
      <c r="KHC1" s="536"/>
      <c r="KHD1" s="536"/>
      <c r="KHE1" s="536"/>
      <c r="KHF1" s="536"/>
      <c r="KHG1" s="536"/>
      <c r="KHH1" s="536"/>
      <c r="KHI1" s="536"/>
      <c r="KHJ1" s="536"/>
      <c r="KHK1" s="536"/>
      <c r="KHL1" s="536"/>
      <c r="KHM1" s="536"/>
      <c r="KHN1" s="536"/>
      <c r="KHO1" s="536"/>
      <c r="KHP1" s="536"/>
      <c r="KHQ1" s="536"/>
      <c r="KHR1" s="536"/>
      <c r="KHS1" s="536"/>
      <c r="KHT1" s="536"/>
      <c r="KHU1" s="536"/>
      <c r="KHV1" s="536"/>
      <c r="KHW1" s="536"/>
      <c r="KHX1" s="536"/>
      <c r="KHY1" s="536"/>
      <c r="KHZ1" s="536"/>
      <c r="KIA1" s="536"/>
      <c r="KIB1" s="536"/>
      <c r="KIC1" s="536"/>
      <c r="KID1" s="536"/>
      <c r="KIE1" s="536"/>
      <c r="KIF1" s="536"/>
      <c r="KIG1" s="536"/>
      <c r="KIH1" s="536"/>
      <c r="KII1" s="536"/>
      <c r="KIJ1" s="536"/>
      <c r="KIK1" s="536"/>
      <c r="KIL1" s="536"/>
      <c r="KIM1" s="536"/>
      <c r="KIN1" s="536"/>
      <c r="KIO1" s="536"/>
      <c r="KIP1" s="536"/>
      <c r="KIQ1" s="536"/>
      <c r="KIR1" s="536"/>
      <c r="KIS1" s="536"/>
      <c r="KIT1" s="536"/>
      <c r="KIU1" s="536"/>
      <c r="KIV1" s="536"/>
      <c r="KIW1" s="536"/>
      <c r="KIX1" s="536"/>
      <c r="KIY1" s="536"/>
      <c r="KIZ1" s="536"/>
      <c r="KJA1" s="536"/>
      <c r="KJB1" s="536"/>
      <c r="KJC1" s="536"/>
      <c r="KJD1" s="536"/>
      <c r="KJE1" s="536"/>
      <c r="KJF1" s="536"/>
      <c r="KJG1" s="536"/>
      <c r="KJH1" s="536"/>
      <c r="KJI1" s="536"/>
      <c r="KJJ1" s="536"/>
      <c r="KJK1" s="536"/>
      <c r="KJL1" s="536"/>
      <c r="KJM1" s="536"/>
      <c r="KJN1" s="536"/>
      <c r="KJO1" s="536"/>
      <c r="KJP1" s="536"/>
      <c r="KJQ1" s="536"/>
      <c r="KJR1" s="536"/>
      <c r="KJS1" s="536"/>
      <c r="KJT1" s="536"/>
      <c r="KJU1" s="536"/>
      <c r="KJV1" s="536"/>
      <c r="KJW1" s="536"/>
      <c r="KJX1" s="536"/>
      <c r="KJY1" s="536"/>
      <c r="KJZ1" s="536"/>
      <c r="KKA1" s="536"/>
      <c r="KKB1" s="536"/>
      <c r="KKC1" s="536"/>
      <c r="KKD1" s="536"/>
      <c r="KKE1" s="536"/>
      <c r="KKF1" s="536"/>
      <c r="KKG1" s="536"/>
      <c r="KKH1" s="536"/>
      <c r="KKI1" s="536"/>
      <c r="KKJ1" s="536"/>
      <c r="KKK1" s="536"/>
      <c r="KKL1" s="536"/>
      <c r="KKM1" s="536"/>
      <c r="KKN1" s="536"/>
      <c r="KKO1" s="536"/>
      <c r="KKP1" s="536"/>
      <c r="KKQ1" s="536"/>
      <c r="KKR1" s="536"/>
      <c r="KKS1" s="536"/>
      <c r="KKT1" s="536"/>
      <c r="KKU1" s="536"/>
      <c r="KKV1" s="536"/>
      <c r="KKW1" s="536"/>
      <c r="KKX1" s="536"/>
      <c r="KKY1" s="536"/>
      <c r="KKZ1" s="536"/>
      <c r="KLA1" s="536"/>
      <c r="KLB1" s="536"/>
      <c r="KLC1" s="536"/>
      <c r="KLD1" s="536"/>
      <c r="KLE1" s="536"/>
      <c r="KLF1" s="536"/>
      <c r="KLG1" s="536"/>
      <c r="KLH1" s="536"/>
      <c r="KLI1" s="536"/>
      <c r="KLJ1" s="536"/>
      <c r="KLK1" s="536"/>
      <c r="KLL1" s="536"/>
      <c r="KLM1" s="536"/>
      <c r="KLN1" s="536"/>
      <c r="KLO1" s="536"/>
      <c r="KLP1" s="536"/>
      <c r="KLQ1" s="536"/>
      <c r="KLR1" s="536"/>
      <c r="KLS1" s="536"/>
      <c r="KLT1" s="536"/>
      <c r="KLU1" s="536"/>
      <c r="KLV1" s="536"/>
      <c r="KLW1" s="536"/>
      <c r="KLX1" s="536"/>
      <c r="KLY1" s="536"/>
      <c r="KLZ1" s="536"/>
      <c r="KMA1" s="536"/>
      <c r="KMB1" s="536"/>
      <c r="KMC1" s="536"/>
      <c r="KMD1" s="536"/>
      <c r="KME1" s="536"/>
      <c r="KMF1" s="536"/>
      <c r="KMG1" s="536"/>
      <c r="KMH1" s="536"/>
      <c r="KMI1" s="536"/>
      <c r="KMJ1" s="536"/>
      <c r="KMK1" s="536"/>
      <c r="KML1" s="536"/>
      <c r="KMM1" s="536"/>
      <c r="KMN1" s="536"/>
      <c r="KMO1" s="536"/>
      <c r="KMP1" s="536"/>
      <c r="KMQ1" s="536"/>
      <c r="KMR1" s="536"/>
      <c r="KMS1" s="536"/>
      <c r="KMT1" s="536"/>
      <c r="KMU1" s="536"/>
      <c r="KMV1" s="536"/>
      <c r="KMW1" s="536"/>
      <c r="KMX1" s="536"/>
      <c r="KMY1" s="536"/>
      <c r="KMZ1" s="536"/>
      <c r="KNA1" s="536"/>
      <c r="KNB1" s="536"/>
      <c r="KNC1" s="536"/>
      <c r="KND1" s="536"/>
      <c r="KNE1" s="536"/>
      <c r="KNF1" s="536"/>
      <c r="KNG1" s="536"/>
      <c r="KNH1" s="536"/>
      <c r="KNI1" s="536"/>
      <c r="KNJ1" s="536"/>
      <c r="KNK1" s="536"/>
      <c r="KNL1" s="536"/>
      <c r="KNM1" s="536"/>
      <c r="KNN1" s="536"/>
      <c r="KNO1" s="536"/>
      <c r="KNP1" s="536"/>
      <c r="KNQ1" s="536"/>
      <c r="KNR1" s="536"/>
      <c r="KNS1" s="536"/>
      <c r="KNT1" s="536"/>
      <c r="KNU1" s="536"/>
      <c r="KNV1" s="536"/>
      <c r="KNW1" s="536"/>
      <c r="KNX1" s="536"/>
      <c r="KNY1" s="536"/>
      <c r="KNZ1" s="536"/>
      <c r="KOA1" s="536"/>
      <c r="KOB1" s="536"/>
      <c r="KOC1" s="536"/>
      <c r="KOD1" s="536"/>
      <c r="KOE1" s="536"/>
      <c r="KOF1" s="536"/>
      <c r="KOG1" s="536"/>
      <c r="KOH1" s="536"/>
      <c r="KOI1" s="536"/>
      <c r="KOJ1" s="536"/>
      <c r="KOK1" s="536"/>
      <c r="KOL1" s="536"/>
      <c r="KOM1" s="536"/>
      <c r="KON1" s="536"/>
      <c r="KOO1" s="536"/>
      <c r="KOP1" s="536"/>
      <c r="KOQ1" s="536"/>
      <c r="KOR1" s="536"/>
      <c r="KOS1" s="536"/>
      <c r="KOT1" s="536"/>
      <c r="KOU1" s="536"/>
      <c r="KOV1" s="536"/>
      <c r="KOW1" s="536"/>
      <c r="KOX1" s="536"/>
      <c r="KOY1" s="536"/>
      <c r="KOZ1" s="536"/>
      <c r="KPA1" s="536"/>
      <c r="KPB1" s="536"/>
      <c r="KPC1" s="536"/>
      <c r="KPD1" s="536"/>
      <c r="KPE1" s="536"/>
      <c r="KPF1" s="536"/>
      <c r="KPG1" s="536"/>
      <c r="KPH1" s="536"/>
      <c r="KPI1" s="536"/>
      <c r="KPJ1" s="536"/>
      <c r="KPK1" s="536"/>
      <c r="KPL1" s="536"/>
      <c r="KPM1" s="536"/>
      <c r="KPN1" s="536"/>
      <c r="KPO1" s="536"/>
      <c r="KPP1" s="536"/>
      <c r="KPQ1" s="536"/>
      <c r="KPR1" s="536"/>
      <c r="KPS1" s="536"/>
      <c r="KPT1" s="536"/>
      <c r="KPU1" s="536"/>
      <c r="KPV1" s="536"/>
      <c r="KPW1" s="536"/>
      <c r="KPX1" s="536"/>
      <c r="KPY1" s="536"/>
      <c r="KPZ1" s="536"/>
      <c r="KQA1" s="536"/>
      <c r="KQB1" s="536"/>
      <c r="KQC1" s="536"/>
      <c r="KQD1" s="536"/>
      <c r="KQE1" s="536"/>
      <c r="KQF1" s="536"/>
      <c r="KQG1" s="536"/>
      <c r="KQH1" s="536"/>
      <c r="KQI1" s="536"/>
      <c r="KQJ1" s="536"/>
      <c r="KQK1" s="536"/>
      <c r="KQL1" s="536"/>
      <c r="KQM1" s="536"/>
      <c r="KQN1" s="536"/>
      <c r="KQO1" s="536"/>
      <c r="KQP1" s="536"/>
      <c r="KQQ1" s="536"/>
      <c r="KQR1" s="536"/>
      <c r="KQS1" s="536"/>
      <c r="KQT1" s="536"/>
      <c r="KQU1" s="536"/>
      <c r="KQV1" s="536"/>
      <c r="KQW1" s="536"/>
      <c r="KQX1" s="536"/>
      <c r="KQY1" s="536"/>
      <c r="KQZ1" s="536"/>
      <c r="KRA1" s="536"/>
      <c r="KRB1" s="536"/>
      <c r="KRC1" s="536"/>
      <c r="KRD1" s="536"/>
      <c r="KRE1" s="536"/>
      <c r="KRF1" s="536"/>
      <c r="KRG1" s="536"/>
      <c r="KRH1" s="536"/>
      <c r="KRI1" s="536"/>
      <c r="KRJ1" s="536"/>
      <c r="KRK1" s="536"/>
      <c r="KRL1" s="536"/>
      <c r="KRM1" s="536"/>
      <c r="KRN1" s="536"/>
      <c r="KRO1" s="536"/>
      <c r="KRP1" s="536"/>
      <c r="KRQ1" s="536"/>
      <c r="KRR1" s="536"/>
      <c r="KRS1" s="536"/>
      <c r="KRT1" s="536"/>
      <c r="KRU1" s="536"/>
      <c r="KRV1" s="536"/>
      <c r="KRW1" s="536"/>
      <c r="KRX1" s="536"/>
      <c r="KRY1" s="536"/>
      <c r="KRZ1" s="536"/>
      <c r="KSA1" s="536"/>
      <c r="KSB1" s="536"/>
      <c r="KSC1" s="536"/>
      <c r="KSD1" s="536"/>
      <c r="KSE1" s="536"/>
      <c r="KSF1" s="536"/>
      <c r="KSG1" s="536"/>
      <c r="KSH1" s="536"/>
      <c r="KSI1" s="536"/>
      <c r="KSJ1" s="536"/>
      <c r="KSK1" s="536"/>
      <c r="KSL1" s="536"/>
      <c r="KSM1" s="536"/>
      <c r="KSN1" s="536"/>
      <c r="KSO1" s="536"/>
      <c r="KSP1" s="536"/>
      <c r="KSQ1" s="536"/>
      <c r="KSR1" s="536"/>
      <c r="KSS1" s="536"/>
      <c r="KST1" s="536"/>
      <c r="KSU1" s="536"/>
      <c r="KSV1" s="536"/>
      <c r="KSW1" s="536"/>
      <c r="KSX1" s="536"/>
      <c r="KSY1" s="536"/>
      <c r="KSZ1" s="536"/>
      <c r="KTA1" s="536"/>
      <c r="KTB1" s="536"/>
      <c r="KTC1" s="536"/>
      <c r="KTD1" s="536"/>
      <c r="KTE1" s="536"/>
      <c r="KTF1" s="536"/>
      <c r="KTG1" s="536"/>
      <c r="KTH1" s="536"/>
      <c r="KTI1" s="536"/>
      <c r="KTJ1" s="536"/>
      <c r="KTK1" s="536"/>
      <c r="KTL1" s="536"/>
      <c r="KTM1" s="536"/>
      <c r="KTN1" s="536"/>
      <c r="KTO1" s="536"/>
      <c r="KTP1" s="536"/>
      <c r="KTQ1" s="536"/>
      <c r="KTR1" s="536"/>
      <c r="KTS1" s="536"/>
      <c r="KTT1" s="536"/>
      <c r="KTU1" s="536"/>
      <c r="KTV1" s="536"/>
      <c r="KTW1" s="536"/>
      <c r="KTX1" s="536"/>
      <c r="KTY1" s="536"/>
      <c r="KTZ1" s="536"/>
      <c r="KUA1" s="536"/>
      <c r="KUB1" s="536"/>
      <c r="KUC1" s="536"/>
      <c r="KUD1" s="536"/>
      <c r="KUE1" s="536"/>
      <c r="KUF1" s="536"/>
      <c r="KUG1" s="536"/>
      <c r="KUH1" s="536"/>
      <c r="KUI1" s="536"/>
      <c r="KUJ1" s="536"/>
      <c r="KUK1" s="536"/>
      <c r="KUL1" s="536"/>
      <c r="KUM1" s="536"/>
      <c r="KUN1" s="536"/>
      <c r="KUO1" s="536"/>
      <c r="KUP1" s="536"/>
      <c r="KUQ1" s="536"/>
      <c r="KUR1" s="536"/>
      <c r="KUS1" s="536"/>
      <c r="KUT1" s="536"/>
      <c r="KUU1" s="536"/>
      <c r="KUV1" s="536"/>
      <c r="KUW1" s="536"/>
      <c r="KUX1" s="536"/>
      <c r="KUY1" s="536"/>
      <c r="KUZ1" s="536"/>
      <c r="KVA1" s="536"/>
      <c r="KVB1" s="536"/>
      <c r="KVC1" s="536"/>
      <c r="KVD1" s="536"/>
      <c r="KVE1" s="536"/>
      <c r="KVF1" s="536"/>
      <c r="KVG1" s="536"/>
      <c r="KVH1" s="536"/>
      <c r="KVI1" s="536"/>
      <c r="KVJ1" s="536"/>
      <c r="KVK1" s="536"/>
      <c r="KVL1" s="536"/>
      <c r="KVM1" s="536"/>
      <c r="KVN1" s="536"/>
      <c r="KVO1" s="536"/>
      <c r="KVP1" s="536"/>
      <c r="KVQ1" s="536"/>
      <c r="KVR1" s="536"/>
      <c r="KVS1" s="536"/>
      <c r="KVT1" s="536"/>
      <c r="KVU1" s="536"/>
      <c r="KVV1" s="536"/>
      <c r="KVW1" s="536"/>
      <c r="KVX1" s="536"/>
      <c r="KVY1" s="536"/>
      <c r="KVZ1" s="536"/>
      <c r="KWA1" s="536"/>
      <c r="KWB1" s="536"/>
      <c r="KWC1" s="536"/>
      <c r="KWD1" s="536"/>
      <c r="KWE1" s="536"/>
      <c r="KWF1" s="536"/>
      <c r="KWG1" s="536"/>
      <c r="KWH1" s="536"/>
      <c r="KWI1" s="536"/>
      <c r="KWJ1" s="536"/>
      <c r="KWK1" s="536"/>
      <c r="KWL1" s="536"/>
      <c r="KWM1" s="536"/>
      <c r="KWN1" s="536"/>
      <c r="KWO1" s="536"/>
      <c r="KWP1" s="536"/>
      <c r="KWQ1" s="536"/>
      <c r="KWR1" s="536"/>
      <c r="KWS1" s="536"/>
      <c r="KWT1" s="536"/>
      <c r="KWU1" s="536"/>
      <c r="KWV1" s="536"/>
      <c r="KWW1" s="536"/>
      <c r="KWX1" s="536"/>
      <c r="KWY1" s="536"/>
      <c r="KWZ1" s="536"/>
      <c r="KXA1" s="536"/>
      <c r="KXB1" s="536"/>
      <c r="KXC1" s="536"/>
      <c r="KXD1" s="536"/>
      <c r="KXE1" s="536"/>
      <c r="KXF1" s="536"/>
      <c r="KXG1" s="536"/>
      <c r="KXH1" s="536"/>
      <c r="KXI1" s="536"/>
      <c r="KXJ1" s="536"/>
      <c r="KXK1" s="536"/>
      <c r="KXL1" s="536"/>
      <c r="KXM1" s="536"/>
      <c r="KXN1" s="536"/>
      <c r="KXO1" s="536"/>
      <c r="KXP1" s="536"/>
      <c r="KXQ1" s="536"/>
      <c r="KXR1" s="536"/>
      <c r="KXS1" s="536"/>
      <c r="KXT1" s="536"/>
      <c r="KXU1" s="536"/>
      <c r="KXV1" s="536"/>
      <c r="KXW1" s="536"/>
      <c r="KXX1" s="536"/>
      <c r="KXY1" s="536"/>
      <c r="KXZ1" s="536"/>
      <c r="KYA1" s="536"/>
      <c r="KYB1" s="536"/>
      <c r="KYC1" s="536"/>
      <c r="KYD1" s="536"/>
      <c r="KYE1" s="536"/>
      <c r="KYF1" s="536"/>
      <c r="KYG1" s="536"/>
      <c r="KYH1" s="536"/>
      <c r="KYI1" s="536"/>
      <c r="KYJ1" s="536"/>
      <c r="KYK1" s="536"/>
      <c r="KYL1" s="536"/>
      <c r="KYM1" s="536"/>
      <c r="KYN1" s="536"/>
      <c r="KYO1" s="536"/>
      <c r="KYP1" s="536"/>
      <c r="KYQ1" s="536"/>
      <c r="KYR1" s="536"/>
      <c r="KYS1" s="536"/>
      <c r="KYT1" s="536"/>
      <c r="KYU1" s="536"/>
      <c r="KYV1" s="536"/>
      <c r="KYW1" s="536"/>
      <c r="KYX1" s="536"/>
      <c r="KYY1" s="536"/>
      <c r="KYZ1" s="536"/>
      <c r="KZA1" s="536"/>
      <c r="KZB1" s="536"/>
      <c r="KZC1" s="536"/>
      <c r="KZD1" s="536"/>
      <c r="KZE1" s="536"/>
      <c r="KZF1" s="536"/>
      <c r="KZG1" s="536"/>
      <c r="KZH1" s="536"/>
      <c r="KZI1" s="536"/>
      <c r="KZJ1" s="536"/>
      <c r="KZK1" s="536"/>
      <c r="KZL1" s="536"/>
      <c r="KZM1" s="536"/>
      <c r="KZN1" s="536"/>
      <c r="KZO1" s="536"/>
      <c r="KZP1" s="536"/>
      <c r="KZQ1" s="536"/>
      <c r="KZR1" s="536"/>
      <c r="KZS1" s="536"/>
      <c r="KZT1" s="536"/>
      <c r="KZU1" s="536"/>
      <c r="KZV1" s="536"/>
      <c r="KZW1" s="536"/>
      <c r="KZX1" s="536"/>
      <c r="KZY1" s="536"/>
      <c r="KZZ1" s="536"/>
      <c r="LAA1" s="536"/>
      <c r="LAB1" s="536"/>
      <c r="LAC1" s="536"/>
      <c r="LAD1" s="536"/>
      <c r="LAE1" s="536"/>
      <c r="LAF1" s="536"/>
      <c r="LAG1" s="536"/>
      <c r="LAH1" s="536"/>
      <c r="LAI1" s="536"/>
      <c r="LAJ1" s="536"/>
      <c r="LAK1" s="536"/>
      <c r="LAL1" s="536"/>
      <c r="LAM1" s="536"/>
      <c r="LAN1" s="536"/>
      <c r="LAO1" s="536"/>
      <c r="LAP1" s="536"/>
      <c r="LAQ1" s="536"/>
      <c r="LAR1" s="536"/>
      <c r="LAS1" s="536"/>
      <c r="LAT1" s="536"/>
      <c r="LAU1" s="536"/>
      <c r="LAV1" s="536"/>
      <c r="LAW1" s="536"/>
      <c r="LAX1" s="536"/>
      <c r="LAY1" s="536"/>
      <c r="LAZ1" s="536"/>
      <c r="LBA1" s="536"/>
      <c r="LBB1" s="536"/>
      <c r="LBC1" s="536"/>
      <c r="LBD1" s="536"/>
      <c r="LBE1" s="536"/>
      <c r="LBF1" s="536"/>
      <c r="LBG1" s="536"/>
      <c r="LBH1" s="536"/>
      <c r="LBI1" s="536"/>
      <c r="LBJ1" s="536"/>
      <c r="LBK1" s="536"/>
      <c r="LBL1" s="536"/>
      <c r="LBM1" s="536"/>
      <c r="LBN1" s="536"/>
      <c r="LBO1" s="536"/>
      <c r="LBP1" s="536"/>
      <c r="LBQ1" s="536"/>
      <c r="LBR1" s="536"/>
      <c r="LBS1" s="536"/>
      <c r="LBT1" s="536"/>
      <c r="LBU1" s="536"/>
      <c r="LBV1" s="536"/>
      <c r="LBW1" s="536"/>
      <c r="LBX1" s="536"/>
      <c r="LBY1" s="536"/>
      <c r="LBZ1" s="536"/>
      <c r="LCA1" s="536"/>
      <c r="LCB1" s="536"/>
      <c r="LCC1" s="536"/>
      <c r="LCD1" s="536"/>
      <c r="LCE1" s="536"/>
      <c r="LCF1" s="536"/>
      <c r="LCG1" s="536"/>
      <c r="LCH1" s="536"/>
      <c r="LCI1" s="536"/>
      <c r="LCJ1" s="536"/>
      <c r="LCK1" s="536"/>
      <c r="LCL1" s="536"/>
      <c r="LCM1" s="536"/>
      <c r="LCN1" s="536"/>
      <c r="LCO1" s="536"/>
      <c r="LCP1" s="536"/>
      <c r="LCQ1" s="536"/>
      <c r="LCR1" s="536"/>
      <c r="LCS1" s="536"/>
      <c r="LCT1" s="536"/>
      <c r="LCU1" s="536"/>
      <c r="LCV1" s="536"/>
      <c r="LCW1" s="536"/>
      <c r="LCX1" s="536"/>
      <c r="LCY1" s="536"/>
      <c r="LCZ1" s="536"/>
      <c r="LDA1" s="536"/>
      <c r="LDB1" s="536"/>
      <c r="LDC1" s="536"/>
      <c r="LDD1" s="536"/>
      <c r="LDE1" s="536"/>
      <c r="LDF1" s="536"/>
      <c r="LDG1" s="536"/>
      <c r="LDH1" s="536"/>
      <c r="LDI1" s="536"/>
      <c r="LDJ1" s="536"/>
      <c r="LDK1" s="536"/>
      <c r="LDL1" s="536"/>
      <c r="LDM1" s="536"/>
      <c r="LDN1" s="536"/>
      <c r="LDO1" s="536"/>
      <c r="LDP1" s="536"/>
      <c r="LDQ1" s="536"/>
      <c r="LDR1" s="536"/>
      <c r="LDS1" s="536"/>
      <c r="LDT1" s="536"/>
      <c r="LDU1" s="536"/>
      <c r="LDV1" s="536"/>
      <c r="LDW1" s="536"/>
      <c r="LDX1" s="536"/>
      <c r="LDY1" s="536"/>
      <c r="LDZ1" s="536"/>
      <c r="LEA1" s="536"/>
      <c r="LEB1" s="536"/>
      <c r="LEC1" s="536"/>
      <c r="LED1" s="536"/>
      <c r="LEE1" s="536"/>
      <c r="LEF1" s="536"/>
      <c r="LEG1" s="536"/>
      <c r="LEH1" s="536"/>
      <c r="LEI1" s="536"/>
      <c r="LEJ1" s="536"/>
      <c r="LEK1" s="536"/>
      <c r="LEL1" s="536"/>
      <c r="LEM1" s="536"/>
      <c r="LEN1" s="536"/>
      <c r="LEO1" s="536"/>
      <c r="LEP1" s="536"/>
      <c r="LEQ1" s="536"/>
      <c r="LER1" s="536"/>
      <c r="LES1" s="536"/>
      <c r="LET1" s="536"/>
      <c r="LEU1" s="536"/>
      <c r="LEV1" s="536"/>
      <c r="LEW1" s="536"/>
      <c r="LEX1" s="536"/>
      <c r="LEY1" s="536"/>
      <c r="LEZ1" s="536"/>
      <c r="LFA1" s="536"/>
      <c r="LFB1" s="536"/>
      <c r="LFC1" s="536"/>
      <c r="LFD1" s="536"/>
      <c r="LFE1" s="536"/>
      <c r="LFF1" s="536"/>
      <c r="LFG1" s="536"/>
      <c r="LFH1" s="536"/>
      <c r="LFI1" s="536"/>
      <c r="LFJ1" s="536"/>
      <c r="LFK1" s="536"/>
      <c r="LFL1" s="536"/>
      <c r="LFM1" s="536"/>
      <c r="LFN1" s="536"/>
      <c r="LFO1" s="536"/>
      <c r="LFP1" s="536"/>
      <c r="LFQ1" s="536"/>
      <c r="LFR1" s="536"/>
      <c r="LFS1" s="536"/>
      <c r="LFT1" s="536"/>
      <c r="LFU1" s="536"/>
      <c r="LFV1" s="536"/>
      <c r="LFW1" s="536"/>
      <c r="LFX1" s="536"/>
      <c r="LFY1" s="536"/>
      <c r="LFZ1" s="536"/>
      <c r="LGA1" s="536"/>
      <c r="LGB1" s="536"/>
      <c r="LGC1" s="536"/>
      <c r="LGD1" s="536"/>
      <c r="LGE1" s="536"/>
      <c r="LGF1" s="536"/>
      <c r="LGG1" s="536"/>
      <c r="LGH1" s="536"/>
      <c r="LGI1" s="536"/>
      <c r="LGJ1" s="536"/>
      <c r="LGK1" s="536"/>
      <c r="LGL1" s="536"/>
      <c r="LGM1" s="536"/>
      <c r="LGN1" s="536"/>
      <c r="LGO1" s="536"/>
      <c r="LGP1" s="536"/>
      <c r="LGQ1" s="536"/>
      <c r="LGR1" s="536"/>
      <c r="LGS1" s="536"/>
      <c r="LGT1" s="536"/>
      <c r="LGU1" s="536"/>
      <c r="LGV1" s="536"/>
      <c r="LGW1" s="536"/>
      <c r="LGX1" s="536"/>
      <c r="LGY1" s="536"/>
      <c r="LGZ1" s="536"/>
      <c r="LHA1" s="536"/>
      <c r="LHB1" s="536"/>
      <c r="LHC1" s="536"/>
      <c r="LHD1" s="536"/>
      <c r="LHE1" s="536"/>
      <c r="LHF1" s="536"/>
      <c r="LHG1" s="536"/>
      <c r="LHH1" s="536"/>
      <c r="LHI1" s="536"/>
      <c r="LHJ1" s="536"/>
      <c r="LHK1" s="536"/>
      <c r="LHL1" s="536"/>
      <c r="LHM1" s="536"/>
      <c r="LHN1" s="536"/>
      <c r="LHO1" s="536"/>
      <c r="LHP1" s="536"/>
      <c r="LHQ1" s="536"/>
      <c r="LHR1" s="536"/>
      <c r="LHS1" s="536"/>
      <c r="LHT1" s="536"/>
      <c r="LHU1" s="536"/>
      <c r="LHV1" s="536"/>
      <c r="LHW1" s="536"/>
      <c r="LHX1" s="536"/>
      <c r="LHY1" s="536"/>
      <c r="LHZ1" s="536"/>
      <c r="LIA1" s="536"/>
      <c r="LIB1" s="536"/>
      <c r="LIC1" s="536"/>
      <c r="LID1" s="536"/>
      <c r="LIE1" s="536"/>
      <c r="LIF1" s="536"/>
      <c r="LIG1" s="536"/>
      <c r="LIH1" s="536"/>
      <c r="LII1" s="536"/>
      <c r="LIJ1" s="536"/>
      <c r="LIK1" s="536"/>
      <c r="LIL1" s="536"/>
      <c r="LIM1" s="536"/>
      <c r="LIN1" s="536"/>
      <c r="LIO1" s="536"/>
      <c r="LIP1" s="536"/>
      <c r="LIQ1" s="536"/>
      <c r="LIR1" s="536"/>
      <c r="LIS1" s="536"/>
      <c r="LIT1" s="536"/>
      <c r="LIU1" s="536"/>
      <c r="LIV1" s="536"/>
      <c r="LIW1" s="536"/>
      <c r="LIX1" s="536"/>
      <c r="LIY1" s="536"/>
      <c r="LIZ1" s="536"/>
      <c r="LJA1" s="536"/>
      <c r="LJB1" s="536"/>
      <c r="LJC1" s="536"/>
      <c r="LJD1" s="536"/>
      <c r="LJE1" s="536"/>
      <c r="LJF1" s="536"/>
      <c r="LJG1" s="536"/>
      <c r="LJH1" s="536"/>
      <c r="LJI1" s="536"/>
      <c r="LJJ1" s="536"/>
      <c r="LJK1" s="536"/>
      <c r="LJL1" s="536"/>
      <c r="LJM1" s="536"/>
      <c r="LJN1" s="536"/>
      <c r="LJO1" s="536"/>
      <c r="LJP1" s="536"/>
      <c r="LJQ1" s="536"/>
      <c r="LJR1" s="536"/>
      <c r="LJS1" s="536"/>
      <c r="LJT1" s="536"/>
      <c r="LJU1" s="536"/>
      <c r="LJV1" s="536"/>
      <c r="LJW1" s="536"/>
      <c r="LJX1" s="536"/>
      <c r="LJY1" s="536"/>
      <c r="LJZ1" s="536"/>
      <c r="LKA1" s="536"/>
      <c r="LKB1" s="536"/>
      <c r="LKC1" s="536"/>
      <c r="LKD1" s="536"/>
      <c r="LKE1" s="536"/>
      <c r="LKF1" s="536"/>
      <c r="LKG1" s="536"/>
      <c r="LKH1" s="536"/>
      <c r="LKI1" s="536"/>
      <c r="LKJ1" s="536"/>
      <c r="LKK1" s="536"/>
      <c r="LKL1" s="536"/>
      <c r="LKM1" s="536"/>
      <c r="LKN1" s="536"/>
      <c r="LKO1" s="536"/>
      <c r="LKP1" s="536"/>
      <c r="LKQ1" s="536"/>
      <c r="LKR1" s="536"/>
      <c r="LKS1" s="536"/>
      <c r="LKT1" s="536"/>
      <c r="LKU1" s="536"/>
      <c r="LKV1" s="536"/>
      <c r="LKW1" s="536"/>
      <c r="LKX1" s="536"/>
      <c r="LKY1" s="536"/>
      <c r="LKZ1" s="536"/>
      <c r="LLA1" s="536"/>
      <c r="LLB1" s="536"/>
      <c r="LLC1" s="536"/>
      <c r="LLD1" s="536"/>
      <c r="LLE1" s="536"/>
      <c r="LLF1" s="536"/>
      <c r="LLG1" s="536"/>
      <c r="LLH1" s="536"/>
      <c r="LLI1" s="536"/>
      <c r="LLJ1" s="536"/>
      <c r="LLK1" s="536"/>
      <c r="LLL1" s="536"/>
      <c r="LLM1" s="536"/>
      <c r="LLN1" s="536"/>
      <c r="LLO1" s="536"/>
      <c r="LLP1" s="536"/>
      <c r="LLQ1" s="536"/>
      <c r="LLR1" s="536"/>
      <c r="LLS1" s="536"/>
      <c r="LLT1" s="536"/>
      <c r="LLU1" s="536"/>
      <c r="LLV1" s="536"/>
      <c r="LLW1" s="536"/>
      <c r="LLX1" s="536"/>
      <c r="LLY1" s="536"/>
      <c r="LLZ1" s="536"/>
      <c r="LMA1" s="536"/>
      <c r="LMB1" s="536"/>
      <c r="LMC1" s="536"/>
      <c r="LMD1" s="536"/>
      <c r="LME1" s="536"/>
      <c r="LMF1" s="536"/>
      <c r="LMG1" s="536"/>
      <c r="LMH1" s="536"/>
      <c r="LMI1" s="536"/>
      <c r="LMJ1" s="536"/>
      <c r="LMK1" s="536"/>
      <c r="LML1" s="536"/>
      <c r="LMM1" s="536"/>
      <c r="LMN1" s="536"/>
      <c r="LMO1" s="536"/>
      <c r="LMP1" s="536"/>
      <c r="LMQ1" s="536"/>
      <c r="LMR1" s="536"/>
      <c r="LMS1" s="536"/>
      <c r="LMT1" s="536"/>
      <c r="LMU1" s="536"/>
      <c r="LMV1" s="536"/>
      <c r="LMW1" s="536"/>
      <c r="LMX1" s="536"/>
      <c r="LMY1" s="536"/>
      <c r="LMZ1" s="536"/>
      <c r="LNA1" s="536"/>
      <c r="LNB1" s="536"/>
      <c r="LNC1" s="536"/>
      <c r="LND1" s="536"/>
      <c r="LNE1" s="536"/>
      <c r="LNF1" s="536"/>
      <c r="LNG1" s="536"/>
      <c r="LNH1" s="536"/>
      <c r="LNI1" s="536"/>
      <c r="LNJ1" s="536"/>
      <c r="LNK1" s="536"/>
      <c r="LNL1" s="536"/>
      <c r="LNM1" s="536"/>
      <c r="LNN1" s="536"/>
      <c r="LNO1" s="536"/>
      <c r="LNP1" s="536"/>
      <c r="LNQ1" s="536"/>
      <c r="LNR1" s="536"/>
      <c r="LNS1" s="536"/>
      <c r="LNT1" s="536"/>
      <c r="LNU1" s="536"/>
      <c r="LNV1" s="536"/>
      <c r="LNW1" s="536"/>
      <c r="LNX1" s="536"/>
      <c r="LNY1" s="536"/>
      <c r="LNZ1" s="536"/>
      <c r="LOA1" s="536"/>
      <c r="LOB1" s="536"/>
      <c r="LOC1" s="536"/>
      <c r="LOD1" s="536"/>
      <c r="LOE1" s="536"/>
      <c r="LOF1" s="536"/>
      <c r="LOG1" s="536"/>
      <c r="LOH1" s="536"/>
      <c r="LOI1" s="536"/>
      <c r="LOJ1" s="536"/>
      <c r="LOK1" s="536"/>
      <c r="LOL1" s="536"/>
      <c r="LOM1" s="536"/>
      <c r="LON1" s="536"/>
      <c r="LOO1" s="536"/>
      <c r="LOP1" s="536"/>
      <c r="LOQ1" s="536"/>
      <c r="LOR1" s="536"/>
      <c r="LOS1" s="536"/>
      <c r="LOT1" s="536"/>
      <c r="LOU1" s="536"/>
      <c r="LOV1" s="536"/>
      <c r="LOW1" s="536"/>
      <c r="LOX1" s="536"/>
      <c r="LOY1" s="536"/>
      <c r="LOZ1" s="536"/>
      <c r="LPA1" s="536"/>
      <c r="LPB1" s="536"/>
      <c r="LPC1" s="536"/>
      <c r="LPD1" s="536"/>
      <c r="LPE1" s="536"/>
      <c r="LPF1" s="536"/>
      <c r="LPG1" s="536"/>
      <c r="LPH1" s="536"/>
      <c r="LPI1" s="536"/>
      <c r="LPJ1" s="536"/>
      <c r="LPK1" s="536"/>
      <c r="LPL1" s="536"/>
      <c r="LPM1" s="536"/>
      <c r="LPN1" s="536"/>
      <c r="LPO1" s="536"/>
      <c r="LPP1" s="536"/>
      <c r="LPQ1" s="536"/>
      <c r="LPR1" s="536"/>
      <c r="LPS1" s="536"/>
      <c r="LPT1" s="536"/>
      <c r="LPU1" s="536"/>
      <c r="LPV1" s="536"/>
      <c r="LPW1" s="536"/>
      <c r="LPX1" s="536"/>
      <c r="LPY1" s="536"/>
      <c r="LPZ1" s="536"/>
      <c r="LQA1" s="536"/>
      <c r="LQB1" s="536"/>
      <c r="LQC1" s="536"/>
      <c r="LQD1" s="536"/>
      <c r="LQE1" s="536"/>
      <c r="LQF1" s="536"/>
      <c r="LQG1" s="536"/>
      <c r="LQH1" s="536"/>
      <c r="LQI1" s="536"/>
      <c r="LQJ1" s="536"/>
      <c r="LQK1" s="536"/>
      <c r="LQL1" s="536"/>
      <c r="LQM1" s="536"/>
      <c r="LQN1" s="536"/>
      <c r="LQO1" s="536"/>
      <c r="LQP1" s="536"/>
      <c r="LQQ1" s="536"/>
      <c r="LQR1" s="536"/>
      <c r="LQS1" s="536"/>
      <c r="LQT1" s="536"/>
      <c r="LQU1" s="536"/>
      <c r="LQV1" s="536"/>
      <c r="LQW1" s="536"/>
      <c r="LQX1" s="536"/>
      <c r="LQY1" s="536"/>
      <c r="LQZ1" s="536"/>
      <c r="LRA1" s="536"/>
      <c r="LRB1" s="536"/>
      <c r="LRC1" s="536"/>
      <c r="LRD1" s="536"/>
      <c r="LRE1" s="536"/>
      <c r="LRF1" s="536"/>
      <c r="LRG1" s="536"/>
      <c r="LRH1" s="536"/>
      <c r="LRI1" s="536"/>
      <c r="LRJ1" s="536"/>
      <c r="LRK1" s="536"/>
      <c r="LRL1" s="536"/>
      <c r="LRM1" s="536"/>
      <c r="LRN1" s="536"/>
      <c r="LRO1" s="536"/>
      <c r="LRP1" s="536"/>
      <c r="LRQ1" s="536"/>
      <c r="LRR1" s="536"/>
      <c r="LRS1" s="536"/>
      <c r="LRT1" s="536"/>
      <c r="LRU1" s="536"/>
      <c r="LRV1" s="536"/>
      <c r="LRW1" s="536"/>
      <c r="LRX1" s="536"/>
      <c r="LRY1" s="536"/>
      <c r="LRZ1" s="536"/>
      <c r="LSA1" s="536"/>
      <c r="LSB1" s="536"/>
      <c r="LSC1" s="536"/>
      <c r="LSD1" s="536"/>
      <c r="LSE1" s="536"/>
      <c r="LSF1" s="536"/>
      <c r="LSG1" s="536"/>
      <c r="LSH1" s="536"/>
      <c r="LSI1" s="536"/>
      <c r="LSJ1" s="536"/>
      <c r="LSK1" s="536"/>
      <c r="LSL1" s="536"/>
      <c r="LSM1" s="536"/>
      <c r="LSN1" s="536"/>
      <c r="LSO1" s="536"/>
      <c r="LSP1" s="536"/>
      <c r="LSQ1" s="536"/>
      <c r="LSR1" s="536"/>
      <c r="LSS1" s="536"/>
      <c r="LST1" s="536"/>
      <c r="LSU1" s="536"/>
      <c r="LSV1" s="536"/>
      <c r="LSW1" s="536"/>
      <c r="LSX1" s="536"/>
      <c r="LSY1" s="536"/>
      <c r="LSZ1" s="536"/>
      <c r="LTA1" s="536"/>
      <c r="LTB1" s="536"/>
      <c r="LTC1" s="536"/>
      <c r="LTD1" s="536"/>
      <c r="LTE1" s="536"/>
      <c r="LTF1" s="536"/>
      <c r="LTG1" s="536"/>
      <c r="LTH1" s="536"/>
      <c r="LTI1" s="536"/>
      <c r="LTJ1" s="536"/>
      <c r="LTK1" s="536"/>
      <c r="LTL1" s="536"/>
      <c r="LTM1" s="536"/>
      <c r="LTN1" s="536"/>
      <c r="LTO1" s="536"/>
      <c r="LTP1" s="536"/>
      <c r="LTQ1" s="536"/>
      <c r="LTR1" s="536"/>
      <c r="LTS1" s="536"/>
      <c r="LTT1" s="536"/>
      <c r="LTU1" s="536"/>
      <c r="LTV1" s="536"/>
      <c r="LTW1" s="536"/>
      <c r="LTX1" s="536"/>
      <c r="LTY1" s="536"/>
      <c r="LTZ1" s="536"/>
      <c r="LUA1" s="536"/>
      <c r="LUB1" s="536"/>
      <c r="LUC1" s="536"/>
      <c r="LUD1" s="536"/>
      <c r="LUE1" s="536"/>
      <c r="LUF1" s="536"/>
      <c r="LUG1" s="536"/>
      <c r="LUH1" s="536"/>
      <c r="LUI1" s="536"/>
      <c r="LUJ1" s="536"/>
      <c r="LUK1" s="536"/>
      <c r="LUL1" s="536"/>
      <c r="LUM1" s="536"/>
      <c r="LUN1" s="536"/>
      <c r="LUO1" s="536"/>
      <c r="LUP1" s="536"/>
      <c r="LUQ1" s="536"/>
      <c r="LUR1" s="536"/>
      <c r="LUS1" s="536"/>
      <c r="LUT1" s="536"/>
      <c r="LUU1" s="536"/>
      <c r="LUV1" s="536"/>
      <c r="LUW1" s="536"/>
      <c r="LUX1" s="536"/>
      <c r="LUY1" s="536"/>
      <c r="LUZ1" s="536"/>
      <c r="LVA1" s="536"/>
      <c r="LVB1" s="536"/>
      <c r="LVC1" s="536"/>
      <c r="LVD1" s="536"/>
      <c r="LVE1" s="536"/>
      <c r="LVF1" s="536"/>
      <c r="LVG1" s="536"/>
      <c r="LVH1" s="536"/>
      <c r="LVI1" s="536"/>
      <c r="LVJ1" s="536"/>
      <c r="LVK1" s="536"/>
      <c r="LVL1" s="536"/>
      <c r="LVM1" s="536"/>
      <c r="LVN1" s="536"/>
      <c r="LVO1" s="536"/>
      <c r="LVP1" s="536"/>
      <c r="LVQ1" s="536"/>
      <c r="LVR1" s="536"/>
      <c r="LVS1" s="536"/>
      <c r="LVT1" s="536"/>
      <c r="LVU1" s="536"/>
      <c r="LVV1" s="536"/>
      <c r="LVW1" s="536"/>
      <c r="LVX1" s="536"/>
      <c r="LVY1" s="536"/>
      <c r="LVZ1" s="536"/>
      <c r="LWA1" s="536"/>
      <c r="LWB1" s="536"/>
      <c r="LWC1" s="536"/>
      <c r="LWD1" s="536"/>
      <c r="LWE1" s="536"/>
      <c r="LWF1" s="536"/>
      <c r="LWG1" s="536"/>
      <c r="LWH1" s="536"/>
      <c r="LWI1" s="536"/>
      <c r="LWJ1" s="536"/>
      <c r="LWK1" s="536"/>
      <c r="LWL1" s="536"/>
      <c r="LWM1" s="536"/>
      <c r="LWN1" s="536"/>
      <c r="LWO1" s="536"/>
      <c r="LWP1" s="536"/>
      <c r="LWQ1" s="536"/>
      <c r="LWR1" s="536"/>
      <c r="LWS1" s="536"/>
      <c r="LWT1" s="536"/>
      <c r="LWU1" s="536"/>
      <c r="LWV1" s="536"/>
      <c r="LWW1" s="536"/>
      <c r="LWX1" s="536"/>
      <c r="LWY1" s="536"/>
      <c r="LWZ1" s="536"/>
      <c r="LXA1" s="536"/>
      <c r="LXB1" s="536"/>
      <c r="LXC1" s="536"/>
      <c r="LXD1" s="536"/>
      <c r="LXE1" s="536"/>
      <c r="LXF1" s="536"/>
      <c r="LXG1" s="536"/>
      <c r="LXH1" s="536"/>
      <c r="LXI1" s="536"/>
      <c r="LXJ1" s="536"/>
      <c r="LXK1" s="536"/>
      <c r="LXL1" s="536"/>
      <c r="LXM1" s="536"/>
      <c r="LXN1" s="536"/>
      <c r="LXO1" s="536"/>
      <c r="LXP1" s="536"/>
      <c r="LXQ1" s="536"/>
      <c r="LXR1" s="536"/>
      <c r="LXS1" s="536"/>
      <c r="LXT1" s="536"/>
      <c r="LXU1" s="536"/>
      <c r="LXV1" s="536"/>
      <c r="LXW1" s="536"/>
      <c r="LXX1" s="536"/>
      <c r="LXY1" s="536"/>
      <c r="LXZ1" s="536"/>
      <c r="LYA1" s="536"/>
      <c r="LYB1" s="536"/>
      <c r="LYC1" s="536"/>
      <c r="LYD1" s="536"/>
      <c r="LYE1" s="536"/>
      <c r="LYF1" s="536"/>
      <c r="LYG1" s="536"/>
      <c r="LYH1" s="536"/>
      <c r="LYI1" s="536"/>
      <c r="LYJ1" s="536"/>
      <c r="LYK1" s="536"/>
      <c r="LYL1" s="536"/>
      <c r="LYM1" s="536"/>
      <c r="LYN1" s="536"/>
      <c r="LYO1" s="536"/>
      <c r="LYP1" s="536"/>
      <c r="LYQ1" s="536"/>
      <c r="LYR1" s="536"/>
      <c r="LYS1" s="536"/>
      <c r="LYT1" s="536"/>
      <c r="LYU1" s="536"/>
      <c r="LYV1" s="536"/>
      <c r="LYW1" s="536"/>
      <c r="LYX1" s="536"/>
      <c r="LYY1" s="536"/>
      <c r="LYZ1" s="536"/>
      <c r="LZA1" s="536"/>
      <c r="LZB1" s="536"/>
      <c r="LZC1" s="536"/>
      <c r="LZD1" s="536"/>
      <c r="LZE1" s="536"/>
      <c r="LZF1" s="536"/>
      <c r="LZG1" s="536"/>
      <c r="LZH1" s="536"/>
      <c r="LZI1" s="536"/>
      <c r="LZJ1" s="536"/>
      <c r="LZK1" s="536"/>
      <c r="LZL1" s="536"/>
      <c r="LZM1" s="536"/>
      <c r="LZN1" s="536"/>
      <c r="LZO1" s="536"/>
      <c r="LZP1" s="536"/>
      <c r="LZQ1" s="536"/>
      <c r="LZR1" s="536"/>
      <c r="LZS1" s="536"/>
      <c r="LZT1" s="536"/>
      <c r="LZU1" s="536"/>
      <c r="LZV1" s="536"/>
      <c r="LZW1" s="536"/>
      <c r="LZX1" s="536"/>
      <c r="LZY1" s="536"/>
      <c r="LZZ1" s="536"/>
      <c r="MAA1" s="536"/>
      <c r="MAB1" s="536"/>
      <c r="MAC1" s="536"/>
      <c r="MAD1" s="536"/>
      <c r="MAE1" s="536"/>
      <c r="MAF1" s="536"/>
      <c r="MAG1" s="536"/>
      <c r="MAH1" s="536"/>
      <c r="MAI1" s="536"/>
      <c r="MAJ1" s="536"/>
      <c r="MAK1" s="536"/>
      <c r="MAL1" s="536"/>
      <c r="MAM1" s="536"/>
      <c r="MAN1" s="536"/>
      <c r="MAO1" s="536"/>
      <c r="MAP1" s="536"/>
      <c r="MAQ1" s="536"/>
      <c r="MAR1" s="536"/>
      <c r="MAS1" s="536"/>
      <c r="MAT1" s="536"/>
      <c r="MAU1" s="536"/>
      <c r="MAV1" s="536"/>
      <c r="MAW1" s="536"/>
      <c r="MAX1" s="536"/>
      <c r="MAY1" s="536"/>
      <c r="MAZ1" s="536"/>
      <c r="MBA1" s="536"/>
      <c r="MBB1" s="536"/>
      <c r="MBC1" s="536"/>
      <c r="MBD1" s="536"/>
      <c r="MBE1" s="536"/>
      <c r="MBF1" s="536"/>
      <c r="MBG1" s="536"/>
      <c r="MBH1" s="536"/>
      <c r="MBI1" s="536"/>
      <c r="MBJ1" s="536"/>
      <c r="MBK1" s="536"/>
      <c r="MBL1" s="536"/>
      <c r="MBM1" s="536"/>
      <c r="MBN1" s="536"/>
      <c r="MBO1" s="536"/>
      <c r="MBP1" s="536"/>
      <c r="MBQ1" s="536"/>
      <c r="MBR1" s="536"/>
      <c r="MBS1" s="536"/>
      <c r="MBT1" s="536"/>
      <c r="MBU1" s="536"/>
      <c r="MBV1" s="536"/>
      <c r="MBW1" s="536"/>
      <c r="MBX1" s="536"/>
      <c r="MBY1" s="536"/>
      <c r="MBZ1" s="536"/>
      <c r="MCA1" s="536"/>
      <c r="MCB1" s="536"/>
      <c r="MCC1" s="536"/>
      <c r="MCD1" s="536"/>
      <c r="MCE1" s="536"/>
      <c r="MCF1" s="536"/>
      <c r="MCG1" s="536"/>
      <c r="MCH1" s="536"/>
      <c r="MCI1" s="536"/>
      <c r="MCJ1" s="536"/>
      <c r="MCK1" s="536"/>
      <c r="MCL1" s="536"/>
      <c r="MCM1" s="536"/>
      <c r="MCN1" s="536"/>
      <c r="MCO1" s="536"/>
      <c r="MCP1" s="536"/>
      <c r="MCQ1" s="536"/>
      <c r="MCR1" s="536"/>
      <c r="MCS1" s="536"/>
      <c r="MCT1" s="536"/>
      <c r="MCU1" s="536"/>
      <c r="MCV1" s="536"/>
      <c r="MCW1" s="536"/>
      <c r="MCX1" s="536"/>
      <c r="MCY1" s="536"/>
      <c r="MCZ1" s="536"/>
      <c r="MDA1" s="536"/>
      <c r="MDB1" s="536"/>
      <c r="MDC1" s="536"/>
      <c r="MDD1" s="536"/>
      <c r="MDE1" s="536"/>
      <c r="MDF1" s="536"/>
      <c r="MDG1" s="536"/>
      <c r="MDH1" s="536"/>
      <c r="MDI1" s="536"/>
      <c r="MDJ1" s="536"/>
      <c r="MDK1" s="536"/>
      <c r="MDL1" s="536"/>
      <c r="MDM1" s="536"/>
      <c r="MDN1" s="536"/>
      <c r="MDO1" s="536"/>
      <c r="MDP1" s="536"/>
      <c r="MDQ1" s="536"/>
      <c r="MDR1" s="536"/>
      <c r="MDS1" s="536"/>
      <c r="MDT1" s="536"/>
      <c r="MDU1" s="536"/>
      <c r="MDV1" s="536"/>
      <c r="MDW1" s="536"/>
      <c r="MDX1" s="536"/>
      <c r="MDY1" s="536"/>
      <c r="MDZ1" s="536"/>
      <c r="MEA1" s="536"/>
      <c r="MEB1" s="536"/>
      <c r="MEC1" s="536"/>
      <c r="MED1" s="536"/>
      <c r="MEE1" s="536"/>
      <c r="MEF1" s="536"/>
      <c r="MEG1" s="536"/>
      <c r="MEH1" s="536"/>
      <c r="MEI1" s="536"/>
      <c r="MEJ1" s="536"/>
      <c r="MEK1" s="536"/>
      <c r="MEL1" s="536"/>
      <c r="MEM1" s="536"/>
      <c r="MEN1" s="536"/>
      <c r="MEO1" s="536"/>
      <c r="MEP1" s="536"/>
      <c r="MEQ1" s="536"/>
      <c r="MER1" s="536"/>
      <c r="MES1" s="536"/>
      <c r="MET1" s="536"/>
      <c r="MEU1" s="536"/>
      <c r="MEV1" s="536"/>
      <c r="MEW1" s="536"/>
      <c r="MEX1" s="536"/>
      <c r="MEY1" s="536"/>
      <c r="MEZ1" s="536"/>
      <c r="MFA1" s="536"/>
      <c r="MFB1" s="536"/>
      <c r="MFC1" s="536"/>
      <c r="MFD1" s="536"/>
      <c r="MFE1" s="536"/>
      <c r="MFF1" s="536"/>
      <c r="MFG1" s="536"/>
      <c r="MFH1" s="536"/>
      <c r="MFI1" s="536"/>
      <c r="MFJ1" s="536"/>
      <c r="MFK1" s="536"/>
      <c r="MFL1" s="536"/>
      <c r="MFM1" s="536"/>
      <c r="MFN1" s="536"/>
      <c r="MFO1" s="536"/>
      <c r="MFP1" s="536"/>
      <c r="MFQ1" s="536"/>
      <c r="MFR1" s="536"/>
      <c r="MFS1" s="536"/>
      <c r="MFT1" s="536"/>
      <c r="MFU1" s="536"/>
      <c r="MFV1" s="536"/>
      <c r="MFW1" s="536"/>
      <c r="MFX1" s="536"/>
      <c r="MFY1" s="536"/>
      <c r="MFZ1" s="536"/>
      <c r="MGA1" s="536"/>
      <c r="MGB1" s="536"/>
      <c r="MGC1" s="536"/>
      <c r="MGD1" s="536"/>
      <c r="MGE1" s="536"/>
      <c r="MGF1" s="536"/>
      <c r="MGG1" s="536"/>
      <c r="MGH1" s="536"/>
      <c r="MGI1" s="536"/>
      <c r="MGJ1" s="536"/>
      <c r="MGK1" s="536"/>
      <c r="MGL1" s="536"/>
      <c r="MGM1" s="536"/>
      <c r="MGN1" s="536"/>
      <c r="MGO1" s="536"/>
      <c r="MGP1" s="536"/>
      <c r="MGQ1" s="536"/>
      <c r="MGR1" s="536"/>
      <c r="MGS1" s="536"/>
      <c r="MGT1" s="536"/>
      <c r="MGU1" s="536"/>
      <c r="MGV1" s="536"/>
      <c r="MGW1" s="536"/>
      <c r="MGX1" s="536"/>
      <c r="MGY1" s="536"/>
      <c r="MGZ1" s="536"/>
      <c r="MHA1" s="536"/>
      <c r="MHB1" s="536"/>
      <c r="MHC1" s="536"/>
      <c r="MHD1" s="536"/>
      <c r="MHE1" s="536"/>
      <c r="MHF1" s="536"/>
      <c r="MHG1" s="536"/>
      <c r="MHH1" s="536"/>
      <c r="MHI1" s="536"/>
      <c r="MHJ1" s="536"/>
      <c r="MHK1" s="536"/>
      <c r="MHL1" s="536"/>
      <c r="MHM1" s="536"/>
      <c r="MHN1" s="536"/>
      <c r="MHO1" s="536"/>
      <c r="MHP1" s="536"/>
      <c r="MHQ1" s="536"/>
      <c r="MHR1" s="536"/>
      <c r="MHS1" s="536"/>
      <c r="MHT1" s="536"/>
      <c r="MHU1" s="536"/>
      <c r="MHV1" s="536"/>
      <c r="MHW1" s="536"/>
      <c r="MHX1" s="536"/>
      <c r="MHY1" s="536"/>
      <c r="MHZ1" s="536"/>
      <c r="MIA1" s="536"/>
      <c r="MIB1" s="536"/>
      <c r="MIC1" s="536"/>
      <c r="MID1" s="536"/>
      <c r="MIE1" s="536"/>
      <c r="MIF1" s="536"/>
      <c r="MIG1" s="536"/>
      <c r="MIH1" s="536"/>
      <c r="MII1" s="536"/>
      <c r="MIJ1" s="536"/>
      <c r="MIK1" s="536"/>
      <c r="MIL1" s="536"/>
      <c r="MIM1" s="536"/>
      <c r="MIN1" s="536"/>
      <c r="MIO1" s="536"/>
      <c r="MIP1" s="536"/>
      <c r="MIQ1" s="536"/>
      <c r="MIR1" s="536"/>
      <c r="MIS1" s="536"/>
      <c r="MIT1" s="536"/>
      <c r="MIU1" s="536"/>
      <c r="MIV1" s="536"/>
      <c r="MIW1" s="536"/>
      <c r="MIX1" s="536"/>
      <c r="MIY1" s="536"/>
      <c r="MIZ1" s="536"/>
      <c r="MJA1" s="536"/>
      <c r="MJB1" s="536"/>
      <c r="MJC1" s="536"/>
      <c r="MJD1" s="536"/>
      <c r="MJE1" s="536"/>
      <c r="MJF1" s="536"/>
      <c r="MJG1" s="536"/>
      <c r="MJH1" s="536"/>
      <c r="MJI1" s="536"/>
      <c r="MJJ1" s="536"/>
      <c r="MJK1" s="536"/>
      <c r="MJL1" s="536"/>
      <c r="MJM1" s="536"/>
      <c r="MJN1" s="536"/>
      <c r="MJO1" s="536"/>
      <c r="MJP1" s="536"/>
      <c r="MJQ1" s="536"/>
      <c r="MJR1" s="536"/>
      <c r="MJS1" s="536"/>
      <c r="MJT1" s="536"/>
      <c r="MJU1" s="536"/>
      <c r="MJV1" s="536"/>
      <c r="MJW1" s="536"/>
      <c r="MJX1" s="536"/>
      <c r="MJY1" s="536"/>
      <c r="MJZ1" s="536"/>
      <c r="MKA1" s="536"/>
      <c r="MKB1" s="536"/>
      <c r="MKC1" s="536"/>
      <c r="MKD1" s="536"/>
      <c r="MKE1" s="536"/>
      <c r="MKF1" s="536"/>
      <c r="MKG1" s="536"/>
      <c r="MKH1" s="536"/>
      <c r="MKI1" s="536"/>
      <c r="MKJ1" s="536"/>
      <c r="MKK1" s="536"/>
      <c r="MKL1" s="536"/>
      <c r="MKM1" s="536"/>
      <c r="MKN1" s="536"/>
      <c r="MKO1" s="536"/>
      <c r="MKP1" s="536"/>
      <c r="MKQ1" s="536"/>
      <c r="MKR1" s="536"/>
      <c r="MKS1" s="536"/>
      <c r="MKT1" s="536"/>
      <c r="MKU1" s="536"/>
      <c r="MKV1" s="536"/>
      <c r="MKW1" s="536"/>
      <c r="MKX1" s="536"/>
      <c r="MKY1" s="536"/>
      <c r="MKZ1" s="536"/>
      <c r="MLA1" s="536"/>
      <c r="MLB1" s="536"/>
      <c r="MLC1" s="536"/>
      <c r="MLD1" s="536"/>
      <c r="MLE1" s="536"/>
      <c r="MLF1" s="536"/>
      <c r="MLG1" s="536"/>
      <c r="MLH1" s="536"/>
      <c r="MLI1" s="536"/>
      <c r="MLJ1" s="536"/>
      <c r="MLK1" s="536"/>
      <c r="MLL1" s="536"/>
      <c r="MLM1" s="536"/>
      <c r="MLN1" s="536"/>
      <c r="MLO1" s="536"/>
      <c r="MLP1" s="536"/>
      <c r="MLQ1" s="536"/>
      <c r="MLR1" s="536"/>
      <c r="MLS1" s="536"/>
      <c r="MLT1" s="536"/>
      <c r="MLU1" s="536"/>
      <c r="MLV1" s="536"/>
      <c r="MLW1" s="536"/>
      <c r="MLX1" s="536"/>
      <c r="MLY1" s="536"/>
      <c r="MLZ1" s="536"/>
      <c r="MMA1" s="536"/>
      <c r="MMB1" s="536"/>
      <c r="MMC1" s="536"/>
      <c r="MMD1" s="536"/>
      <c r="MME1" s="536"/>
      <c r="MMF1" s="536"/>
      <c r="MMG1" s="536"/>
      <c r="MMH1" s="536"/>
      <c r="MMI1" s="536"/>
      <c r="MMJ1" s="536"/>
      <c r="MMK1" s="536"/>
      <c r="MML1" s="536"/>
      <c r="MMM1" s="536"/>
      <c r="MMN1" s="536"/>
      <c r="MMO1" s="536"/>
      <c r="MMP1" s="536"/>
      <c r="MMQ1" s="536"/>
      <c r="MMR1" s="536"/>
      <c r="MMS1" s="536"/>
      <c r="MMT1" s="536"/>
      <c r="MMU1" s="536"/>
      <c r="MMV1" s="536"/>
      <c r="MMW1" s="536"/>
      <c r="MMX1" s="536"/>
      <c r="MMY1" s="536"/>
      <c r="MMZ1" s="536"/>
      <c r="MNA1" s="536"/>
      <c r="MNB1" s="536"/>
      <c r="MNC1" s="536"/>
      <c r="MND1" s="536"/>
      <c r="MNE1" s="536"/>
      <c r="MNF1" s="536"/>
      <c r="MNG1" s="536"/>
      <c r="MNH1" s="536"/>
      <c r="MNI1" s="536"/>
      <c r="MNJ1" s="536"/>
      <c r="MNK1" s="536"/>
      <c r="MNL1" s="536"/>
      <c r="MNM1" s="536"/>
      <c r="MNN1" s="536"/>
      <c r="MNO1" s="536"/>
      <c r="MNP1" s="536"/>
      <c r="MNQ1" s="536"/>
      <c r="MNR1" s="536"/>
      <c r="MNS1" s="536"/>
      <c r="MNT1" s="536"/>
      <c r="MNU1" s="536"/>
      <c r="MNV1" s="536"/>
      <c r="MNW1" s="536"/>
      <c r="MNX1" s="536"/>
      <c r="MNY1" s="536"/>
      <c r="MNZ1" s="536"/>
      <c r="MOA1" s="536"/>
      <c r="MOB1" s="536"/>
      <c r="MOC1" s="536"/>
      <c r="MOD1" s="536"/>
      <c r="MOE1" s="536"/>
      <c r="MOF1" s="536"/>
      <c r="MOG1" s="536"/>
      <c r="MOH1" s="536"/>
      <c r="MOI1" s="536"/>
      <c r="MOJ1" s="536"/>
      <c r="MOK1" s="536"/>
      <c r="MOL1" s="536"/>
      <c r="MOM1" s="536"/>
      <c r="MON1" s="536"/>
      <c r="MOO1" s="536"/>
      <c r="MOP1" s="536"/>
      <c r="MOQ1" s="536"/>
      <c r="MOR1" s="536"/>
      <c r="MOS1" s="536"/>
      <c r="MOT1" s="536"/>
      <c r="MOU1" s="536"/>
      <c r="MOV1" s="536"/>
      <c r="MOW1" s="536"/>
      <c r="MOX1" s="536"/>
      <c r="MOY1" s="536"/>
      <c r="MOZ1" s="536"/>
      <c r="MPA1" s="536"/>
      <c r="MPB1" s="536"/>
      <c r="MPC1" s="536"/>
      <c r="MPD1" s="536"/>
      <c r="MPE1" s="536"/>
      <c r="MPF1" s="536"/>
      <c r="MPG1" s="536"/>
      <c r="MPH1" s="536"/>
      <c r="MPI1" s="536"/>
      <c r="MPJ1" s="536"/>
      <c r="MPK1" s="536"/>
      <c r="MPL1" s="536"/>
      <c r="MPM1" s="536"/>
      <c r="MPN1" s="536"/>
      <c r="MPO1" s="536"/>
      <c r="MPP1" s="536"/>
      <c r="MPQ1" s="536"/>
      <c r="MPR1" s="536"/>
      <c r="MPS1" s="536"/>
      <c r="MPT1" s="536"/>
      <c r="MPU1" s="536"/>
      <c r="MPV1" s="536"/>
      <c r="MPW1" s="536"/>
      <c r="MPX1" s="536"/>
      <c r="MPY1" s="536"/>
      <c r="MPZ1" s="536"/>
      <c r="MQA1" s="536"/>
      <c r="MQB1" s="536"/>
      <c r="MQC1" s="536"/>
      <c r="MQD1" s="536"/>
      <c r="MQE1" s="536"/>
      <c r="MQF1" s="536"/>
      <c r="MQG1" s="536"/>
      <c r="MQH1" s="536"/>
      <c r="MQI1" s="536"/>
      <c r="MQJ1" s="536"/>
      <c r="MQK1" s="536"/>
      <c r="MQL1" s="536"/>
      <c r="MQM1" s="536"/>
      <c r="MQN1" s="536"/>
      <c r="MQO1" s="536"/>
      <c r="MQP1" s="536"/>
      <c r="MQQ1" s="536"/>
      <c r="MQR1" s="536"/>
      <c r="MQS1" s="536"/>
      <c r="MQT1" s="536"/>
      <c r="MQU1" s="536"/>
      <c r="MQV1" s="536"/>
      <c r="MQW1" s="536"/>
      <c r="MQX1" s="536"/>
      <c r="MQY1" s="536"/>
      <c r="MQZ1" s="536"/>
      <c r="MRA1" s="536"/>
      <c r="MRB1" s="536"/>
      <c r="MRC1" s="536"/>
      <c r="MRD1" s="536"/>
      <c r="MRE1" s="536"/>
      <c r="MRF1" s="536"/>
      <c r="MRG1" s="536"/>
      <c r="MRH1" s="536"/>
      <c r="MRI1" s="536"/>
      <c r="MRJ1" s="536"/>
      <c r="MRK1" s="536"/>
      <c r="MRL1" s="536"/>
      <c r="MRM1" s="536"/>
      <c r="MRN1" s="536"/>
      <c r="MRO1" s="536"/>
      <c r="MRP1" s="536"/>
      <c r="MRQ1" s="536"/>
      <c r="MRR1" s="536"/>
      <c r="MRS1" s="536"/>
      <c r="MRT1" s="536"/>
      <c r="MRU1" s="536"/>
      <c r="MRV1" s="536"/>
      <c r="MRW1" s="536"/>
      <c r="MRX1" s="536"/>
      <c r="MRY1" s="536"/>
      <c r="MRZ1" s="536"/>
      <c r="MSA1" s="536"/>
      <c r="MSB1" s="536"/>
      <c r="MSC1" s="536"/>
      <c r="MSD1" s="536"/>
      <c r="MSE1" s="536"/>
      <c r="MSF1" s="536"/>
      <c r="MSG1" s="536"/>
      <c r="MSH1" s="536"/>
      <c r="MSI1" s="536"/>
      <c r="MSJ1" s="536"/>
      <c r="MSK1" s="536"/>
      <c r="MSL1" s="536"/>
      <c r="MSM1" s="536"/>
      <c r="MSN1" s="536"/>
      <c r="MSO1" s="536"/>
      <c r="MSP1" s="536"/>
      <c r="MSQ1" s="536"/>
      <c r="MSR1" s="536"/>
      <c r="MSS1" s="536"/>
      <c r="MST1" s="536"/>
      <c r="MSU1" s="536"/>
      <c r="MSV1" s="536"/>
      <c r="MSW1" s="536"/>
      <c r="MSX1" s="536"/>
      <c r="MSY1" s="536"/>
      <c r="MSZ1" s="536"/>
      <c r="MTA1" s="536"/>
      <c r="MTB1" s="536"/>
      <c r="MTC1" s="536"/>
      <c r="MTD1" s="536"/>
      <c r="MTE1" s="536"/>
      <c r="MTF1" s="536"/>
      <c r="MTG1" s="536"/>
      <c r="MTH1" s="536"/>
      <c r="MTI1" s="536"/>
      <c r="MTJ1" s="536"/>
      <c r="MTK1" s="536"/>
      <c r="MTL1" s="536"/>
      <c r="MTM1" s="536"/>
      <c r="MTN1" s="536"/>
      <c r="MTO1" s="536"/>
      <c r="MTP1" s="536"/>
      <c r="MTQ1" s="536"/>
      <c r="MTR1" s="536"/>
      <c r="MTS1" s="536"/>
      <c r="MTT1" s="536"/>
      <c r="MTU1" s="536"/>
      <c r="MTV1" s="536"/>
      <c r="MTW1" s="536"/>
      <c r="MTX1" s="536"/>
      <c r="MTY1" s="536"/>
      <c r="MTZ1" s="536"/>
      <c r="MUA1" s="536"/>
      <c r="MUB1" s="536"/>
      <c r="MUC1" s="536"/>
      <c r="MUD1" s="536"/>
      <c r="MUE1" s="536"/>
      <c r="MUF1" s="536"/>
      <c r="MUG1" s="536"/>
      <c r="MUH1" s="536"/>
      <c r="MUI1" s="536"/>
      <c r="MUJ1" s="536"/>
      <c r="MUK1" s="536"/>
      <c r="MUL1" s="536"/>
      <c r="MUM1" s="536"/>
      <c r="MUN1" s="536"/>
      <c r="MUO1" s="536"/>
      <c r="MUP1" s="536"/>
      <c r="MUQ1" s="536"/>
      <c r="MUR1" s="536"/>
      <c r="MUS1" s="536"/>
      <c r="MUT1" s="536"/>
      <c r="MUU1" s="536"/>
      <c r="MUV1" s="536"/>
      <c r="MUW1" s="536"/>
      <c r="MUX1" s="536"/>
      <c r="MUY1" s="536"/>
      <c r="MUZ1" s="536"/>
      <c r="MVA1" s="536"/>
      <c r="MVB1" s="536"/>
      <c r="MVC1" s="536"/>
      <c r="MVD1" s="536"/>
      <c r="MVE1" s="536"/>
      <c r="MVF1" s="536"/>
      <c r="MVG1" s="536"/>
      <c r="MVH1" s="536"/>
      <c r="MVI1" s="536"/>
      <c r="MVJ1" s="536"/>
      <c r="MVK1" s="536"/>
      <c r="MVL1" s="536"/>
      <c r="MVM1" s="536"/>
      <c r="MVN1" s="536"/>
      <c r="MVO1" s="536"/>
      <c r="MVP1" s="536"/>
      <c r="MVQ1" s="536"/>
      <c r="MVR1" s="536"/>
      <c r="MVS1" s="536"/>
      <c r="MVT1" s="536"/>
      <c r="MVU1" s="536"/>
      <c r="MVV1" s="536"/>
      <c r="MVW1" s="536"/>
      <c r="MVX1" s="536"/>
      <c r="MVY1" s="536"/>
      <c r="MVZ1" s="536"/>
      <c r="MWA1" s="536"/>
      <c r="MWB1" s="536"/>
      <c r="MWC1" s="536"/>
      <c r="MWD1" s="536"/>
      <c r="MWE1" s="536"/>
      <c r="MWF1" s="536"/>
      <c r="MWG1" s="536"/>
      <c r="MWH1" s="536"/>
      <c r="MWI1" s="536"/>
      <c r="MWJ1" s="536"/>
      <c r="MWK1" s="536"/>
      <c r="MWL1" s="536"/>
      <c r="MWM1" s="536"/>
      <c r="MWN1" s="536"/>
      <c r="MWO1" s="536"/>
      <c r="MWP1" s="536"/>
      <c r="MWQ1" s="536"/>
      <c r="MWR1" s="536"/>
      <c r="MWS1" s="536"/>
      <c r="MWT1" s="536"/>
      <c r="MWU1" s="536"/>
      <c r="MWV1" s="536"/>
      <c r="MWW1" s="536"/>
      <c r="MWX1" s="536"/>
      <c r="MWY1" s="536"/>
      <c r="MWZ1" s="536"/>
      <c r="MXA1" s="536"/>
      <c r="MXB1" s="536"/>
      <c r="MXC1" s="536"/>
      <c r="MXD1" s="536"/>
      <c r="MXE1" s="536"/>
      <c r="MXF1" s="536"/>
      <c r="MXG1" s="536"/>
      <c r="MXH1" s="536"/>
      <c r="MXI1" s="536"/>
      <c r="MXJ1" s="536"/>
      <c r="MXK1" s="536"/>
      <c r="MXL1" s="536"/>
      <c r="MXM1" s="536"/>
      <c r="MXN1" s="536"/>
      <c r="MXO1" s="536"/>
      <c r="MXP1" s="536"/>
      <c r="MXQ1" s="536"/>
      <c r="MXR1" s="536"/>
      <c r="MXS1" s="536"/>
      <c r="MXT1" s="536"/>
      <c r="MXU1" s="536"/>
      <c r="MXV1" s="536"/>
      <c r="MXW1" s="536"/>
      <c r="MXX1" s="536"/>
      <c r="MXY1" s="536"/>
      <c r="MXZ1" s="536"/>
      <c r="MYA1" s="536"/>
      <c r="MYB1" s="536"/>
      <c r="MYC1" s="536"/>
      <c r="MYD1" s="536"/>
      <c r="MYE1" s="536"/>
      <c r="MYF1" s="536"/>
      <c r="MYG1" s="536"/>
      <c r="MYH1" s="536"/>
      <c r="MYI1" s="536"/>
      <c r="MYJ1" s="536"/>
      <c r="MYK1" s="536"/>
      <c r="MYL1" s="536"/>
      <c r="MYM1" s="536"/>
      <c r="MYN1" s="536"/>
      <c r="MYO1" s="536"/>
      <c r="MYP1" s="536"/>
      <c r="MYQ1" s="536"/>
      <c r="MYR1" s="536"/>
      <c r="MYS1" s="536"/>
      <c r="MYT1" s="536"/>
      <c r="MYU1" s="536"/>
      <c r="MYV1" s="536"/>
      <c r="MYW1" s="536"/>
      <c r="MYX1" s="536"/>
      <c r="MYY1" s="536"/>
      <c r="MYZ1" s="536"/>
      <c r="MZA1" s="536"/>
      <c r="MZB1" s="536"/>
      <c r="MZC1" s="536"/>
      <c r="MZD1" s="536"/>
      <c r="MZE1" s="536"/>
      <c r="MZF1" s="536"/>
      <c r="MZG1" s="536"/>
      <c r="MZH1" s="536"/>
      <c r="MZI1" s="536"/>
      <c r="MZJ1" s="536"/>
      <c r="MZK1" s="536"/>
      <c r="MZL1" s="536"/>
      <c r="MZM1" s="536"/>
      <c r="MZN1" s="536"/>
      <c r="MZO1" s="536"/>
      <c r="MZP1" s="536"/>
      <c r="MZQ1" s="536"/>
      <c r="MZR1" s="536"/>
      <c r="MZS1" s="536"/>
      <c r="MZT1" s="536"/>
      <c r="MZU1" s="536"/>
      <c r="MZV1" s="536"/>
      <c r="MZW1" s="536"/>
      <c r="MZX1" s="536"/>
      <c r="MZY1" s="536"/>
      <c r="MZZ1" s="536"/>
      <c r="NAA1" s="536"/>
      <c r="NAB1" s="536"/>
      <c r="NAC1" s="536"/>
      <c r="NAD1" s="536"/>
      <c r="NAE1" s="536"/>
      <c r="NAF1" s="536"/>
      <c r="NAG1" s="536"/>
      <c r="NAH1" s="536"/>
      <c r="NAI1" s="536"/>
      <c r="NAJ1" s="536"/>
      <c r="NAK1" s="536"/>
      <c r="NAL1" s="536"/>
      <c r="NAM1" s="536"/>
      <c r="NAN1" s="536"/>
      <c r="NAO1" s="536"/>
      <c r="NAP1" s="536"/>
      <c r="NAQ1" s="536"/>
      <c r="NAR1" s="536"/>
      <c r="NAS1" s="536"/>
      <c r="NAT1" s="536"/>
      <c r="NAU1" s="536"/>
      <c r="NAV1" s="536"/>
      <c r="NAW1" s="536"/>
      <c r="NAX1" s="536"/>
      <c r="NAY1" s="536"/>
      <c r="NAZ1" s="536"/>
      <c r="NBA1" s="536"/>
      <c r="NBB1" s="536"/>
      <c r="NBC1" s="536"/>
      <c r="NBD1" s="536"/>
      <c r="NBE1" s="536"/>
      <c r="NBF1" s="536"/>
      <c r="NBG1" s="536"/>
      <c r="NBH1" s="536"/>
      <c r="NBI1" s="536"/>
      <c r="NBJ1" s="536"/>
      <c r="NBK1" s="536"/>
      <c r="NBL1" s="536"/>
      <c r="NBM1" s="536"/>
      <c r="NBN1" s="536"/>
      <c r="NBO1" s="536"/>
      <c r="NBP1" s="536"/>
      <c r="NBQ1" s="536"/>
      <c r="NBR1" s="536"/>
      <c r="NBS1" s="536"/>
      <c r="NBT1" s="536"/>
      <c r="NBU1" s="536"/>
      <c r="NBV1" s="536"/>
      <c r="NBW1" s="536"/>
      <c r="NBX1" s="536"/>
      <c r="NBY1" s="536"/>
      <c r="NBZ1" s="536"/>
      <c r="NCA1" s="536"/>
      <c r="NCB1" s="536"/>
      <c r="NCC1" s="536"/>
      <c r="NCD1" s="536"/>
      <c r="NCE1" s="536"/>
      <c r="NCF1" s="536"/>
      <c r="NCG1" s="536"/>
      <c r="NCH1" s="536"/>
      <c r="NCI1" s="536"/>
      <c r="NCJ1" s="536"/>
      <c r="NCK1" s="536"/>
      <c r="NCL1" s="536"/>
      <c r="NCM1" s="536"/>
      <c r="NCN1" s="536"/>
      <c r="NCO1" s="536"/>
      <c r="NCP1" s="536"/>
      <c r="NCQ1" s="536"/>
      <c r="NCR1" s="536"/>
      <c r="NCS1" s="536"/>
      <c r="NCT1" s="536"/>
      <c r="NCU1" s="536"/>
      <c r="NCV1" s="536"/>
      <c r="NCW1" s="536"/>
      <c r="NCX1" s="536"/>
      <c r="NCY1" s="536"/>
      <c r="NCZ1" s="536"/>
      <c r="NDA1" s="536"/>
      <c r="NDB1" s="536"/>
      <c r="NDC1" s="536"/>
      <c r="NDD1" s="536"/>
      <c r="NDE1" s="536"/>
      <c r="NDF1" s="536"/>
      <c r="NDG1" s="536"/>
      <c r="NDH1" s="536"/>
      <c r="NDI1" s="536"/>
      <c r="NDJ1" s="536"/>
      <c r="NDK1" s="536"/>
      <c r="NDL1" s="536"/>
      <c r="NDM1" s="536"/>
      <c r="NDN1" s="536"/>
      <c r="NDO1" s="536"/>
      <c r="NDP1" s="536"/>
      <c r="NDQ1" s="536"/>
      <c r="NDR1" s="536"/>
      <c r="NDS1" s="536"/>
      <c r="NDT1" s="536"/>
      <c r="NDU1" s="536"/>
      <c r="NDV1" s="536"/>
      <c r="NDW1" s="536"/>
      <c r="NDX1" s="536"/>
      <c r="NDY1" s="536"/>
      <c r="NDZ1" s="536"/>
      <c r="NEA1" s="536"/>
      <c r="NEB1" s="536"/>
      <c r="NEC1" s="536"/>
      <c r="NED1" s="536"/>
      <c r="NEE1" s="536"/>
      <c r="NEF1" s="536"/>
      <c r="NEG1" s="536"/>
      <c r="NEH1" s="536"/>
      <c r="NEI1" s="536"/>
      <c r="NEJ1" s="536"/>
      <c r="NEK1" s="536"/>
      <c r="NEL1" s="536"/>
      <c r="NEM1" s="536"/>
      <c r="NEN1" s="536"/>
      <c r="NEO1" s="536"/>
      <c r="NEP1" s="536"/>
      <c r="NEQ1" s="536"/>
      <c r="NER1" s="536"/>
      <c r="NES1" s="536"/>
      <c r="NET1" s="536"/>
      <c r="NEU1" s="536"/>
      <c r="NEV1" s="536"/>
      <c r="NEW1" s="536"/>
      <c r="NEX1" s="536"/>
      <c r="NEY1" s="536"/>
      <c r="NEZ1" s="536"/>
      <c r="NFA1" s="536"/>
      <c r="NFB1" s="536"/>
      <c r="NFC1" s="536"/>
      <c r="NFD1" s="536"/>
      <c r="NFE1" s="536"/>
      <c r="NFF1" s="536"/>
      <c r="NFG1" s="536"/>
      <c r="NFH1" s="536"/>
      <c r="NFI1" s="536"/>
      <c r="NFJ1" s="536"/>
      <c r="NFK1" s="536"/>
      <c r="NFL1" s="536"/>
      <c r="NFM1" s="536"/>
      <c r="NFN1" s="536"/>
      <c r="NFO1" s="536"/>
      <c r="NFP1" s="536"/>
      <c r="NFQ1" s="536"/>
      <c r="NFR1" s="536"/>
      <c r="NFS1" s="536"/>
      <c r="NFT1" s="536"/>
      <c r="NFU1" s="536"/>
      <c r="NFV1" s="536"/>
      <c r="NFW1" s="536"/>
      <c r="NFX1" s="536"/>
      <c r="NFY1" s="536"/>
      <c r="NFZ1" s="536"/>
      <c r="NGA1" s="536"/>
      <c r="NGB1" s="536"/>
      <c r="NGC1" s="536"/>
      <c r="NGD1" s="536"/>
      <c r="NGE1" s="536"/>
      <c r="NGF1" s="536"/>
      <c r="NGG1" s="536"/>
      <c r="NGH1" s="536"/>
      <c r="NGI1" s="536"/>
      <c r="NGJ1" s="536"/>
      <c r="NGK1" s="536"/>
      <c r="NGL1" s="536"/>
      <c r="NGM1" s="536"/>
      <c r="NGN1" s="536"/>
      <c r="NGO1" s="536"/>
      <c r="NGP1" s="536"/>
      <c r="NGQ1" s="536"/>
      <c r="NGR1" s="536"/>
      <c r="NGS1" s="536"/>
      <c r="NGT1" s="536"/>
      <c r="NGU1" s="536"/>
      <c r="NGV1" s="536"/>
      <c r="NGW1" s="536"/>
      <c r="NGX1" s="536"/>
      <c r="NGY1" s="536"/>
      <c r="NGZ1" s="536"/>
      <c r="NHA1" s="536"/>
      <c r="NHB1" s="536"/>
      <c r="NHC1" s="536"/>
      <c r="NHD1" s="536"/>
      <c r="NHE1" s="536"/>
      <c r="NHF1" s="536"/>
      <c r="NHG1" s="536"/>
      <c r="NHH1" s="536"/>
      <c r="NHI1" s="536"/>
      <c r="NHJ1" s="536"/>
      <c r="NHK1" s="536"/>
      <c r="NHL1" s="536"/>
      <c r="NHM1" s="536"/>
      <c r="NHN1" s="536"/>
      <c r="NHO1" s="536"/>
      <c r="NHP1" s="536"/>
      <c r="NHQ1" s="536"/>
      <c r="NHR1" s="536"/>
      <c r="NHS1" s="536"/>
      <c r="NHT1" s="536"/>
      <c r="NHU1" s="536"/>
      <c r="NHV1" s="536"/>
      <c r="NHW1" s="536"/>
      <c r="NHX1" s="536"/>
      <c r="NHY1" s="536"/>
      <c r="NHZ1" s="536"/>
      <c r="NIA1" s="536"/>
      <c r="NIB1" s="536"/>
      <c r="NIC1" s="536"/>
      <c r="NID1" s="536"/>
      <c r="NIE1" s="536"/>
      <c r="NIF1" s="536"/>
      <c r="NIG1" s="536"/>
      <c r="NIH1" s="536"/>
      <c r="NII1" s="536"/>
      <c r="NIJ1" s="536"/>
      <c r="NIK1" s="536"/>
      <c r="NIL1" s="536"/>
      <c r="NIM1" s="536"/>
      <c r="NIN1" s="536"/>
      <c r="NIO1" s="536"/>
      <c r="NIP1" s="536"/>
      <c r="NIQ1" s="536"/>
      <c r="NIR1" s="536"/>
      <c r="NIS1" s="536"/>
      <c r="NIT1" s="536"/>
      <c r="NIU1" s="536"/>
      <c r="NIV1" s="536"/>
      <c r="NIW1" s="536"/>
      <c r="NIX1" s="536"/>
      <c r="NIY1" s="536"/>
      <c r="NIZ1" s="536"/>
      <c r="NJA1" s="536"/>
      <c r="NJB1" s="536"/>
      <c r="NJC1" s="536"/>
      <c r="NJD1" s="536"/>
      <c r="NJE1" s="536"/>
      <c r="NJF1" s="536"/>
      <c r="NJG1" s="536"/>
      <c r="NJH1" s="536"/>
      <c r="NJI1" s="536"/>
      <c r="NJJ1" s="536"/>
      <c r="NJK1" s="536"/>
      <c r="NJL1" s="536"/>
      <c r="NJM1" s="536"/>
      <c r="NJN1" s="536"/>
      <c r="NJO1" s="536"/>
      <c r="NJP1" s="536"/>
      <c r="NJQ1" s="536"/>
      <c r="NJR1" s="536"/>
      <c r="NJS1" s="536"/>
      <c r="NJT1" s="536"/>
      <c r="NJU1" s="536"/>
      <c r="NJV1" s="536"/>
      <c r="NJW1" s="536"/>
      <c r="NJX1" s="536"/>
      <c r="NJY1" s="536"/>
      <c r="NJZ1" s="536"/>
      <c r="NKA1" s="536"/>
      <c r="NKB1" s="536"/>
      <c r="NKC1" s="536"/>
      <c r="NKD1" s="536"/>
      <c r="NKE1" s="536"/>
      <c r="NKF1" s="536"/>
      <c r="NKG1" s="536"/>
      <c r="NKH1" s="536"/>
      <c r="NKI1" s="536"/>
      <c r="NKJ1" s="536"/>
      <c r="NKK1" s="536"/>
      <c r="NKL1" s="536"/>
      <c r="NKM1" s="536"/>
      <c r="NKN1" s="536"/>
      <c r="NKO1" s="536"/>
      <c r="NKP1" s="536"/>
      <c r="NKQ1" s="536"/>
      <c r="NKR1" s="536"/>
      <c r="NKS1" s="536"/>
      <c r="NKT1" s="536"/>
      <c r="NKU1" s="536"/>
      <c r="NKV1" s="536"/>
      <c r="NKW1" s="536"/>
      <c r="NKX1" s="536"/>
      <c r="NKY1" s="536"/>
      <c r="NKZ1" s="536"/>
      <c r="NLA1" s="536"/>
      <c r="NLB1" s="536"/>
      <c r="NLC1" s="536"/>
      <c r="NLD1" s="536"/>
      <c r="NLE1" s="536"/>
      <c r="NLF1" s="536"/>
      <c r="NLG1" s="536"/>
      <c r="NLH1" s="536"/>
      <c r="NLI1" s="536"/>
      <c r="NLJ1" s="536"/>
      <c r="NLK1" s="536"/>
      <c r="NLL1" s="536"/>
      <c r="NLM1" s="536"/>
      <c r="NLN1" s="536"/>
      <c r="NLO1" s="536"/>
      <c r="NLP1" s="536"/>
      <c r="NLQ1" s="536"/>
      <c r="NLR1" s="536"/>
      <c r="NLS1" s="536"/>
      <c r="NLT1" s="536"/>
      <c r="NLU1" s="536"/>
      <c r="NLV1" s="536"/>
      <c r="NLW1" s="536"/>
      <c r="NLX1" s="536"/>
      <c r="NLY1" s="536"/>
      <c r="NLZ1" s="536"/>
      <c r="NMA1" s="536"/>
      <c r="NMB1" s="536"/>
      <c r="NMC1" s="536"/>
      <c r="NMD1" s="536"/>
      <c r="NME1" s="536"/>
      <c r="NMF1" s="536"/>
      <c r="NMG1" s="536"/>
      <c r="NMH1" s="536"/>
      <c r="NMI1" s="536"/>
      <c r="NMJ1" s="536"/>
      <c r="NMK1" s="536"/>
      <c r="NML1" s="536"/>
      <c r="NMM1" s="536"/>
      <c r="NMN1" s="536"/>
      <c r="NMO1" s="536"/>
      <c r="NMP1" s="536"/>
      <c r="NMQ1" s="536"/>
      <c r="NMR1" s="536"/>
      <c r="NMS1" s="536"/>
      <c r="NMT1" s="536"/>
      <c r="NMU1" s="536"/>
      <c r="NMV1" s="536"/>
      <c r="NMW1" s="536"/>
      <c r="NMX1" s="536"/>
      <c r="NMY1" s="536"/>
      <c r="NMZ1" s="536"/>
      <c r="NNA1" s="536"/>
      <c r="NNB1" s="536"/>
      <c r="NNC1" s="536"/>
      <c r="NND1" s="536"/>
      <c r="NNE1" s="536"/>
      <c r="NNF1" s="536"/>
      <c r="NNG1" s="536"/>
      <c r="NNH1" s="536"/>
      <c r="NNI1" s="536"/>
      <c r="NNJ1" s="536"/>
      <c r="NNK1" s="536"/>
      <c r="NNL1" s="536"/>
      <c r="NNM1" s="536"/>
      <c r="NNN1" s="536"/>
      <c r="NNO1" s="536"/>
      <c r="NNP1" s="536"/>
      <c r="NNQ1" s="536"/>
      <c r="NNR1" s="536"/>
      <c r="NNS1" s="536"/>
      <c r="NNT1" s="536"/>
      <c r="NNU1" s="536"/>
      <c r="NNV1" s="536"/>
      <c r="NNW1" s="536"/>
      <c r="NNX1" s="536"/>
      <c r="NNY1" s="536"/>
      <c r="NNZ1" s="536"/>
      <c r="NOA1" s="536"/>
      <c r="NOB1" s="536"/>
      <c r="NOC1" s="536"/>
      <c r="NOD1" s="536"/>
      <c r="NOE1" s="536"/>
      <c r="NOF1" s="536"/>
      <c r="NOG1" s="536"/>
      <c r="NOH1" s="536"/>
      <c r="NOI1" s="536"/>
      <c r="NOJ1" s="536"/>
      <c r="NOK1" s="536"/>
      <c r="NOL1" s="536"/>
      <c r="NOM1" s="536"/>
      <c r="NON1" s="536"/>
      <c r="NOO1" s="536"/>
      <c r="NOP1" s="536"/>
      <c r="NOQ1" s="536"/>
      <c r="NOR1" s="536"/>
      <c r="NOS1" s="536"/>
      <c r="NOT1" s="536"/>
      <c r="NOU1" s="536"/>
      <c r="NOV1" s="536"/>
      <c r="NOW1" s="536"/>
      <c r="NOX1" s="536"/>
      <c r="NOY1" s="536"/>
      <c r="NOZ1" s="536"/>
      <c r="NPA1" s="536"/>
      <c r="NPB1" s="536"/>
      <c r="NPC1" s="536"/>
      <c r="NPD1" s="536"/>
      <c r="NPE1" s="536"/>
      <c r="NPF1" s="536"/>
      <c r="NPG1" s="536"/>
      <c r="NPH1" s="536"/>
      <c r="NPI1" s="536"/>
      <c r="NPJ1" s="536"/>
      <c r="NPK1" s="536"/>
      <c r="NPL1" s="536"/>
      <c r="NPM1" s="536"/>
      <c r="NPN1" s="536"/>
      <c r="NPO1" s="536"/>
      <c r="NPP1" s="536"/>
      <c r="NPQ1" s="536"/>
      <c r="NPR1" s="536"/>
      <c r="NPS1" s="536"/>
      <c r="NPT1" s="536"/>
      <c r="NPU1" s="536"/>
      <c r="NPV1" s="536"/>
      <c r="NPW1" s="536"/>
      <c r="NPX1" s="536"/>
      <c r="NPY1" s="536"/>
      <c r="NPZ1" s="536"/>
      <c r="NQA1" s="536"/>
      <c r="NQB1" s="536"/>
      <c r="NQC1" s="536"/>
      <c r="NQD1" s="536"/>
      <c r="NQE1" s="536"/>
      <c r="NQF1" s="536"/>
      <c r="NQG1" s="536"/>
      <c r="NQH1" s="536"/>
      <c r="NQI1" s="536"/>
      <c r="NQJ1" s="536"/>
      <c r="NQK1" s="536"/>
      <c r="NQL1" s="536"/>
      <c r="NQM1" s="536"/>
      <c r="NQN1" s="536"/>
      <c r="NQO1" s="536"/>
      <c r="NQP1" s="536"/>
      <c r="NQQ1" s="536"/>
      <c r="NQR1" s="536"/>
      <c r="NQS1" s="536"/>
      <c r="NQT1" s="536"/>
      <c r="NQU1" s="536"/>
      <c r="NQV1" s="536"/>
      <c r="NQW1" s="536"/>
      <c r="NQX1" s="536"/>
      <c r="NQY1" s="536"/>
      <c r="NQZ1" s="536"/>
      <c r="NRA1" s="536"/>
      <c r="NRB1" s="536"/>
      <c r="NRC1" s="536"/>
      <c r="NRD1" s="536"/>
      <c r="NRE1" s="536"/>
      <c r="NRF1" s="536"/>
      <c r="NRG1" s="536"/>
      <c r="NRH1" s="536"/>
      <c r="NRI1" s="536"/>
      <c r="NRJ1" s="536"/>
      <c r="NRK1" s="536"/>
      <c r="NRL1" s="536"/>
      <c r="NRM1" s="536"/>
      <c r="NRN1" s="536"/>
      <c r="NRO1" s="536"/>
      <c r="NRP1" s="536"/>
      <c r="NRQ1" s="536"/>
      <c r="NRR1" s="536"/>
      <c r="NRS1" s="536"/>
      <c r="NRT1" s="536"/>
      <c r="NRU1" s="536"/>
      <c r="NRV1" s="536"/>
      <c r="NRW1" s="536"/>
      <c r="NRX1" s="536"/>
      <c r="NRY1" s="536"/>
      <c r="NRZ1" s="536"/>
      <c r="NSA1" s="536"/>
      <c r="NSB1" s="536"/>
      <c r="NSC1" s="536"/>
      <c r="NSD1" s="536"/>
      <c r="NSE1" s="536"/>
      <c r="NSF1" s="536"/>
      <c r="NSG1" s="536"/>
      <c r="NSH1" s="536"/>
      <c r="NSI1" s="536"/>
      <c r="NSJ1" s="536"/>
      <c r="NSK1" s="536"/>
      <c r="NSL1" s="536"/>
      <c r="NSM1" s="536"/>
      <c r="NSN1" s="536"/>
      <c r="NSO1" s="536"/>
      <c r="NSP1" s="536"/>
      <c r="NSQ1" s="536"/>
      <c r="NSR1" s="536"/>
      <c r="NSS1" s="536"/>
      <c r="NST1" s="536"/>
      <c r="NSU1" s="536"/>
      <c r="NSV1" s="536"/>
      <c r="NSW1" s="536"/>
      <c r="NSX1" s="536"/>
      <c r="NSY1" s="536"/>
      <c r="NSZ1" s="536"/>
      <c r="NTA1" s="536"/>
      <c r="NTB1" s="536"/>
      <c r="NTC1" s="536"/>
      <c r="NTD1" s="536"/>
      <c r="NTE1" s="536"/>
      <c r="NTF1" s="536"/>
      <c r="NTG1" s="536"/>
      <c r="NTH1" s="536"/>
      <c r="NTI1" s="536"/>
      <c r="NTJ1" s="536"/>
      <c r="NTK1" s="536"/>
      <c r="NTL1" s="536"/>
      <c r="NTM1" s="536"/>
      <c r="NTN1" s="536"/>
      <c r="NTO1" s="536"/>
      <c r="NTP1" s="536"/>
      <c r="NTQ1" s="536"/>
      <c r="NTR1" s="536"/>
      <c r="NTS1" s="536"/>
      <c r="NTT1" s="536"/>
      <c r="NTU1" s="536"/>
      <c r="NTV1" s="536"/>
      <c r="NTW1" s="536"/>
      <c r="NTX1" s="536"/>
      <c r="NTY1" s="536"/>
      <c r="NTZ1" s="536"/>
      <c r="NUA1" s="536"/>
      <c r="NUB1" s="536"/>
      <c r="NUC1" s="536"/>
      <c r="NUD1" s="536"/>
      <c r="NUE1" s="536"/>
      <c r="NUF1" s="536"/>
      <c r="NUG1" s="536"/>
      <c r="NUH1" s="536"/>
      <c r="NUI1" s="536"/>
      <c r="NUJ1" s="536"/>
      <c r="NUK1" s="536"/>
      <c r="NUL1" s="536"/>
      <c r="NUM1" s="536"/>
      <c r="NUN1" s="536"/>
      <c r="NUO1" s="536"/>
      <c r="NUP1" s="536"/>
      <c r="NUQ1" s="536"/>
      <c r="NUR1" s="536"/>
      <c r="NUS1" s="536"/>
      <c r="NUT1" s="536"/>
      <c r="NUU1" s="536"/>
      <c r="NUV1" s="536"/>
      <c r="NUW1" s="536"/>
      <c r="NUX1" s="536"/>
      <c r="NUY1" s="536"/>
      <c r="NUZ1" s="536"/>
      <c r="NVA1" s="536"/>
      <c r="NVB1" s="536"/>
      <c r="NVC1" s="536"/>
      <c r="NVD1" s="536"/>
      <c r="NVE1" s="536"/>
      <c r="NVF1" s="536"/>
      <c r="NVG1" s="536"/>
      <c r="NVH1" s="536"/>
      <c r="NVI1" s="536"/>
      <c r="NVJ1" s="536"/>
      <c r="NVK1" s="536"/>
      <c r="NVL1" s="536"/>
      <c r="NVM1" s="536"/>
      <c r="NVN1" s="536"/>
      <c r="NVO1" s="536"/>
      <c r="NVP1" s="536"/>
      <c r="NVQ1" s="536"/>
      <c r="NVR1" s="536"/>
      <c r="NVS1" s="536"/>
      <c r="NVT1" s="536"/>
      <c r="NVU1" s="536"/>
      <c r="NVV1" s="536"/>
      <c r="NVW1" s="536"/>
      <c r="NVX1" s="536"/>
      <c r="NVY1" s="536"/>
      <c r="NVZ1" s="536"/>
      <c r="NWA1" s="536"/>
      <c r="NWB1" s="536"/>
      <c r="NWC1" s="536"/>
      <c r="NWD1" s="536"/>
      <c r="NWE1" s="536"/>
      <c r="NWF1" s="536"/>
      <c r="NWG1" s="536"/>
      <c r="NWH1" s="536"/>
      <c r="NWI1" s="536"/>
      <c r="NWJ1" s="536"/>
      <c r="NWK1" s="536"/>
      <c r="NWL1" s="536"/>
      <c r="NWM1" s="536"/>
      <c r="NWN1" s="536"/>
      <c r="NWO1" s="536"/>
      <c r="NWP1" s="536"/>
      <c r="NWQ1" s="536"/>
      <c r="NWR1" s="536"/>
      <c r="NWS1" s="536"/>
      <c r="NWT1" s="536"/>
      <c r="NWU1" s="536"/>
      <c r="NWV1" s="536"/>
      <c r="NWW1" s="536"/>
      <c r="NWX1" s="536"/>
      <c r="NWY1" s="536"/>
      <c r="NWZ1" s="536"/>
      <c r="NXA1" s="536"/>
      <c r="NXB1" s="536"/>
      <c r="NXC1" s="536"/>
      <c r="NXD1" s="536"/>
      <c r="NXE1" s="536"/>
      <c r="NXF1" s="536"/>
      <c r="NXG1" s="536"/>
      <c r="NXH1" s="536"/>
      <c r="NXI1" s="536"/>
      <c r="NXJ1" s="536"/>
      <c r="NXK1" s="536"/>
      <c r="NXL1" s="536"/>
      <c r="NXM1" s="536"/>
      <c r="NXN1" s="536"/>
      <c r="NXO1" s="536"/>
      <c r="NXP1" s="536"/>
      <c r="NXQ1" s="536"/>
      <c r="NXR1" s="536"/>
      <c r="NXS1" s="536"/>
      <c r="NXT1" s="536"/>
      <c r="NXU1" s="536"/>
      <c r="NXV1" s="536"/>
      <c r="NXW1" s="536"/>
      <c r="NXX1" s="536"/>
      <c r="NXY1" s="536"/>
      <c r="NXZ1" s="536"/>
      <c r="NYA1" s="536"/>
      <c r="NYB1" s="536"/>
      <c r="NYC1" s="536"/>
      <c r="NYD1" s="536"/>
      <c r="NYE1" s="536"/>
      <c r="NYF1" s="536"/>
      <c r="NYG1" s="536"/>
      <c r="NYH1" s="536"/>
      <c r="NYI1" s="536"/>
      <c r="NYJ1" s="536"/>
      <c r="NYK1" s="536"/>
      <c r="NYL1" s="536"/>
      <c r="NYM1" s="536"/>
      <c r="NYN1" s="536"/>
      <c r="NYO1" s="536"/>
      <c r="NYP1" s="536"/>
      <c r="NYQ1" s="536"/>
      <c r="NYR1" s="536"/>
      <c r="NYS1" s="536"/>
      <c r="NYT1" s="536"/>
      <c r="NYU1" s="536"/>
      <c r="NYV1" s="536"/>
      <c r="NYW1" s="536"/>
      <c r="NYX1" s="536"/>
      <c r="NYY1" s="536"/>
      <c r="NYZ1" s="536"/>
      <c r="NZA1" s="536"/>
      <c r="NZB1" s="536"/>
      <c r="NZC1" s="536"/>
      <c r="NZD1" s="536"/>
      <c r="NZE1" s="536"/>
      <c r="NZF1" s="536"/>
      <c r="NZG1" s="536"/>
      <c r="NZH1" s="536"/>
      <c r="NZI1" s="536"/>
      <c r="NZJ1" s="536"/>
      <c r="NZK1" s="536"/>
      <c r="NZL1" s="536"/>
      <c r="NZM1" s="536"/>
      <c r="NZN1" s="536"/>
      <c r="NZO1" s="536"/>
      <c r="NZP1" s="536"/>
      <c r="NZQ1" s="536"/>
      <c r="NZR1" s="536"/>
      <c r="NZS1" s="536"/>
      <c r="NZT1" s="536"/>
      <c r="NZU1" s="536"/>
      <c r="NZV1" s="536"/>
      <c r="NZW1" s="536"/>
      <c r="NZX1" s="536"/>
      <c r="NZY1" s="536"/>
      <c r="NZZ1" s="536"/>
      <c r="OAA1" s="536"/>
      <c r="OAB1" s="536"/>
      <c r="OAC1" s="536"/>
      <c r="OAD1" s="536"/>
      <c r="OAE1" s="536"/>
      <c r="OAF1" s="536"/>
      <c r="OAG1" s="536"/>
      <c r="OAH1" s="536"/>
      <c r="OAI1" s="536"/>
      <c r="OAJ1" s="536"/>
      <c r="OAK1" s="536"/>
      <c r="OAL1" s="536"/>
      <c r="OAM1" s="536"/>
      <c r="OAN1" s="536"/>
      <c r="OAO1" s="536"/>
      <c r="OAP1" s="536"/>
      <c r="OAQ1" s="536"/>
      <c r="OAR1" s="536"/>
      <c r="OAS1" s="536"/>
      <c r="OAT1" s="536"/>
      <c r="OAU1" s="536"/>
      <c r="OAV1" s="536"/>
      <c r="OAW1" s="536"/>
      <c r="OAX1" s="536"/>
      <c r="OAY1" s="536"/>
      <c r="OAZ1" s="536"/>
      <c r="OBA1" s="536"/>
      <c r="OBB1" s="536"/>
      <c r="OBC1" s="536"/>
      <c r="OBD1" s="536"/>
      <c r="OBE1" s="536"/>
      <c r="OBF1" s="536"/>
      <c r="OBG1" s="536"/>
      <c r="OBH1" s="536"/>
      <c r="OBI1" s="536"/>
      <c r="OBJ1" s="536"/>
      <c r="OBK1" s="536"/>
      <c r="OBL1" s="536"/>
      <c r="OBM1" s="536"/>
      <c r="OBN1" s="536"/>
      <c r="OBO1" s="536"/>
      <c r="OBP1" s="536"/>
      <c r="OBQ1" s="536"/>
      <c r="OBR1" s="536"/>
      <c r="OBS1" s="536"/>
      <c r="OBT1" s="536"/>
      <c r="OBU1" s="536"/>
      <c r="OBV1" s="536"/>
      <c r="OBW1" s="536"/>
      <c r="OBX1" s="536"/>
      <c r="OBY1" s="536"/>
      <c r="OBZ1" s="536"/>
      <c r="OCA1" s="536"/>
      <c r="OCB1" s="536"/>
      <c r="OCC1" s="536"/>
      <c r="OCD1" s="536"/>
      <c r="OCE1" s="536"/>
      <c r="OCF1" s="536"/>
      <c r="OCG1" s="536"/>
      <c r="OCH1" s="536"/>
      <c r="OCI1" s="536"/>
      <c r="OCJ1" s="536"/>
      <c r="OCK1" s="536"/>
      <c r="OCL1" s="536"/>
      <c r="OCM1" s="536"/>
      <c r="OCN1" s="536"/>
      <c r="OCO1" s="536"/>
      <c r="OCP1" s="536"/>
      <c r="OCQ1" s="536"/>
      <c r="OCR1" s="536"/>
      <c r="OCS1" s="536"/>
      <c r="OCT1" s="536"/>
      <c r="OCU1" s="536"/>
      <c r="OCV1" s="536"/>
      <c r="OCW1" s="536"/>
      <c r="OCX1" s="536"/>
      <c r="OCY1" s="536"/>
      <c r="OCZ1" s="536"/>
      <c r="ODA1" s="536"/>
      <c r="ODB1" s="536"/>
      <c r="ODC1" s="536"/>
      <c r="ODD1" s="536"/>
      <c r="ODE1" s="536"/>
      <c r="ODF1" s="536"/>
      <c r="ODG1" s="536"/>
      <c r="ODH1" s="536"/>
      <c r="ODI1" s="536"/>
      <c r="ODJ1" s="536"/>
      <c r="ODK1" s="536"/>
      <c r="ODL1" s="536"/>
      <c r="ODM1" s="536"/>
      <c r="ODN1" s="536"/>
      <c r="ODO1" s="536"/>
      <c r="ODP1" s="536"/>
      <c r="ODQ1" s="536"/>
      <c r="ODR1" s="536"/>
      <c r="ODS1" s="536"/>
      <c r="ODT1" s="536"/>
      <c r="ODU1" s="536"/>
      <c r="ODV1" s="536"/>
      <c r="ODW1" s="536"/>
      <c r="ODX1" s="536"/>
      <c r="ODY1" s="536"/>
      <c r="ODZ1" s="536"/>
      <c r="OEA1" s="536"/>
      <c r="OEB1" s="536"/>
      <c r="OEC1" s="536"/>
      <c r="OED1" s="536"/>
      <c r="OEE1" s="536"/>
      <c r="OEF1" s="536"/>
      <c r="OEG1" s="536"/>
      <c r="OEH1" s="536"/>
      <c r="OEI1" s="536"/>
      <c r="OEJ1" s="536"/>
      <c r="OEK1" s="536"/>
      <c r="OEL1" s="536"/>
      <c r="OEM1" s="536"/>
      <c r="OEN1" s="536"/>
      <c r="OEO1" s="536"/>
      <c r="OEP1" s="536"/>
      <c r="OEQ1" s="536"/>
      <c r="OER1" s="536"/>
      <c r="OES1" s="536"/>
      <c r="OET1" s="536"/>
      <c r="OEU1" s="536"/>
      <c r="OEV1" s="536"/>
      <c r="OEW1" s="536"/>
      <c r="OEX1" s="536"/>
      <c r="OEY1" s="536"/>
      <c r="OEZ1" s="536"/>
      <c r="OFA1" s="536"/>
      <c r="OFB1" s="536"/>
      <c r="OFC1" s="536"/>
      <c r="OFD1" s="536"/>
      <c r="OFE1" s="536"/>
      <c r="OFF1" s="536"/>
      <c r="OFG1" s="536"/>
      <c r="OFH1" s="536"/>
      <c r="OFI1" s="536"/>
      <c r="OFJ1" s="536"/>
      <c r="OFK1" s="536"/>
      <c r="OFL1" s="536"/>
      <c r="OFM1" s="536"/>
      <c r="OFN1" s="536"/>
      <c r="OFO1" s="536"/>
      <c r="OFP1" s="536"/>
      <c r="OFQ1" s="536"/>
      <c r="OFR1" s="536"/>
      <c r="OFS1" s="536"/>
      <c r="OFT1" s="536"/>
      <c r="OFU1" s="536"/>
      <c r="OFV1" s="536"/>
      <c r="OFW1" s="536"/>
      <c r="OFX1" s="536"/>
      <c r="OFY1" s="536"/>
      <c r="OFZ1" s="536"/>
      <c r="OGA1" s="536"/>
      <c r="OGB1" s="536"/>
      <c r="OGC1" s="536"/>
      <c r="OGD1" s="536"/>
      <c r="OGE1" s="536"/>
      <c r="OGF1" s="536"/>
      <c r="OGG1" s="536"/>
      <c r="OGH1" s="536"/>
      <c r="OGI1" s="536"/>
      <c r="OGJ1" s="536"/>
      <c r="OGK1" s="536"/>
      <c r="OGL1" s="536"/>
      <c r="OGM1" s="536"/>
      <c r="OGN1" s="536"/>
      <c r="OGO1" s="536"/>
      <c r="OGP1" s="536"/>
      <c r="OGQ1" s="536"/>
      <c r="OGR1" s="536"/>
      <c r="OGS1" s="536"/>
      <c r="OGT1" s="536"/>
      <c r="OGU1" s="536"/>
      <c r="OGV1" s="536"/>
      <c r="OGW1" s="536"/>
      <c r="OGX1" s="536"/>
      <c r="OGY1" s="536"/>
      <c r="OGZ1" s="536"/>
      <c r="OHA1" s="536"/>
      <c r="OHB1" s="536"/>
      <c r="OHC1" s="536"/>
      <c r="OHD1" s="536"/>
      <c r="OHE1" s="536"/>
      <c r="OHF1" s="536"/>
      <c r="OHG1" s="536"/>
      <c r="OHH1" s="536"/>
      <c r="OHI1" s="536"/>
      <c r="OHJ1" s="536"/>
      <c r="OHK1" s="536"/>
      <c r="OHL1" s="536"/>
      <c r="OHM1" s="536"/>
      <c r="OHN1" s="536"/>
      <c r="OHO1" s="536"/>
      <c r="OHP1" s="536"/>
      <c r="OHQ1" s="536"/>
      <c r="OHR1" s="536"/>
      <c r="OHS1" s="536"/>
      <c r="OHT1" s="536"/>
      <c r="OHU1" s="536"/>
      <c r="OHV1" s="536"/>
      <c r="OHW1" s="536"/>
      <c r="OHX1" s="536"/>
      <c r="OHY1" s="536"/>
      <c r="OHZ1" s="536"/>
      <c r="OIA1" s="536"/>
      <c r="OIB1" s="536"/>
      <c r="OIC1" s="536"/>
      <c r="OID1" s="536"/>
      <c r="OIE1" s="536"/>
      <c r="OIF1" s="536"/>
      <c r="OIG1" s="536"/>
      <c r="OIH1" s="536"/>
      <c r="OII1" s="536"/>
      <c r="OIJ1" s="536"/>
      <c r="OIK1" s="536"/>
      <c r="OIL1" s="536"/>
      <c r="OIM1" s="536"/>
      <c r="OIN1" s="536"/>
      <c r="OIO1" s="536"/>
      <c r="OIP1" s="536"/>
      <c r="OIQ1" s="536"/>
      <c r="OIR1" s="536"/>
      <c r="OIS1" s="536"/>
      <c r="OIT1" s="536"/>
      <c r="OIU1" s="536"/>
      <c r="OIV1" s="536"/>
      <c r="OIW1" s="536"/>
      <c r="OIX1" s="536"/>
      <c r="OIY1" s="536"/>
      <c r="OIZ1" s="536"/>
      <c r="OJA1" s="536"/>
      <c r="OJB1" s="536"/>
      <c r="OJC1" s="536"/>
      <c r="OJD1" s="536"/>
      <c r="OJE1" s="536"/>
      <c r="OJF1" s="536"/>
      <c r="OJG1" s="536"/>
      <c r="OJH1" s="536"/>
      <c r="OJI1" s="536"/>
      <c r="OJJ1" s="536"/>
      <c r="OJK1" s="536"/>
      <c r="OJL1" s="536"/>
      <c r="OJM1" s="536"/>
      <c r="OJN1" s="536"/>
      <c r="OJO1" s="536"/>
      <c r="OJP1" s="536"/>
      <c r="OJQ1" s="536"/>
      <c r="OJR1" s="536"/>
      <c r="OJS1" s="536"/>
      <c r="OJT1" s="536"/>
      <c r="OJU1" s="536"/>
      <c r="OJV1" s="536"/>
      <c r="OJW1" s="536"/>
      <c r="OJX1" s="536"/>
      <c r="OJY1" s="536"/>
      <c r="OJZ1" s="536"/>
      <c r="OKA1" s="536"/>
      <c r="OKB1" s="536"/>
      <c r="OKC1" s="536"/>
      <c r="OKD1" s="536"/>
      <c r="OKE1" s="536"/>
      <c r="OKF1" s="536"/>
      <c r="OKG1" s="536"/>
      <c r="OKH1" s="536"/>
      <c r="OKI1" s="536"/>
      <c r="OKJ1" s="536"/>
      <c r="OKK1" s="536"/>
      <c r="OKL1" s="536"/>
      <c r="OKM1" s="536"/>
      <c r="OKN1" s="536"/>
      <c r="OKO1" s="536"/>
      <c r="OKP1" s="536"/>
      <c r="OKQ1" s="536"/>
      <c r="OKR1" s="536"/>
      <c r="OKS1" s="536"/>
      <c r="OKT1" s="536"/>
      <c r="OKU1" s="536"/>
      <c r="OKV1" s="536"/>
      <c r="OKW1" s="536"/>
      <c r="OKX1" s="536"/>
      <c r="OKY1" s="536"/>
      <c r="OKZ1" s="536"/>
      <c r="OLA1" s="536"/>
      <c r="OLB1" s="536"/>
      <c r="OLC1" s="536"/>
      <c r="OLD1" s="536"/>
      <c r="OLE1" s="536"/>
      <c r="OLF1" s="536"/>
      <c r="OLG1" s="536"/>
      <c r="OLH1" s="536"/>
      <c r="OLI1" s="536"/>
      <c r="OLJ1" s="536"/>
      <c r="OLK1" s="536"/>
      <c r="OLL1" s="536"/>
      <c r="OLM1" s="536"/>
      <c r="OLN1" s="536"/>
      <c r="OLO1" s="536"/>
      <c r="OLP1" s="536"/>
      <c r="OLQ1" s="536"/>
      <c r="OLR1" s="536"/>
      <c r="OLS1" s="536"/>
      <c r="OLT1" s="536"/>
      <c r="OLU1" s="536"/>
      <c r="OLV1" s="536"/>
      <c r="OLW1" s="536"/>
      <c r="OLX1" s="536"/>
      <c r="OLY1" s="536"/>
      <c r="OLZ1" s="536"/>
      <c r="OMA1" s="536"/>
      <c r="OMB1" s="536"/>
      <c r="OMC1" s="536"/>
      <c r="OMD1" s="536"/>
      <c r="OME1" s="536"/>
      <c r="OMF1" s="536"/>
      <c r="OMG1" s="536"/>
      <c r="OMH1" s="536"/>
      <c r="OMI1" s="536"/>
      <c r="OMJ1" s="536"/>
      <c r="OMK1" s="536"/>
      <c r="OML1" s="536"/>
      <c r="OMM1" s="536"/>
      <c r="OMN1" s="536"/>
      <c r="OMO1" s="536"/>
      <c r="OMP1" s="536"/>
      <c r="OMQ1" s="536"/>
      <c r="OMR1" s="536"/>
      <c r="OMS1" s="536"/>
      <c r="OMT1" s="536"/>
      <c r="OMU1" s="536"/>
      <c r="OMV1" s="536"/>
      <c r="OMW1" s="536"/>
      <c r="OMX1" s="536"/>
      <c r="OMY1" s="536"/>
      <c r="OMZ1" s="536"/>
      <c r="ONA1" s="536"/>
      <c r="ONB1" s="536"/>
      <c r="ONC1" s="536"/>
      <c r="OND1" s="536"/>
      <c r="ONE1" s="536"/>
      <c r="ONF1" s="536"/>
      <c r="ONG1" s="536"/>
      <c r="ONH1" s="536"/>
      <c r="ONI1" s="536"/>
      <c r="ONJ1" s="536"/>
      <c r="ONK1" s="536"/>
      <c r="ONL1" s="536"/>
      <c r="ONM1" s="536"/>
      <c r="ONN1" s="536"/>
      <c r="ONO1" s="536"/>
      <c r="ONP1" s="536"/>
      <c r="ONQ1" s="536"/>
      <c r="ONR1" s="536"/>
      <c r="ONS1" s="536"/>
      <c r="ONT1" s="536"/>
      <c r="ONU1" s="536"/>
      <c r="ONV1" s="536"/>
      <c r="ONW1" s="536"/>
      <c r="ONX1" s="536"/>
      <c r="ONY1" s="536"/>
      <c r="ONZ1" s="536"/>
      <c r="OOA1" s="536"/>
      <c r="OOB1" s="536"/>
      <c r="OOC1" s="536"/>
      <c r="OOD1" s="536"/>
      <c r="OOE1" s="536"/>
      <c r="OOF1" s="536"/>
      <c r="OOG1" s="536"/>
      <c r="OOH1" s="536"/>
      <c r="OOI1" s="536"/>
      <c r="OOJ1" s="536"/>
      <c r="OOK1" s="536"/>
      <c r="OOL1" s="536"/>
      <c r="OOM1" s="536"/>
      <c r="OON1" s="536"/>
      <c r="OOO1" s="536"/>
      <c r="OOP1" s="536"/>
      <c r="OOQ1" s="536"/>
      <c r="OOR1" s="536"/>
      <c r="OOS1" s="536"/>
      <c r="OOT1" s="536"/>
      <c r="OOU1" s="536"/>
      <c r="OOV1" s="536"/>
      <c r="OOW1" s="536"/>
      <c r="OOX1" s="536"/>
      <c r="OOY1" s="536"/>
      <c r="OOZ1" s="536"/>
      <c r="OPA1" s="536"/>
      <c r="OPB1" s="536"/>
      <c r="OPC1" s="536"/>
      <c r="OPD1" s="536"/>
      <c r="OPE1" s="536"/>
      <c r="OPF1" s="536"/>
      <c r="OPG1" s="536"/>
      <c r="OPH1" s="536"/>
      <c r="OPI1" s="536"/>
      <c r="OPJ1" s="536"/>
      <c r="OPK1" s="536"/>
      <c r="OPL1" s="536"/>
      <c r="OPM1" s="536"/>
      <c r="OPN1" s="536"/>
      <c r="OPO1" s="536"/>
      <c r="OPP1" s="536"/>
      <c r="OPQ1" s="536"/>
      <c r="OPR1" s="536"/>
      <c r="OPS1" s="536"/>
      <c r="OPT1" s="536"/>
      <c r="OPU1" s="536"/>
      <c r="OPV1" s="536"/>
      <c r="OPW1" s="536"/>
      <c r="OPX1" s="536"/>
      <c r="OPY1" s="536"/>
      <c r="OPZ1" s="536"/>
      <c r="OQA1" s="536"/>
      <c r="OQB1" s="536"/>
      <c r="OQC1" s="536"/>
      <c r="OQD1" s="536"/>
      <c r="OQE1" s="536"/>
      <c r="OQF1" s="536"/>
      <c r="OQG1" s="536"/>
      <c r="OQH1" s="536"/>
      <c r="OQI1" s="536"/>
      <c r="OQJ1" s="536"/>
      <c r="OQK1" s="536"/>
      <c r="OQL1" s="536"/>
      <c r="OQM1" s="536"/>
      <c r="OQN1" s="536"/>
      <c r="OQO1" s="536"/>
      <c r="OQP1" s="536"/>
      <c r="OQQ1" s="536"/>
      <c r="OQR1" s="536"/>
      <c r="OQS1" s="536"/>
      <c r="OQT1" s="536"/>
      <c r="OQU1" s="536"/>
      <c r="OQV1" s="536"/>
      <c r="OQW1" s="536"/>
      <c r="OQX1" s="536"/>
      <c r="OQY1" s="536"/>
      <c r="OQZ1" s="536"/>
      <c r="ORA1" s="536"/>
      <c r="ORB1" s="536"/>
      <c r="ORC1" s="536"/>
      <c r="ORD1" s="536"/>
      <c r="ORE1" s="536"/>
      <c r="ORF1" s="536"/>
      <c r="ORG1" s="536"/>
      <c r="ORH1" s="536"/>
      <c r="ORI1" s="536"/>
      <c r="ORJ1" s="536"/>
      <c r="ORK1" s="536"/>
      <c r="ORL1" s="536"/>
      <c r="ORM1" s="536"/>
      <c r="ORN1" s="536"/>
      <c r="ORO1" s="536"/>
      <c r="ORP1" s="536"/>
      <c r="ORQ1" s="536"/>
      <c r="ORR1" s="536"/>
      <c r="ORS1" s="536"/>
      <c r="ORT1" s="536"/>
      <c r="ORU1" s="536"/>
      <c r="ORV1" s="536"/>
      <c r="ORW1" s="536"/>
      <c r="ORX1" s="536"/>
      <c r="ORY1" s="536"/>
      <c r="ORZ1" s="536"/>
      <c r="OSA1" s="536"/>
      <c r="OSB1" s="536"/>
      <c r="OSC1" s="536"/>
      <c r="OSD1" s="536"/>
      <c r="OSE1" s="536"/>
      <c r="OSF1" s="536"/>
      <c r="OSG1" s="536"/>
      <c r="OSH1" s="536"/>
      <c r="OSI1" s="536"/>
      <c r="OSJ1" s="536"/>
      <c r="OSK1" s="536"/>
      <c r="OSL1" s="536"/>
      <c r="OSM1" s="536"/>
      <c r="OSN1" s="536"/>
      <c r="OSO1" s="536"/>
      <c r="OSP1" s="536"/>
      <c r="OSQ1" s="536"/>
      <c r="OSR1" s="536"/>
      <c r="OSS1" s="536"/>
      <c r="OST1" s="536"/>
      <c r="OSU1" s="536"/>
      <c r="OSV1" s="536"/>
      <c r="OSW1" s="536"/>
      <c r="OSX1" s="536"/>
      <c r="OSY1" s="536"/>
      <c r="OSZ1" s="536"/>
      <c r="OTA1" s="536"/>
      <c r="OTB1" s="536"/>
      <c r="OTC1" s="536"/>
      <c r="OTD1" s="536"/>
      <c r="OTE1" s="536"/>
      <c r="OTF1" s="536"/>
      <c r="OTG1" s="536"/>
      <c r="OTH1" s="536"/>
      <c r="OTI1" s="536"/>
      <c r="OTJ1" s="536"/>
      <c r="OTK1" s="536"/>
      <c r="OTL1" s="536"/>
      <c r="OTM1" s="536"/>
      <c r="OTN1" s="536"/>
      <c r="OTO1" s="536"/>
      <c r="OTP1" s="536"/>
      <c r="OTQ1" s="536"/>
      <c r="OTR1" s="536"/>
      <c r="OTS1" s="536"/>
      <c r="OTT1" s="536"/>
      <c r="OTU1" s="536"/>
      <c r="OTV1" s="536"/>
      <c r="OTW1" s="536"/>
      <c r="OTX1" s="536"/>
      <c r="OTY1" s="536"/>
      <c r="OTZ1" s="536"/>
      <c r="OUA1" s="536"/>
      <c r="OUB1" s="536"/>
      <c r="OUC1" s="536"/>
      <c r="OUD1" s="536"/>
      <c r="OUE1" s="536"/>
      <c r="OUF1" s="536"/>
      <c r="OUG1" s="536"/>
      <c r="OUH1" s="536"/>
      <c r="OUI1" s="536"/>
      <c r="OUJ1" s="536"/>
      <c r="OUK1" s="536"/>
      <c r="OUL1" s="536"/>
      <c r="OUM1" s="536"/>
      <c r="OUN1" s="536"/>
      <c r="OUO1" s="536"/>
      <c r="OUP1" s="536"/>
      <c r="OUQ1" s="536"/>
      <c r="OUR1" s="536"/>
      <c r="OUS1" s="536"/>
      <c r="OUT1" s="536"/>
      <c r="OUU1" s="536"/>
      <c r="OUV1" s="536"/>
      <c r="OUW1" s="536"/>
      <c r="OUX1" s="536"/>
      <c r="OUY1" s="536"/>
      <c r="OUZ1" s="536"/>
      <c r="OVA1" s="536"/>
      <c r="OVB1" s="536"/>
      <c r="OVC1" s="536"/>
      <c r="OVD1" s="536"/>
      <c r="OVE1" s="536"/>
      <c r="OVF1" s="536"/>
      <c r="OVG1" s="536"/>
      <c r="OVH1" s="536"/>
      <c r="OVI1" s="536"/>
      <c r="OVJ1" s="536"/>
      <c r="OVK1" s="536"/>
      <c r="OVL1" s="536"/>
      <c r="OVM1" s="536"/>
      <c r="OVN1" s="536"/>
      <c r="OVO1" s="536"/>
      <c r="OVP1" s="536"/>
      <c r="OVQ1" s="536"/>
      <c r="OVR1" s="536"/>
      <c r="OVS1" s="536"/>
      <c r="OVT1" s="536"/>
      <c r="OVU1" s="536"/>
      <c r="OVV1" s="536"/>
      <c r="OVW1" s="536"/>
      <c r="OVX1" s="536"/>
      <c r="OVY1" s="536"/>
      <c r="OVZ1" s="536"/>
      <c r="OWA1" s="536"/>
      <c r="OWB1" s="536"/>
      <c r="OWC1" s="536"/>
      <c r="OWD1" s="536"/>
      <c r="OWE1" s="536"/>
      <c r="OWF1" s="536"/>
      <c r="OWG1" s="536"/>
      <c r="OWH1" s="536"/>
      <c r="OWI1" s="536"/>
      <c r="OWJ1" s="536"/>
      <c r="OWK1" s="536"/>
      <c r="OWL1" s="536"/>
      <c r="OWM1" s="536"/>
      <c r="OWN1" s="536"/>
      <c r="OWO1" s="536"/>
      <c r="OWP1" s="536"/>
      <c r="OWQ1" s="536"/>
      <c r="OWR1" s="536"/>
      <c r="OWS1" s="536"/>
      <c r="OWT1" s="536"/>
      <c r="OWU1" s="536"/>
      <c r="OWV1" s="536"/>
      <c r="OWW1" s="536"/>
      <c r="OWX1" s="536"/>
      <c r="OWY1" s="536"/>
      <c r="OWZ1" s="536"/>
      <c r="OXA1" s="536"/>
      <c r="OXB1" s="536"/>
      <c r="OXC1" s="536"/>
      <c r="OXD1" s="536"/>
      <c r="OXE1" s="536"/>
      <c r="OXF1" s="536"/>
      <c r="OXG1" s="536"/>
      <c r="OXH1" s="536"/>
      <c r="OXI1" s="536"/>
      <c r="OXJ1" s="536"/>
      <c r="OXK1" s="536"/>
      <c r="OXL1" s="536"/>
      <c r="OXM1" s="536"/>
      <c r="OXN1" s="536"/>
      <c r="OXO1" s="536"/>
      <c r="OXP1" s="536"/>
      <c r="OXQ1" s="536"/>
      <c r="OXR1" s="536"/>
      <c r="OXS1" s="536"/>
      <c r="OXT1" s="536"/>
      <c r="OXU1" s="536"/>
      <c r="OXV1" s="536"/>
      <c r="OXW1" s="536"/>
      <c r="OXX1" s="536"/>
      <c r="OXY1" s="536"/>
      <c r="OXZ1" s="536"/>
      <c r="OYA1" s="536"/>
      <c r="OYB1" s="536"/>
      <c r="OYC1" s="536"/>
      <c r="OYD1" s="536"/>
      <c r="OYE1" s="536"/>
      <c r="OYF1" s="536"/>
      <c r="OYG1" s="536"/>
      <c r="OYH1" s="536"/>
      <c r="OYI1" s="536"/>
      <c r="OYJ1" s="536"/>
      <c r="OYK1" s="536"/>
      <c r="OYL1" s="536"/>
      <c r="OYM1" s="536"/>
      <c r="OYN1" s="536"/>
      <c r="OYO1" s="536"/>
      <c r="OYP1" s="536"/>
      <c r="OYQ1" s="536"/>
      <c r="OYR1" s="536"/>
      <c r="OYS1" s="536"/>
      <c r="OYT1" s="536"/>
      <c r="OYU1" s="536"/>
      <c r="OYV1" s="536"/>
      <c r="OYW1" s="536"/>
      <c r="OYX1" s="536"/>
      <c r="OYY1" s="536"/>
      <c r="OYZ1" s="536"/>
      <c r="OZA1" s="536"/>
      <c r="OZB1" s="536"/>
      <c r="OZC1" s="536"/>
      <c r="OZD1" s="536"/>
      <c r="OZE1" s="536"/>
      <c r="OZF1" s="536"/>
      <c r="OZG1" s="536"/>
      <c r="OZH1" s="536"/>
      <c r="OZI1" s="536"/>
      <c r="OZJ1" s="536"/>
      <c r="OZK1" s="536"/>
      <c r="OZL1" s="536"/>
      <c r="OZM1" s="536"/>
      <c r="OZN1" s="536"/>
      <c r="OZO1" s="536"/>
      <c r="OZP1" s="536"/>
      <c r="OZQ1" s="536"/>
      <c r="OZR1" s="536"/>
      <c r="OZS1" s="536"/>
      <c r="OZT1" s="536"/>
      <c r="OZU1" s="536"/>
      <c r="OZV1" s="536"/>
      <c r="OZW1" s="536"/>
      <c r="OZX1" s="536"/>
      <c r="OZY1" s="536"/>
      <c r="OZZ1" s="536"/>
      <c r="PAA1" s="536"/>
      <c r="PAB1" s="536"/>
      <c r="PAC1" s="536"/>
      <c r="PAD1" s="536"/>
      <c r="PAE1" s="536"/>
      <c r="PAF1" s="536"/>
      <c r="PAG1" s="536"/>
      <c r="PAH1" s="536"/>
      <c r="PAI1" s="536"/>
      <c r="PAJ1" s="536"/>
      <c r="PAK1" s="536"/>
      <c r="PAL1" s="536"/>
      <c r="PAM1" s="536"/>
      <c r="PAN1" s="536"/>
      <c r="PAO1" s="536"/>
      <c r="PAP1" s="536"/>
      <c r="PAQ1" s="536"/>
      <c r="PAR1" s="536"/>
      <c r="PAS1" s="536"/>
      <c r="PAT1" s="536"/>
      <c r="PAU1" s="536"/>
      <c r="PAV1" s="536"/>
      <c r="PAW1" s="536"/>
      <c r="PAX1" s="536"/>
      <c r="PAY1" s="536"/>
      <c r="PAZ1" s="536"/>
      <c r="PBA1" s="536"/>
      <c r="PBB1" s="536"/>
      <c r="PBC1" s="536"/>
      <c r="PBD1" s="536"/>
      <c r="PBE1" s="536"/>
      <c r="PBF1" s="536"/>
      <c r="PBG1" s="536"/>
      <c r="PBH1" s="536"/>
      <c r="PBI1" s="536"/>
      <c r="PBJ1" s="536"/>
      <c r="PBK1" s="536"/>
      <c r="PBL1" s="536"/>
      <c r="PBM1" s="536"/>
      <c r="PBN1" s="536"/>
      <c r="PBO1" s="536"/>
      <c r="PBP1" s="536"/>
      <c r="PBQ1" s="536"/>
      <c r="PBR1" s="536"/>
      <c r="PBS1" s="536"/>
      <c r="PBT1" s="536"/>
      <c r="PBU1" s="536"/>
      <c r="PBV1" s="536"/>
      <c r="PBW1" s="536"/>
      <c r="PBX1" s="536"/>
      <c r="PBY1" s="536"/>
      <c r="PBZ1" s="536"/>
      <c r="PCA1" s="536"/>
      <c r="PCB1" s="536"/>
      <c r="PCC1" s="536"/>
      <c r="PCD1" s="536"/>
      <c r="PCE1" s="536"/>
      <c r="PCF1" s="536"/>
      <c r="PCG1" s="536"/>
      <c r="PCH1" s="536"/>
      <c r="PCI1" s="536"/>
      <c r="PCJ1" s="536"/>
      <c r="PCK1" s="536"/>
      <c r="PCL1" s="536"/>
      <c r="PCM1" s="536"/>
      <c r="PCN1" s="536"/>
      <c r="PCO1" s="536"/>
      <c r="PCP1" s="536"/>
      <c r="PCQ1" s="536"/>
      <c r="PCR1" s="536"/>
      <c r="PCS1" s="536"/>
      <c r="PCT1" s="536"/>
      <c r="PCU1" s="536"/>
      <c r="PCV1" s="536"/>
      <c r="PCW1" s="536"/>
      <c r="PCX1" s="536"/>
      <c r="PCY1" s="536"/>
      <c r="PCZ1" s="536"/>
      <c r="PDA1" s="536"/>
      <c r="PDB1" s="536"/>
      <c r="PDC1" s="536"/>
      <c r="PDD1" s="536"/>
      <c r="PDE1" s="536"/>
      <c r="PDF1" s="536"/>
      <c r="PDG1" s="536"/>
      <c r="PDH1" s="536"/>
      <c r="PDI1" s="536"/>
      <c r="PDJ1" s="536"/>
      <c r="PDK1" s="536"/>
      <c r="PDL1" s="536"/>
      <c r="PDM1" s="536"/>
      <c r="PDN1" s="536"/>
      <c r="PDO1" s="536"/>
      <c r="PDP1" s="536"/>
      <c r="PDQ1" s="536"/>
      <c r="PDR1" s="536"/>
      <c r="PDS1" s="536"/>
      <c r="PDT1" s="536"/>
      <c r="PDU1" s="536"/>
      <c r="PDV1" s="536"/>
      <c r="PDW1" s="536"/>
      <c r="PDX1" s="536"/>
      <c r="PDY1" s="536"/>
      <c r="PDZ1" s="536"/>
      <c r="PEA1" s="536"/>
      <c r="PEB1" s="536"/>
      <c r="PEC1" s="536"/>
      <c r="PED1" s="536"/>
      <c r="PEE1" s="536"/>
      <c r="PEF1" s="536"/>
      <c r="PEG1" s="536"/>
      <c r="PEH1" s="536"/>
      <c r="PEI1" s="536"/>
      <c r="PEJ1" s="536"/>
      <c r="PEK1" s="536"/>
      <c r="PEL1" s="536"/>
      <c r="PEM1" s="536"/>
      <c r="PEN1" s="536"/>
      <c r="PEO1" s="536"/>
      <c r="PEP1" s="536"/>
      <c r="PEQ1" s="536"/>
      <c r="PER1" s="536"/>
      <c r="PES1" s="536"/>
      <c r="PET1" s="536"/>
      <c r="PEU1" s="536"/>
      <c r="PEV1" s="536"/>
      <c r="PEW1" s="536"/>
      <c r="PEX1" s="536"/>
      <c r="PEY1" s="536"/>
      <c r="PEZ1" s="536"/>
      <c r="PFA1" s="536"/>
      <c r="PFB1" s="536"/>
      <c r="PFC1" s="536"/>
      <c r="PFD1" s="536"/>
      <c r="PFE1" s="536"/>
      <c r="PFF1" s="536"/>
      <c r="PFG1" s="536"/>
      <c r="PFH1" s="536"/>
      <c r="PFI1" s="536"/>
      <c r="PFJ1" s="536"/>
      <c r="PFK1" s="536"/>
      <c r="PFL1" s="536"/>
      <c r="PFM1" s="536"/>
      <c r="PFN1" s="536"/>
      <c r="PFO1" s="536"/>
      <c r="PFP1" s="536"/>
      <c r="PFQ1" s="536"/>
      <c r="PFR1" s="536"/>
      <c r="PFS1" s="536"/>
      <c r="PFT1" s="536"/>
      <c r="PFU1" s="536"/>
      <c r="PFV1" s="536"/>
      <c r="PFW1" s="536"/>
      <c r="PFX1" s="536"/>
      <c r="PFY1" s="536"/>
      <c r="PFZ1" s="536"/>
      <c r="PGA1" s="536"/>
      <c r="PGB1" s="536"/>
      <c r="PGC1" s="536"/>
      <c r="PGD1" s="536"/>
      <c r="PGE1" s="536"/>
      <c r="PGF1" s="536"/>
      <c r="PGG1" s="536"/>
      <c r="PGH1" s="536"/>
      <c r="PGI1" s="536"/>
      <c r="PGJ1" s="536"/>
      <c r="PGK1" s="536"/>
      <c r="PGL1" s="536"/>
      <c r="PGM1" s="536"/>
      <c r="PGN1" s="536"/>
      <c r="PGO1" s="536"/>
      <c r="PGP1" s="536"/>
      <c r="PGQ1" s="536"/>
      <c r="PGR1" s="536"/>
      <c r="PGS1" s="536"/>
      <c r="PGT1" s="536"/>
      <c r="PGU1" s="536"/>
      <c r="PGV1" s="536"/>
      <c r="PGW1" s="536"/>
      <c r="PGX1" s="536"/>
      <c r="PGY1" s="536"/>
      <c r="PGZ1" s="536"/>
      <c r="PHA1" s="536"/>
      <c r="PHB1" s="536"/>
      <c r="PHC1" s="536"/>
      <c r="PHD1" s="536"/>
      <c r="PHE1" s="536"/>
      <c r="PHF1" s="536"/>
      <c r="PHG1" s="536"/>
      <c r="PHH1" s="536"/>
      <c r="PHI1" s="536"/>
      <c r="PHJ1" s="536"/>
      <c r="PHK1" s="536"/>
      <c r="PHL1" s="536"/>
      <c r="PHM1" s="536"/>
      <c r="PHN1" s="536"/>
      <c r="PHO1" s="536"/>
      <c r="PHP1" s="536"/>
      <c r="PHQ1" s="536"/>
      <c r="PHR1" s="536"/>
      <c r="PHS1" s="536"/>
      <c r="PHT1" s="536"/>
      <c r="PHU1" s="536"/>
      <c r="PHV1" s="536"/>
      <c r="PHW1" s="536"/>
      <c r="PHX1" s="536"/>
      <c r="PHY1" s="536"/>
      <c r="PHZ1" s="536"/>
      <c r="PIA1" s="536"/>
      <c r="PIB1" s="536"/>
      <c r="PIC1" s="536"/>
      <c r="PID1" s="536"/>
      <c r="PIE1" s="536"/>
      <c r="PIF1" s="536"/>
      <c r="PIG1" s="536"/>
      <c r="PIH1" s="536"/>
      <c r="PII1" s="536"/>
      <c r="PIJ1" s="536"/>
      <c r="PIK1" s="536"/>
      <c r="PIL1" s="536"/>
      <c r="PIM1" s="536"/>
      <c r="PIN1" s="536"/>
      <c r="PIO1" s="536"/>
      <c r="PIP1" s="536"/>
      <c r="PIQ1" s="536"/>
      <c r="PIR1" s="536"/>
      <c r="PIS1" s="536"/>
      <c r="PIT1" s="536"/>
      <c r="PIU1" s="536"/>
      <c r="PIV1" s="536"/>
      <c r="PIW1" s="536"/>
      <c r="PIX1" s="536"/>
      <c r="PIY1" s="536"/>
      <c r="PIZ1" s="536"/>
      <c r="PJA1" s="536"/>
      <c r="PJB1" s="536"/>
      <c r="PJC1" s="536"/>
      <c r="PJD1" s="536"/>
      <c r="PJE1" s="536"/>
      <c r="PJF1" s="536"/>
      <c r="PJG1" s="536"/>
      <c r="PJH1" s="536"/>
      <c r="PJI1" s="536"/>
      <c r="PJJ1" s="536"/>
      <c r="PJK1" s="536"/>
      <c r="PJL1" s="536"/>
      <c r="PJM1" s="536"/>
      <c r="PJN1" s="536"/>
      <c r="PJO1" s="536"/>
      <c r="PJP1" s="536"/>
      <c r="PJQ1" s="536"/>
      <c r="PJR1" s="536"/>
      <c r="PJS1" s="536"/>
      <c r="PJT1" s="536"/>
      <c r="PJU1" s="536"/>
      <c r="PJV1" s="536"/>
      <c r="PJW1" s="536"/>
      <c r="PJX1" s="536"/>
      <c r="PJY1" s="536"/>
      <c r="PJZ1" s="536"/>
      <c r="PKA1" s="536"/>
      <c r="PKB1" s="536"/>
      <c r="PKC1" s="536"/>
      <c r="PKD1" s="536"/>
      <c r="PKE1" s="536"/>
      <c r="PKF1" s="536"/>
      <c r="PKG1" s="536"/>
      <c r="PKH1" s="536"/>
      <c r="PKI1" s="536"/>
      <c r="PKJ1" s="536"/>
      <c r="PKK1" s="536"/>
      <c r="PKL1" s="536"/>
      <c r="PKM1" s="536"/>
      <c r="PKN1" s="536"/>
      <c r="PKO1" s="536"/>
      <c r="PKP1" s="536"/>
      <c r="PKQ1" s="536"/>
      <c r="PKR1" s="536"/>
      <c r="PKS1" s="536"/>
      <c r="PKT1" s="536"/>
      <c r="PKU1" s="536"/>
      <c r="PKV1" s="536"/>
      <c r="PKW1" s="536"/>
      <c r="PKX1" s="536"/>
      <c r="PKY1" s="536"/>
      <c r="PKZ1" s="536"/>
      <c r="PLA1" s="536"/>
      <c r="PLB1" s="536"/>
      <c r="PLC1" s="536"/>
      <c r="PLD1" s="536"/>
      <c r="PLE1" s="536"/>
      <c r="PLF1" s="536"/>
      <c r="PLG1" s="536"/>
      <c r="PLH1" s="536"/>
      <c r="PLI1" s="536"/>
      <c r="PLJ1" s="536"/>
      <c r="PLK1" s="536"/>
      <c r="PLL1" s="536"/>
      <c r="PLM1" s="536"/>
      <c r="PLN1" s="536"/>
      <c r="PLO1" s="536"/>
      <c r="PLP1" s="536"/>
      <c r="PLQ1" s="536"/>
      <c r="PLR1" s="536"/>
      <c r="PLS1" s="536"/>
      <c r="PLT1" s="536"/>
      <c r="PLU1" s="536"/>
      <c r="PLV1" s="536"/>
      <c r="PLW1" s="536"/>
      <c r="PLX1" s="536"/>
      <c r="PLY1" s="536"/>
      <c r="PLZ1" s="536"/>
      <c r="PMA1" s="536"/>
      <c r="PMB1" s="536"/>
      <c r="PMC1" s="536"/>
      <c r="PMD1" s="536"/>
      <c r="PME1" s="536"/>
      <c r="PMF1" s="536"/>
      <c r="PMG1" s="536"/>
      <c r="PMH1" s="536"/>
      <c r="PMI1" s="536"/>
      <c r="PMJ1" s="536"/>
      <c r="PMK1" s="536"/>
      <c r="PML1" s="536"/>
      <c r="PMM1" s="536"/>
      <c r="PMN1" s="536"/>
      <c r="PMO1" s="536"/>
      <c r="PMP1" s="536"/>
      <c r="PMQ1" s="536"/>
      <c r="PMR1" s="536"/>
      <c r="PMS1" s="536"/>
      <c r="PMT1" s="536"/>
      <c r="PMU1" s="536"/>
      <c r="PMV1" s="536"/>
      <c r="PMW1" s="536"/>
      <c r="PMX1" s="536"/>
      <c r="PMY1" s="536"/>
      <c r="PMZ1" s="536"/>
      <c r="PNA1" s="536"/>
      <c r="PNB1" s="536"/>
      <c r="PNC1" s="536"/>
      <c r="PND1" s="536"/>
      <c r="PNE1" s="536"/>
      <c r="PNF1" s="536"/>
      <c r="PNG1" s="536"/>
      <c r="PNH1" s="536"/>
      <c r="PNI1" s="536"/>
      <c r="PNJ1" s="536"/>
      <c r="PNK1" s="536"/>
      <c r="PNL1" s="536"/>
      <c r="PNM1" s="536"/>
      <c r="PNN1" s="536"/>
      <c r="PNO1" s="536"/>
      <c r="PNP1" s="536"/>
      <c r="PNQ1" s="536"/>
      <c r="PNR1" s="536"/>
      <c r="PNS1" s="536"/>
      <c r="PNT1" s="536"/>
      <c r="PNU1" s="536"/>
      <c r="PNV1" s="536"/>
      <c r="PNW1" s="536"/>
      <c r="PNX1" s="536"/>
      <c r="PNY1" s="536"/>
      <c r="PNZ1" s="536"/>
      <c r="POA1" s="536"/>
      <c r="POB1" s="536"/>
      <c r="POC1" s="536"/>
      <c r="POD1" s="536"/>
      <c r="POE1" s="536"/>
      <c r="POF1" s="536"/>
      <c r="POG1" s="536"/>
      <c r="POH1" s="536"/>
      <c r="POI1" s="536"/>
      <c r="POJ1" s="536"/>
      <c r="POK1" s="536"/>
      <c r="POL1" s="536"/>
      <c r="POM1" s="536"/>
      <c r="PON1" s="536"/>
      <c r="POO1" s="536"/>
      <c r="POP1" s="536"/>
      <c r="POQ1" s="536"/>
      <c r="POR1" s="536"/>
      <c r="POS1" s="536"/>
      <c r="POT1" s="536"/>
      <c r="POU1" s="536"/>
      <c r="POV1" s="536"/>
      <c r="POW1" s="536"/>
      <c r="POX1" s="536"/>
      <c r="POY1" s="536"/>
      <c r="POZ1" s="536"/>
      <c r="PPA1" s="536"/>
      <c r="PPB1" s="536"/>
      <c r="PPC1" s="536"/>
      <c r="PPD1" s="536"/>
      <c r="PPE1" s="536"/>
      <c r="PPF1" s="536"/>
      <c r="PPG1" s="536"/>
      <c r="PPH1" s="536"/>
      <c r="PPI1" s="536"/>
      <c r="PPJ1" s="536"/>
      <c r="PPK1" s="536"/>
      <c r="PPL1" s="536"/>
      <c r="PPM1" s="536"/>
      <c r="PPN1" s="536"/>
      <c r="PPO1" s="536"/>
      <c r="PPP1" s="536"/>
      <c r="PPQ1" s="536"/>
      <c r="PPR1" s="536"/>
      <c r="PPS1" s="536"/>
      <c r="PPT1" s="536"/>
      <c r="PPU1" s="536"/>
      <c r="PPV1" s="536"/>
      <c r="PPW1" s="536"/>
      <c r="PPX1" s="536"/>
      <c r="PPY1" s="536"/>
      <c r="PPZ1" s="536"/>
      <c r="PQA1" s="536"/>
      <c r="PQB1" s="536"/>
      <c r="PQC1" s="536"/>
      <c r="PQD1" s="536"/>
      <c r="PQE1" s="536"/>
      <c r="PQF1" s="536"/>
      <c r="PQG1" s="536"/>
      <c r="PQH1" s="536"/>
      <c r="PQI1" s="536"/>
      <c r="PQJ1" s="536"/>
      <c r="PQK1" s="536"/>
      <c r="PQL1" s="536"/>
      <c r="PQM1" s="536"/>
      <c r="PQN1" s="536"/>
      <c r="PQO1" s="536"/>
      <c r="PQP1" s="536"/>
      <c r="PQQ1" s="536"/>
      <c r="PQR1" s="536"/>
      <c r="PQS1" s="536"/>
      <c r="PQT1" s="536"/>
      <c r="PQU1" s="536"/>
      <c r="PQV1" s="536"/>
      <c r="PQW1" s="536"/>
      <c r="PQX1" s="536"/>
      <c r="PQY1" s="536"/>
      <c r="PQZ1" s="536"/>
      <c r="PRA1" s="536"/>
      <c r="PRB1" s="536"/>
      <c r="PRC1" s="536"/>
      <c r="PRD1" s="536"/>
      <c r="PRE1" s="536"/>
      <c r="PRF1" s="536"/>
      <c r="PRG1" s="536"/>
      <c r="PRH1" s="536"/>
      <c r="PRI1" s="536"/>
      <c r="PRJ1" s="536"/>
      <c r="PRK1" s="536"/>
      <c r="PRL1" s="536"/>
      <c r="PRM1" s="536"/>
      <c r="PRN1" s="536"/>
      <c r="PRO1" s="536"/>
      <c r="PRP1" s="536"/>
      <c r="PRQ1" s="536"/>
      <c r="PRR1" s="536"/>
      <c r="PRS1" s="536"/>
      <c r="PRT1" s="536"/>
      <c r="PRU1" s="536"/>
      <c r="PRV1" s="536"/>
      <c r="PRW1" s="536"/>
      <c r="PRX1" s="536"/>
      <c r="PRY1" s="536"/>
      <c r="PRZ1" s="536"/>
      <c r="PSA1" s="536"/>
      <c r="PSB1" s="536"/>
      <c r="PSC1" s="536"/>
      <c r="PSD1" s="536"/>
      <c r="PSE1" s="536"/>
      <c r="PSF1" s="536"/>
      <c r="PSG1" s="536"/>
      <c r="PSH1" s="536"/>
      <c r="PSI1" s="536"/>
      <c r="PSJ1" s="536"/>
      <c r="PSK1" s="536"/>
      <c r="PSL1" s="536"/>
      <c r="PSM1" s="536"/>
      <c r="PSN1" s="536"/>
      <c r="PSO1" s="536"/>
      <c r="PSP1" s="536"/>
      <c r="PSQ1" s="536"/>
      <c r="PSR1" s="536"/>
      <c r="PSS1" s="536"/>
      <c r="PST1" s="536"/>
      <c r="PSU1" s="536"/>
      <c r="PSV1" s="536"/>
      <c r="PSW1" s="536"/>
      <c r="PSX1" s="536"/>
      <c r="PSY1" s="536"/>
      <c r="PSZ1" s="536"/>
      <c r="PTA1" s="536"/>
      <c r="PTB1" s="536"/>
      <c r="PTC1" s="536"/>
      <c r="PTD1" s="536"/>
      <c r="PTE1" s="536"/>
      <c r="PTF1" s="536"/>
      <c r="PTG1" s="536"/>
      <c r="PTH1" s="536"/>
      <c r="PTI1" s="536"/>
      <c r="PTJ1" s="536"/>
      <c r="PTK1" s="536"/>
      <c r="PTL1" s="536"/>
      <c r="PTM1" s="536"/>
      <c r="PTN1" s="536"/>
      <c r="PTO1" s="536"/>
      <c r="PTP1" s="536"/>
      <c r="PTQ1" s="536"/>
      <c r="PTR1" s="536"/>
      <c r="PTS1" s="536"/>
      <c r="PTT1" s="536"/>
      <c r="PTU1" s="536"/>
      <c r="PTV1" s="536"/>
      <c r="PTW1" s="536"/>
      <c r="PTX1" s="536"/>
      <c r="PTY1" s="536"/>
      <c r="PTZ1" s="536"/>
      <c r="PUA1" s="536"/>
      <c r="PUB1" s="536"/>
      <c r="PUC1" s="536"/>
      <c r="PUD1" s="536"/>
      <c r="PUE1" s="536"/>
      <c r="PUF1" s="536"/>
      <c r="PUG1" s="536"/>
      <c r="PUH1" s="536"/>
      <c r="PUI1" s="536"/>
      <c r="PUJ1" s="536"/>
      <c r="PUK1" s="536"/>
      <c r="PUL1" s="536"/>
      <c r="PUM1" s="536"/>
      <c r="PUN1" s="536"/>
      <c r="PUO1" s="536"/>
      <c r="PUP1" s="536"/>
      <c r="PUQ1" s="536"/>
      <c r="PUR1" s="536"/>
      <c r="PUS1" s="536"/>
      <c r="PUT1" s="536"/>
      <c r="PUU1" s="536"/>
      <c r="PUV1" s="536"/>
      <c r="PUW1" s="536"/>
      <c r="PUX1" s="536"/>
      <c r="PUY1" s="536"/>
      <c r="PUZ1" s="536"/>
      <c r="PVA1" s="536"/>
      <c r="PVB1" s="536"/>
      <c r="PVC1" s="536"/>
      <c r="PVD1" s="536"/>
      <c r="PVE1" s="536"/>
      <c r="PVF1" s="536"/>
      <c r="PVG1" s="536"/>
      <c r="PVH1" s="536"/>
      <c r="PVI1" s="536"/>
      <c r="PVJ1" s="536"/>
      <c r="PVK1" s="536"/>
      <c r="PVL1" s="536"/>
      <c r="PVM1" s="536"/>
      <c r="PVN1" s="536"/>
      <c r="PVO1" s="536"/>
      <c r="PVP1" s="536"/>
      <c r="PVQ1" s="536"/>
      <c r="PVR1" s="536"/>
      <c r="PVS1" s="536"/>
      <c r="PVT1" s="536"/>
      <c r="PVU1" s="536"/>
      <c r="PVV1" s="536"/>
      <c r="PVW1" s="536"/>
      <c r="PVX1" s="536"/>
      <c r="PVY1" s="536"/>
      <c r="PVZ1" s="536"/>
      <c r="PWA1" s="536"/>
      <c r="PWB1" s="536"/>
      <c r="PWC1" s="536"/>
      <c r="PWD1" s="536"/>
      <c r="PWE1" s="536"/>
      <c r="PWF1" s="536"/>
      <c r="PWG1" s="536"/>
      <c r="PWH1" s="536"/>
      <c r="PWI1" s="536"/>
      <c r="PWJ1" s="536"/>
      <c r="PWK1" s="536"/>
      <c r="PWL1" s="536"/>
      <c r="PWM1" s="536"/>
      <c r="PWN1" s="536"/>
      <c r="PWO1" s="536"/>
      <c r="PWP1" s="536"/>
      <c r="PWQ1" s="536"/>
      <c r="PWR1" s="536"/>
      <c r="PWS1" s="536"/>
      <c r="PWT1" s="536"/>
      <c r="PWU1" s="536"/>
      <c r="PWV1" s="536"/>
      <c r="PWW1" s="536"/>
      <c r="PWX1" s="536"/>
      <c r="PWY1" s="536"/>
      <c r="PWZ1" s="536"/>
      <c r="PXA1" s="536"/>
      <c r="PXB1" s="536"/>
      <c r="PXC1" s="536"/>
      <c r="PXD1" s="536"/>
      <c r="PXE1" s="536"/>
      <c r="PXF1" s="536"/>
      <c r="PXG1" s="536"/>
      <c r="PXH1" s="536"/>
      <c r="PXI1" s="536"/>
      <c r="PXJ1" s="536"/>
      <c r="PXK1" s="536"/>
      <c r="PXL1" s="536"/>
      <c r="PXM1" s="536"/>
      <c r="PXN1" s="536"/>
      <c r="PXO1" s="536"/>
      <c r="PXP1" s="536"/>
      <c r="PXQ1" s="536"/>
      <c r="PXR1" s="536"/>
      <c r="PXS1" s="536"/>
      <c r="PXT1" s="536"/>
      <c r="PXU1" s="536"/>
      <c r="PXV1" s="536"/>
      <c r="PXW1" s="536"/>
      <c r="PXX1" s="536"/>
      <c r="PXY1" s="536"/>
      <c r="PXZ1" s="536"/>
      <c r="PYA1" s="536"/>
      <c r="PYB1" s="536"/>
      <c r="PYC1" s="536"/>
      <c r="PYD1" s="536"/>
      <c r="PYE1" s="536"/>
      <c r="PYF1" s="536"/>
      <c r="PYG1" s="536"/>
      <c r="PYH1" s="536"/>
      <c r="PYI1" s="536"/>
      <c r="PYJ1" s="536"/>
      <c r="PYK1" s="536"/>
      <c r="PYL1" s="536"/>
      <c r="PYM1" s="536"/>
      <c r="PYN1" s="536"/>
      <c r="PYO1" s="536"/>
      <c r="PYP1" s="536"/>
      <c r="PYQ1" s="536"/>
      <c r="PYR1" s="536"/>
      <c r="PYS1" s="536"/>
      <c r="PYT1" s="536"/>
      <c r="PYU1" s="536"/>
      <c r="PYV1" s="536"/>
      <c r="PYW1" s="536"/>
      <c r="PYX1" s="536"/>
      <c r="PYY1" s="536"/>
      <c r="PYZ1" s="536"/>
      <c r="PZA1" s="536"/>
      <c r="PZB1" s="536"/>
      <c r="PZC1" s="536"/>
      <c r="PZD1" s="536"/>
      <c r="PZE1" s="536"/>
      <c r="PZF1" s="536"/>
      <c r="PZG1" s="536"/>
      <c r="PZH1" s="536"/>
      <c r="PZI1" s="536"/>
      <c r="PZJ1" s="536"/>
      <c r="PZK1" s="536"/>
      <c r="PZL1" s="536"/>
      <c r="PZM1" s="536"/>
      <c r="PZN1" s="536"/>
      <c r="PZO1" s="536"/>
      <c r="PZP1" s="536"/>
      <c r="PZQ1" s="536"/>
      <c r="PZR1" s="536"/>
      <c r="PZS1" s="536"/>
      <c r="PZT1" s="536"/>
      <c r="PZU1" s="536"/>
      <c r="PZV1" s="536"/>
      <c r="PZW1" s="536"/>
      <c r="PZX1" s="536"/>
      <c r="PZY1" s="536"/>
      <c r="PZZ1" s="536"/>
      <c r="QAA1" s="536"/>
      <c r="QAB1" s="536"/>
      <c r="QAC1" s="536"/>
      <c r="QAD1" s="536"/>
      <c r="QAE1" s="536"/>
      <c r="QAF1" s="536"/>
      <c r="QAG1" s="536"/>
      <c r="QAH1" s="536"/>
      <c r="QAI1" s="536"/>
      <c r="QAJ1" s="536"/>
      <c r="QAK1" s="536"/>
      <c r="QAL1" s="536"/>
      <c r="QAM1" s="536"/>
      <c r="QAN1" s="536"/>
      <c r="QAO1" s="536"/>
      <c r="QAP1" s="536"/>
      <c r="QAQ1" s="536"/>
      <c r="QAR1" s="536"/>
      <c r="QAS1" s="536"/>
      <c r="QAT1" s="536"/>
      <c r="QAU1" s="536"/>
      <c r="QAV1" s="536"/>
      <c r="QAW1" s="536"/>
      <c r="QAX1" s="536"/>
      <c r="QAY1" s="536"/>
      <c r="QAZ1" s="536"/>
      <c r="QBA1" s="536"/>
      <c r="QBB1" s="536"/>
      <c r="QBC1" s="536"/>
      <c r="QBD1" s="536"/>
      <c r="QBE1" s="536"/>
      <c r="QBF1" s="536"/>
      <c r="QBG1" s="536"/>
      <c r="QBH1" s="536"/>
      <c r="QBI1" s="536"/>
      <c r="QBJ1" s="536"/>
      <c r="QBK1" s="536"/>
      <c r="QBL1" s="536"/>
      <c r="QBM1" s="536"/>
      <c r="QBN1" s="536"/>
      <c r="QBO1" s="536"/>
      <c r="QBP1" s="536"/>
      <c r="QBQ1" s="536"/>
      <c r="QBR1" s="536"/>
      <c r="QBS1" s="536"/>
      <c r="QBT1" s="536"/>
      <c r="QBU1" s="536"/>
      <c r="QBV1" s="536"/>
      <c r="QBW1" s="536"/>
      <c r="QBX1" s="536"/>
      <c r="QBY1" s="536"/>
      <c r="QBZ1" s="536"/>
      <c r="QCA1" s="536"/>
      <c r="QCB1" s="536"/>
      <c r="QCC1" s="536"/>
      <c r="QCD1" s="536"/>
      <c r="QCE1" s="536"/>
      <c r="QCF1" s="536"/>
      <c r="QCG1" s="536"/>
      <c r="QCH1" s="536"/>
      <c r="QCI1" s="536"/>
      <c r="QCJ1" s="536"/>
      <c r="QCK1" s="536"/>
      <c r="QCL1" s="536"/>
      <c r="QCM1" s="536"/>
      <c r="QCN1" s="536"/>
      <c r="QCO1" s="536"/>
      <c r="QCP1" s="536"/>
      <c r="QCQ1" s="536"/>
      <c r="QCR1" s="536"/>
      <c r="QCS1" s="536"/>
      <c r="QCT1" s="536"/>
      <c r="QCU1" s="536"/>
      <c r="QCV1" s="536"/>
      <c r="QCW1" s="536"/>
      <c r="QCX1" s="536"/>
      <c r="QCY1" s="536"/>
      <c r="QCZ1" s="536"/>
      <c r="QDA1" s="536"/>
      <c r="QDB1" s="536"/>
      <c r="QDC1" s="536"/>
      <c r="QDD1" s="536"/>
      <c r="QDE1" s="536"/>
      <c r="QDF1" s="536"/>
      <c r="QDG1" s="536"/>
      <c r="QDH1" s="536"/>
      <c r="QDI1" s="536"/>
      <c r="QDJ1" s="536"/>
      <c r="QDK1" s="536"/>
      <c r="QDL1" s="536"/>
      <c r="QDM1" s="536"/>
      <c r="QDN1" s="536"/>
      <c r="QDO1" s="536"/>
      <c r="QDP1" s="536"/>
      <c r="QDQ1" s="536"/>
      <c r="QDR1" s="536"/>
      <c r="QDS1" s="536"/>
      <c r="QDT1" s="536"/>
      <c r="QDU1" s="536"/>
      <c r="QDV1" s="536"/>
      <c r="QDW1" s="536"/>
      <c r="QDX1" s="536"/>
      <c r="QDY1" s="536"/>
      <c r="QDZ1" s="536"/>
      <c r="QEA1" s="536"/>
      <c r="QEB1" s="536"/>
      <c r="QEC1" s="536"/>
      <c r="QED1" s="536"/>
      <c r="QEE1" s="536"/>
      <c r="QEF1" s="536"/>
      <c r="QEG1" s="536"/>
      <c r="QEH1" s="536"/>
      <c r="QEI1" s="536"/>
      <c r="QEJ1" s="536"/>
      <c r="QEK1" s="536"/>
      <c r="QEL1" s="536"/>
      <c r="QEM1" s="536"/>
      <c r="QEN1" s="536"/>
      <c r="QEO1" s="536"/>
      <c r="QEP1" s="536"/>
      <c r="QEQ1" s="536"/>
      <c r="QER1" s="536"/>
      <c r="QES1" s="536"/>
      <c r="QET1" s="536"/>
      <c r="QEU1" s="536"/>
      <c r="QEV1" s="536"/>
      <c r="QEW1" s="536"/>
      <c r="QEX1" s="536"/>
      <c r="QEY1" s="536"/>
      <c r="QEZ1" s="536"/>
      <c r="QFA1" s="536"/>
      <c r="QFB1" s="536"/>
      <c r="QFC1" s="536"/>
      <c r="QFD1" s="536"/>
      <c r="QFE1" s="536"/>
      <c r="QFF1" s="536"/>
      <c r="QFG1" s="536"/>
      <c r="QFH1" s="536"/>
      <c r="QFI1" s="536"/>
      <c r="QFJ1" s="536"/>
      <c r="QFK1" s="536"/>
      <c r="QFL1" s="536"/>
      <c r="QFM1" s="536"/>
      <c r="QFN1" s="536"/>
      <c r="QFO1" s="536"/>
      <c r="QFP1" s="536"/>
      <c r="QFQ1" s="536"/>
      <c r="QFR1" s="536"/>
      <c r="QFS1" s="536"/>
      <c r="QFT1" s="536"/>
      <c r="QFU1" s="536"/>
      <c r="QFV1" s="536"/>
      <c r="QFW1" s="536"/>
      <c r="QFX1" s="536"/>
      <c r="QFY1" s="536"/>
      <c r="QFZ1" s="536"/>
      <c r="QGA1" s="536"/>
      <c r="QGB1" s="536"/>
      <c r="QGC1" s="536"/>
      <c r="QGD1" s="536"/>
      <c r="QGE1" s="536"/>
      <c r="QGF1" s="536"/>
      <c r="QGG1" s="536"/>
      <c r="QGH1" s="536"/>
      <c r="QGI1" s="536"/>
      <c r="QGJ1" s="536"/>
      <c r="QGK1" s="536"/>
      <c r="QGL1" s="536"/>
      <c r="QGM1" s="536"/>
      <c r="QGN1" s="536"/>
      <c r="QGO1" s="536"/>
      <c r="QGP1" s="536"/>
      <c r="QGQ1" s="536"/>
      <c r="QGR1" s="536"/>
      <c r="QGS1" s="536"/>
      <c r="QGT1" s="536"/>
      <c r="QGU1" s="536"/>
      <c r="QGV1" s="536"/>
      <c r="QGW1" s="536"/>
      <c r="QGX1" s="536"/>
      <c r="QGY1" s="536"/>
      <c r="QGZ1" s="536"/>
      <c r="QHA1" s="536"/>
      <c r="QHB1" s="536"/>
      <c r="QHC1" s="536"/>
      <c r="QHD1" s="536"/>
      <c r="QHE1" s="536"/>
      <c r="QHF1" s="536"/>
      <c r="QHG1" s="536"/>
      <c r="QHH1" s="536"/>
      <c r="QHI1" s="536"/>
      <c r="QHJ1" s="536"/>
      <c r="QHK1" s="536"/>
      <c r="QHL1" s="536"/>
      <c r="QHM1" s="536"/>
      <c r="QHN1" s="536"/>
      <c r="QHO1" s="536"/>
      <c r="QHP1" s="536"/>
      <c r="QHQ1" s="536"/>
      <c r="QHR1" s="536"/>
      <c r="QHS1" s="536"/>
      <c r="QHT1" s="536"/>
      <c r="QHU1" s="536"/>
      <c r="QHV1" s="536"/>
      <c r="QHW1" s="536"/>
      <c r="QHX1" s="536"/>
      <c r="QHY1" s="536"/>
      <c r="QHZ1" s="536"/>
      <c r="QIA1" s="536"/>
      <c r="QIB1" s="536"/>
      <c r="QIC1" s="536"/>
      <c r="QID1" s="536"/>
      <c r="QIE1" s="536"/>
      <c r="QIF1" s="536"/>
      <c r="QIG1" s="536"/>
      <c r="QIH1" s="536"/>
      <c r="QII1" s="536"/>
      <c r="QIJ1" s="536"/>
      <c r="QIK1" s="536"/>
      <c r="QIL1" s="536"/>
      <c r="QIM1" s="536"/>
      <c r="QIN1" s="536"/>
      <c r="QIO1" s="536"/>
      <c r="QIP1" s="536"/>
      <c r="QIQ1" s="536"/>
      <c r="QIR1" s="536"/>
      <c r="QIS1" s="536"/>
      <c r="QIT1" s="536"/>
      <c r="QIU1" s="536"/>
      <c r="QIV1" s="536"/>
      <c r="QIW1" s="536"/>
      <c r="QIX1" s="536"/>
      <c r="QIY1" s="536"/>
      <c r="QIZ1" s="536"/>
      <c r="QJA1" s="536"/>
      <c r="QJB1" s="536"/>
      <c r="QJC1" s="536"/>
      <c r="QJD1" s="536"/>
      <c r="QJE1" s="536"/>
      <c r="QJF1" s="536"/>
      <c r="QJG1" s="536"/>
      <c r="QJH1" s="536"/>
      <c r="QJI1" s="536"/>
      <c r="QJJ1" s="536"/>
      <c r="QJK1" s="536"/>
      <c r="QJL1" s="536"/>
      <c r="QJM1" s="536"/>
      <c r="QJN1" s="536"/>
      <c r="QJO1" s="536"/>
      <c r="QJP1" s="536"/>
      <c r="QJQ1" s="536"/>
      <c r="QJR1" s="536"/>
      <c r="QJS1" s="536"/>
      <c r="QJT1" s="536"/>
      <c r="QJU1" s="536"/>
      <c r="QJV1" s="536"/>
      <c r="QJW1" s="536"/>
      <c r="QJX1" s="536"/>
      <c r="QJY1" s="536"/>
      <c r="QJZ1" s="536"/>
      <c r="QKA1" s="536"/>
      <c r="QKB1" s="536"/>
      <c r="QKC1" s="536"/>
      <c r="QKD1" s="536"/>
      <c r="QKE1" s="536"/>
      <c r="QKF1" s="536"/>
      <c r="QKG1" s="536"/>
      <c r="QKH1" s="536"/>
      <c r="QKI1" s="536"/>
      <c r="QKJ1" s="536"/>
      <c r="QKK1" s="536"/>
      <c r="QKL1" s="536"/>
      <c r="QKM1" s="536"/>
      <c r="QKN1" s="536"/>
      <c r="QKO1" s="536"/>
      <c r="QKP1" s="536"/>
      <c r="QKQ1" s="536"/>
      <c r="QKR1" s="536"/>
      <c r="QKS1" s="536"/>
      <c r="QKT1" s="536"/>
      <c r="QKU1" s="536"/>
      <c r="QKV1" s="536"/>
      <c r="QKW1" s="536"/>
      <c r="QKX1" s="536"/>
      <c r="QKY1" s="536"/>
      <c r="QKZ1" s="536"/>
      <c r="QLA1" s="536"/>
      <c r="QLB1" s="536"/>
      <c r="QLC1" s="536"/>
      <c r="QLD1" s="536"/>
      <c r="QLE1" s="536"/>
      <c r="QLF1" s="536"/>
      <c r="QLG1" s="536"/>
      <c r="QLH1" s="536"/>
      <c r="QLI1" s="536"/>
      <c r="QLJ1" s="536"/>
      <c r="QLK1" s="536"/>
      <c r="QLL1" s="536"/>
      <c r="QLM1" s="536"/>
      <c r="QLN1" s="536"/>
      <c r="QLO1" s="536"/>
      <c r="QLP1" s="536"/>
      <c r="QLQ1" s="536"/>
      <c r="QLR1" s="536"/>
      <c r="QLS1" s="536"/>
      <c r="QLT1" s="536"/>
      <c r="QLU1" s="536"/>
      <c r="QLV1" s="536"/>
      <c r="QLW1" s="536"/>
      <c r="QLX1" s="536"/>
      <c r="QLY1" s="536"/>
      <c r="QLZ1" s="536"/>
      <c r="QMA1" s="536"/>
      <c r="QMB1" s="536"/>
      <c r="QMC1" s="536"/>
      <c r="QMD1" s="536"/>
      <c r="QME1" s="536"/>
      <c r="QMF1" s="536"/>
      <c r="QMG1" s="536"/>
      <c r="QMH1" s="536"/>
      <c r="QMI1" s="536"/>
      <c r="QMJ1" s="536"/>
      <c r="QMK1" s="536"/>
      <c r="QML1" s="536"/>
      <c r="QMM1" s="536"/>
      <c r="QMN1" s="536"/>
      <c r="QMO1" s="536"/>
      <c r="QMP1" s="536"/>
      <c r="QMQ1" s="536"/>
      <c r="QMR1" s="536"/>
      <c r="QMS1" s="536"/>
      <c r="QMT1" s="536"/>
      <c r="QMU1" s="536"/>
      <c r="QMV1" s="536"/>
      <c r="QMW1" s="536"/>
      <c r="QMX1" s="536"/>
      <c r="QMY1" s="536"/>
      <c r="QMZ1" s="536"/>
      <c r="QNA1" s="536"/>
      <c r="QNB1" s="536"/>
      <c r="QNC1" s="536"/>
      <c r="QND1" s="536"/>
      <c r="QNE1" s="536"/>
      <c r="QNF1" s="536"/>
      <c r="QNG1" s="536"/>
      <c r="QNH1" s="536"/>
      <c r="QNI1" s="536"/>
      <c r="QNJ1" s="536"/>
      <c r="QNK1" s="536"/>
      <c r="QNL1" s="536"/>
      <c r="QNM1" s="536"/>
      <c r="QNN1" s="536"/>
      <c r="QNO1" s="536"/>
      <c r="QNP1" s="536"/>
      <c r="QNQ1" s="536"/>
      <c r="QNR1" s="536"/>
      <c r="QNS1" s="536"/>
      <c r="QNT1" s="536"/>
      <c r="QNU1" s="536"/>
      <c r="QNV1" s="536"/>
      <c r="QNW1" s="536"/>
      <c r="QNX1" s="536"/>
      <c r="QNY1" s="536"/>
      <c r="QNZ1" s="536"/>
      <c r="QOA1" s="536"/>
      <c r="QOB1" s="536"/>
      <c r="QOC1" s="536"/>
      <c r="QOD1" s="536"/>
      <c r="QOE1" s="536"/>
      <c r="QOF1" s="536"/>
      <c r="QOG1" s="536"/>
      <c r="QOH1" s="536"/>
      <c r="QOI1" s="536"/>
      <c r="QOJ1" s="536"/>
      <c r="QOK1" s="536"/>
      <c r="QOL1" s="536"/>
      <c r="QOM1" s="536"/>
      <c r="QON1" s="536"/>
      <c r="QOO1" s="536"/>
      <c r="QOP1" s="536"/>
      <c r="QOQ1" s="536"/>
      <c r="QOR1" s="536"/>
      <c r="QOS1" s="536"/>
      <c r="QOT1" s="536"/>
      <c r="QOU1" s="536"/>
      <c r="QOV1" s="536"/>
      <c r="QOW1" s="536"/>
      <c r="QOX1" s="536"/>
      <c r="QOY1" s="536"/>
      <c r="QOZ1" s="536"/>
      <c r="QPA1" s="536"/>
      <c r="QPB1" s="536"/>
      <c r="QPC1" s="536"/>
      <c r="QPD1" s="536"/>
      <c r="QPE1" s="536"/>
      <c r="QPF1" s="536"/>
      <c r="QPG1" s="536"/>
      <c r="QPH1" s="536"/>
      <c r="QPI1" s="536"/>
      <c r="QPJ1" s="536"/>
      <c r="QPK1" s="536"/>
      <c r="QPL1" s="536"/>
      <c r="QPM1" s="536"/>
      <c r="QPN1" s="536"/>
      <c r="QPO1" s="536"/>
      <c r="QPP1" s="536"/>
      <c r="QPQ1" s="536"/>
      <c r="QPR1" s="536"/>
      <c r="QPS1" s="536"/>
      <c r="QPT1" s="536"/>
      <c r="QPU1" s="536"/>
      <c r="QPV1" s="536"/>
      <c r="QPW1" s="536"/>
      <c r="QPX1" s="536"/>
      <c r="QPY1" s="536"/>
      <c r="QPZ1" s="536"/>
      <c r="QQA1" s="536"/>
      <c r="QQB1" s="536"/>
      <c r="QQC1" s="536"/>
      <c r="QQD1" s="536"/>
      <c r="QQE1" s="536"/>
      <c r="QQF1" s="536"/>
      <c r="QQG1" s="536"/>
      <c r="QQH1" s="536"/>
      <c r="QQI1" s="536"/>
      <c r="QQJ1" s="536"/>
      <c r="QQK1" s="536"/>
      <c r="QQL1" s="536"/>
      <c r="QQM1" s="536"/>
      <c r="QQN1" s="536"/>
      <c r="QQO1" s="536"/>
      <c r="QQP1" s="536"/>
      <c r="QQQ1" s="536"/>
      <c r="QQR1" s="536"/>
      <c r="QQS1" s="536"/>
      <c r="QQT1" s="536"/>
      <c r="QQU1" s="536"/>
      <c r="QQV1" s="536"/>
      <c r="QQW1" s="536"/>
      <c r="QQX1" s="536"/>
      <c r="QQY1" s="536"/>
      <c r="QQZ1" s="536"/>
      <c r="QRA1" s="536"/>
      <c r="QRB1" s="536"/>
      <c r="QRC1" s="536"/>
      <c r="QRD1" s="536"/>
      <c r="QRE1" s="536"/>
      <c r="QRF1" s="536"/>
      <c r="QRG1" s="536"/>
      <c r="QRH1" s="536"/>
      <c r="QRI1" s="536"/>
      <c r="QRJ1" s="536"/>
      <c r="QRK1" s="536"/>
      <c r="QRL1" s="536"/>
      <c r="QRM1" s="536"/>
      <c r="QRN1" s="536"/>
      <c r="QRO1" s="536"/>
      <c r="QRP1" s="536"/>
      <c r="QRQ1" s="536"/>
      <c r="QRR1" s="536"/>
      <c r="QRS1" s="536"/>
      <c r="QRT1" s="536"/>
      <c r="QRU1" s="536"/>
      <c r="QRV1" s="536"/>
      <c r="QRW1" s="536"/>
      <c r="QRX1" s="536"/>
      <c r="QRY1" s="536"/>
      <c r="QRZ1" s="536"/>
      <c r="QSA1" s="536"/>
      <c r="QSB1" s="536"/>
      <c r="QSC1" s="536"/>
      <c r="QSD1" s="536"/>
      <c r="QSE1" s="536"/>
      <c r="QSF1" s="536"/>
      <c r="QSG1" s="536"/>
      <c r="QSH1" s="536"/>
      <c r="QSI1" s="536"/>
      <c r="QSJ1" s="536"/>
      <c r="QSK1" s="536"/>
      <c r="QSL1" s="536"/>
      <c r="QSM1" s="536"/>
      <c r="QSN1" s="536"/>
      <c r="QSO1" s="536"/>
      <c r="QSP1" s="536"/>
      <c r="QSQ1" s="536"/>
      <c r="QSR1" s="536"/>
      <c r="QSS1" s="536"/>
      <c r="QST1" s="536"/>
      <c r="QSU1" s="536"/>
      <c r="QSV1" s="536"/>
      <c r="QSW1" s="536"/>
      <c r="QSX1" s="536"/>
      <c r="QSY1" s="536"/>
      <c r="QSZ1" s="536"/>
      <c r="QTA1" s="536"/>
      <c r="QTB1" s="536"/>
      <c r="QTC1" s="536"/>
      <c r="QTD1" s="536"/>
      <c r="QTE1" s="536"/>
      <c r="QTF1" s="536"/>
      <c r="QTG1" s="536"/>
      <c r="QTH1" s="536"/>
      <c r="QTI1" s="536"/>
      <c r="QTJ1" s="536"/>
      <c r="QTK1" s="536"/>
      <c r="QTL1" s="536"/>
      <c r="QTM1" s="536"/>
      <c r="QTN1" s="536"/>
      <c r="QTO1" s="536"/>
      <c r="QTP1" s="536"/>
      <c r="QTQ1" s="536"/>
      <c r="QTR1" s="536"/>
      <c r="QTS1" s="536"/>
      <c r="QTT1" s="536"/>
      <c r="QTU1" s="536"/>
      <c r="QTV1" s="536"/>
      <c r="QTW1" s="536"/>
      <c r="QTX1" s="536"/>
      <c r="QTY1" s="536"/>
      <c r="QTZ1" s="536"/>
      <c r="QUA1" s="536"/>
      <c r="QUB1" s="536"/>
      <c r="QUC1" s="536"/>
      <c r="QUD1" s="536"/>
      <c r="QUE1" s="536"/>
      <c r="QUF1" s="536"/>
      <c r="QUG1" s="536"/>
      <c r="QUH1" s="536"/>
      <c r="QUI1" s="536"/>
      <c r="QUJ1" s="536"/>
      <c r="QUK1" s="536"/>
      <c r="QUL1" s="536"/>
      <c r="QUM1" s="536"/>
      <c r="QUN1" s="536"/>
      <c r="QUO1" s="536"/>
      <c r="QUP1" s="536"/>
      <c r="QUQ1" s="536"/>
      <c r="QUR1" s="536"/>
      <c r="QUS1" s="536"/>
      <c r="QUT1" s="536"/>
      <c r="QUU1" s="536"/>
      <c r="QUV1" s="536"/>
      <c r="QUW1" s="536"/>
      <c r="QUX1" s="536"/>
      <c r="QUY1" s="536"/>
      <c r="QUZ1" s="536"/>
      <c r="QVA1" s="536"/>
      <c r="QVB1" s="536"/>
      <c r="QVC1" s="536"/>
      <c r="QVD1" s="536"/>
      <c r="QVE1" s="536"/>
      <c r="QVF1" s="536"/>
      <c r="QVG1" s="536"/>
      <c r="QVH1" s="536"/>
      <c r="QVI1" s="536"/>
      <c r="QVJ1" s="536"/>
      <c r="QVK1" s="536"/>
      <c r="QVL1" s="536"/>
      <c r="QVM1" s="536"/>
      <c r="QVN1" s="536"/>
      <c r="QVO1" s="536"/>
      <c r="QVP1" s="536"/>
      <c r="QVQ1" s="536"/>
      <c r="QVR1" s="536"/>
      <c r="QVS1" s="536"/>
      <c r="QVT1" s="536"/>
      <c r="QVU1" s="536"/>
      <c r="QVV1" s="536"/>
      <c r="QVW1" s="536"/>
      <c r="QVX1" s="536"/>
      <c r="QVY1" s="536"/>
      <c r="QVZ1" s="536"/>
      <c r="QWA1" s="536"/>
      <c r="QWB1" s="536"/>
      <c r="QWC1" s="536"/>
      <c r="QWD1" s="536"/>
      <c r="QWE1" s="536"/>
      <c r="QWF1" s="536"/>
      <c r="QWG1" s="536"/>
      <c r="QWH1" s="536"/>
      <c r="QWI1" s="536"/>
      <c r="QWJ1" s="536"/>
      <c r="QWK1" s="536"/>
      <c r="QWL1" s="536"/>
      <c r="QWM1" s="536"/>
      <c r="QWN1" s="536"/>
      <c r="QWO1" s="536"/>
      <c r="QWP1" s="536"/>
      <c r="QWQ1" s="536"/>
      <c r="QWR1" s="536"/>
      <c r="QWS1" s="536"/>
      <c r="QWT1" s="536"/>
      <c r="QWU1" s="536"/>
      <c r="QWV1" s="536"/>
      <c r="QWW1" s="536"/>
      <c r="QWX1" s="536"/>
      <c r="QWY1" s="536"/>
      <c r="QWZ1" s="536"/>
      <c r="QXA1" s="536"/>
      <c r="QXB1" s="536"/>
      <c r="QXC1" s="536"/>
      <c r="QXD1" s="536"/>
      <c r="QXE1" s="536"/>
      <c r="QXF1" s="536"/>
      <c r="QXG1" s="536"/>
      <c r="QXH1" s="536"/>
      <c r="QXI1" s="536"/>
      <c r="QXJ1" s="536"/>
      <c r="QXK1" s="536"/>
      <c r="QXL1" s="536"/>
      <c r="QXM1" s="536"/>
      <c r="QXN1" s="536"/>
      <c r="QXO1" s="536"/>
      <c r="QXP1" s="536"/>
      <c r="QXQ1" s="536"/>
      <c r="QXR1" s="536"/>
      <c r="QXS1" s="536"/>
      <c r="QXT1" s="536"/>
      <c r="QXU1" s="536"/>
      <c r="QXV1" s="536"/>
      <c r="QXW1" s="536"/>
      <c r="QXX1" s="536"/>
      <c r="QXY1" s="536"/>
      <c r="QXZ1" s="536"/>
      <c r="QYA1" s="536"/>
      <c r="QYB1" s="536"/>
      <c r="QYC1" s="536"/>
      <c r="QYD1" s="536"/>
      <c r="QYE1" s="536"/>
      <c r="QYF1" s="536"/>
      <c r="QYG1" s="536"/>
      <c r="QYH1" s="536"/>
      <c r="QYI1" s="536"/>
      <c r="QYJ1" s="536"/>
      <c r="QYK1" s="536"/>
      <c r="QYL1" s="536"/>
      <c r="QYM1" s="536"/>
      <c r="QYN1" s="536"/>
      <c r="QYO1" s="536"/>
      <c r="QYP1" s="536"/>
      <c r="QYQ1" s="536"/>
      <c r="QYR1" s="536"/>
      <c r="QYS1" s="536"/>
      <c r="QYT1" s="536"/>
      <c r="QYU1" s="536"/>
      <c r="QYV1" s="536"/>
      <c r="QYW1" s="536"/>
      <c r="QYX1" s="536"/>
      <c r="QYY1" s="536"/>
      <c r="QYZ1" s="536"/>
      <c r="QZA1" s="536"/>
      <c r="QZB1" s="536"/>
      <c r="QZC1" s="536"/>
      <c r="QZD1" s="536"/>
      <c r="QZE1" s="536"/>
      <c r="QZF1" s="536"/>
      <c r="QZG1" s="536"/>
      <c r="QZH1" s="536"/>
      <c r="QZI1" s="536"/>
      <c r="QZJ1" s="536"/>
      <c r="QZK1" s="536"/>
      <c r="QZL1" s="536"/>
      <c r="QZM1" s="536"/>
      <c r="QZN1" s="536"/>
      <c r="QZO1" s="536"/>
      <c r="QZP1" s="536"/>
      <c r="QZQ1" s="536"/>
      <c r="QZR1" s="536"/>
      <c r="QZS1" s="536"/>
      <c r="QZT1" s="536"/>
      <c r="QZU1" s="536"/>
      <c r="QZV1" s="536"/>
      <c r="QZW1" s="536"/>
      <c r="QZX1" s="536"/>
      <c r="QZY1" s="536"/>
      <c r="QZZ1" s="536"/>
      <c r="RAA1" s="536"/>
      <c r="RAB1" s="536"/>
      <c r="RAC1" s="536"/>
      <c r="RAD1" s="536"/>
      <c r="RAE1" s="536"/>
      <c r="RAF1" s="536"/>
      <c r="RAG1" s="536"/>
      <c r="RAH1" s="536"/>
      <c r="RAI1" s="536"/>
      <c r="RAJ1" s="536"/>
      <c r="RAK1" s="536"/>
      <c r="RAL1" s="536"/>
      <c r="RAM1" s="536"/>
      <c r="RAN1" s="536"/>
      <c r="RAO1" s="536"/>
      <c r="RAP1" s="536"/>
      <c r="RAQ1" s="536"/>
      <c r="RAR1" s="536"/>
      <c r="RAS1" s="536"/>
      <c r="RAT1" s="536"/>
      <c r="RAU1" s="536"/>
      <c r="RAV1" s="536"/>
      <c r="RAW1" s="536"/>
      <c r="RAX1" s="536"/>
      <c r="RAY1" s="536"/>
      <c r="RAZ1" s="536"/>
      <c r="RBA1" s="536"/>
      <c r="RBB1" s="536"/>
      <c r="RBC1" s="536"/>
      <c r="RBD1" s="536"/>
      <c r="RBE1" s="536"/>
      <c r="RBF1" s="536"/>
      <c r="RBG1" s="536"/>
      <c r="RBH1" s="536"/>
      <c r="RBI1" s="536"/>
      <c r="RBJ1" s="536"/>
      <c r="RBK1" s="536"/>
      <c r="RBL1" s="536"/>
      <c r="RBM1" s="536"/>
      <c r="RBN1" s="536"/>
      <c r="RBO1" s="536"/>
      <c r="RBP1" s="536"/>
      <c r="RBQ1" s="536"/>
      <c r="RBR1" s="536"/>
      <c r="RBS1" s="536"/>
      <c r="RBT1" s="536"/>
      <c r="RBU1" s="536"/>
      <c r="RBV1" s="536"/>
      <c r="RBW1" s="536"/>
      <c r="RBX1" s="536"/>
      <c r="RBY1" s="536"/>
      <c r="RBZ1" s="536"/>
      <c r="RCA1" s="536"/>
      <c r="RCB1" s="536"/>
      <c r="RCC1" s="536"/>
      <c r="RCD1" s="536"/>
      <c r="RCE1" s="536"/>
      <c r="RCF1" s="536"/>
      <c r="RCG1" s="536"/>
      <c r="RCH1" s="536"/>
      <c r="RCI1" s="536"/>
      <c r="RCJ1" s="536"/>
      <c r="RCK1" s="536"/>
      <c r="RCL1" s="536"/>
      <c r="RCM1" s="536"/>
      <c r="RCN1" s="536"/>
      <c r="RCO1" s="536"/>
      <c r="RCP1" s="536"/>
      <c r="RCQ1" s="536"/>
      <c r="RCR1" s="536"/>
      <c r="RCS1" s="536"/>
      <c r="RCT1" s="536"/>
      <c r="RCU1" s="536"/>
      <c r="RCV1" s="536"/>
      <c r="RCW1" s="536"/>
      <c r="RCX1" s="536"/>
      <c r="RCY1" s="536"/>
      <c r="RCZ1" s="536"/>
      <c r="RDA1" s="536"/>
      <c r="RDB1" s="536"/>
      <c r="RDC1" s="536"/>
      <c r="RDD1" s="536"/>
      <c r="RDE1" s="536"/>
      <c r="RDF1" s="536"/>
      <c r="RDG1" s="536"/>
      <c r="RDH1" s="536"/>
      <c r="RDI1" s="536"/>
      <c r="RDJ1" s="536"/>
      <c r="RDK1" s="536"/>
      <c r="RDL1" s="536"/>
      <c r="RDM1" s="536"/>
      <c r="RDN1" s="536"/>
      <c r="RDO1" s="536"/>
      <c r="RDP1" s="536"/>
      <c r="RDQ1" s="536"/>
      <c r="RDR1" s="536"/>
      <c r="RDS1" s="536"/>
      <c r="RDT1" s="536"/>
      <c r="RDU1" s="536"/>
      <c r="RDV1" s="536"/>
      <c r="RDW1" s="536"/>
      <c r="RDX1" s="536"/>
      <c r="RDY1" s="536"/>
      <c r="RDZ1" s="536"/>
      <c r="REA1" s="536"/>
      <c r="REB1" s="536"/>
      <c r="REC1" s="536"/>
      <c r="RED1" s="536"/>
      <c r="REE1" s="536"/>
      <c r="REF1" s="536"/>
      <c r="REG1" s="536"/>
      <c r="REH1" s="536"/>
      <c r="REI1" s="536"/>
      <c r="REJ1" s="536"/>
      <c r="REK1" s="536"/>
      <c r="REL1" s="536"/>
      <c r="REM1" s="536"/>
      <c r="REN1" s="536"/>
      <c r="REO1" s="536"/>
      <c r="REP1" s="536"/>
      <c r="REQ1" s="536"/>
      <c r="RER1" s="536"/>
      <c r="RES1" s="536"/>
      <c r="RET1" s="536"/>
      <c r="REU1" s="536"/>
      <c r="REV1" s="536"/>
      <c r="REW1" s="536"/>
      <c r="REX1" s="536"/>
      <c r="REY1" s="536"/>
      <c r="REZ1" s="536"/>
      <c r="RFA1" s="536"/>
      <c r="RFB1" s="536"/>
      <c r="RFC1" s="536"/>
      <c r="RFD1" s="536"/>
      <c r="RFE1" s="536"/>
      <c r="RFF1" s="536"/>
      <c r="RFG1" s="536"/>
      <c r="RFH1" s="536"/>
      <c r="RFI1" s="536"/>
      <c r="RFJ1" s="536"/>
      <c r="RFK1" s="536"/>
      <c r="RFL1" s="536"/>
      <c r="RFM1" s="536"/>
      <c r="RFN1" s="536"/>
      <c r="RFO1" s="536"/>
      <c r="RFP1" s="536"/>
      <c r="RFQ1" s="536"/>
      <c r="RFR1" s="536"/>
      <c r="RFS1" s="536"/>
      <c r="RFT1" s="536"/>
      <c r="RFU1" s="536"/>
      <c r="RFV1" s="536"/>
      <c r="RFW1" s="536"/>
      <c r="RFX1" s="536"/>
      <c r="RFY1" s="536"/>
      <c r="RFZ1" s="536"/>
      <c r="RGA1" s="536"/>
      <c r="RGB1" s="536"/>
      <c r="RGC1" s="536"/>
      <c r="RGD1" s="536"/>
      <c r="RGE1" s="536"/>
      <c r="RGF1" s="536"/>
      <c r="RGG1" s="536"/>
      <c r="RGH1" s="536"/>
      <c r="RGI1" s="536"/>
      <c r="RGJ1" s="536"/>
      <c r="RGK1" s="536"/>
      <c r="RGL1" s="536"/>
      <c r="RGM1" s="536"/>
      <c r="RGN1" s="536"/>
      <c r="RGO1" s="536"/>
      <c r="RGP1" s="536"/>
      <c r="RGQ1" s="536"/>
      <c r="RGR1" s="536"/>
      <c r="RGS1" s="536"/>
      <c r="RGT1" s="536"/>
      <c r="RGU1" s="536"/>
      <c r="RGV1" s="536"/>
      <c r="RGW1" s="536"/>
      <c r="RGX1" s="536"/>
      <c r="RGY1" s="536"/>
      <c r="RGZ1" s="536"/>
      <c r="RHA1" s="536"/>
      <c r="RHB1" s="536"/>
      <c r="RHC1" s="536"/>
      <c r="RHD1" s="536"/>
      <c r="RHE1" s="536"/>
      <c r="RHF1" s="536"/>
      <c r="RHG1" s="536"/>
      <c r="RHH1" s="536"/>
      <c r="RHI1" s="536"/>
      <c r="RHJ1" s="536"/>
      <c r="RHK1" s="536"/>
      <c r="RHL1" s="536"/>
      <c r="RHM1" s="536"/>
      <c r="RHN1" s="536"/>
      <c r="RHO1" s="536"/>
      <c r="RHP1" s="536"/>
      <c r="RHQ1" s="536"/>
      <c r="RHR1" s="536"/>
      <c r="RHS1" s="536"/>
      <c r="RHT1" s="536"/>
      <c r="RHU1" s="536"/>
      <c r="RHV1" s="536"/>
      <c r="RHW1" s="536"/>
      <c r="RHX1" s="536"/>
      <c r="RHY1" s="536"/>
      <c r="RHZ1" s="536"/>
      <c r="RIA1" s="536"/>
      <c r="RIB1" s="536"/>
      <c r="RIC1" s="536"/>
      <c r="RID1" s="536"/>
      <c r="RIE1" s="536"/>
      <c r="RIF1" s="536"/>
      <c r="RIG1" s="536"/>
      <c r="RIH1" s="536"/>
      <c r="RII1" s="536"/>
      <c r="RIJ1" s="536"/>
      <c r="RIK1" s="536"/>
      <c r="RIL1" s="536"/>
      <c r="RIM1" s="536"/>
      <c r="RIN1" s="536"/>
      <c r="RIO1" s="536"/>
      <c r="RIP1" s="536"/>
      <c r="RIQ1" s="536"/>
      <c r="RIR1" s="536"/>
      <c r="RIS1" s="536"/>
      <c r="RIT1" s="536"/>
      <c r="RIU1" s="536"/>
      <c r="RIV1" s="536"/>
      <c r="RIW1" s="536"/>
      <c r="RIX1" s="536"/>
      <c r="RIY1" s="536"/>
      <c r="RIZ1" s="536"/>
      <c r="RJA1" s="536"/>
      <c r="RJB1" s="536"/>
      <c r="RJC1" s="536"/>
      <c r="RJD1" s="536"/>
      <c r="RJE1" s="536"/>
      <c r="RJF1" s="536"/>
      <c r="RJG1" s="536"/>
      <c r="RJH1" s="536"/>
      <c r="RJI1" s="536"/>
      <c r="RJJ1" s="536"/>
      <c r="RJK1" s="536"/>
      <c r="RJL1" s="536"/>
      <c r="RJM1" s="536"/>
      <c r="RJN1" s="536"/>
      <c r="RJO1" s="536"/>
      <c r="RJP1" s="536"/>
      <c r="RJQ1" s="536"/>
      <c r="RJR1" s="536"/>
      <c r="RJS1" s="536"/>
      <c r="RJT1" s="536"/>
      <c r="RJU1" s="536"/>
      <c r="RJV1" s="536"/>
      <c r="RJW1" s="536"/>
      <c r="RJX1" s="536"/>
      <c r="RJY1" s="536"/>
      <c r="RJZ1" s="536"/>
      <c r="RKA1" s="536"/>
      <c r="RKB1" s="536"/>
      <c r="RKC1" s="536"/>
      <c r="RKD1" s="536"/>
      <c r="RKE1" s="536"/>
      <c r="RKF1" s="536"/>
      <c r="RKG1" s="536"/>
      <c r="RKH1" s="536"/>
      <c r="RKI1" s="536"/>
      <c r="RKJ1" s="536"/>
      <c r="RKK1" s="536"/>
      <c r="RKL1" s="536"/>
      <c r="RKM1" s="536"/>
      <c r="RKN1" s="536"/>
      <c r="RKO1" s="536"/>
      <c r="RKP1" s="536"/>
      <c r="RKQ1" s="536"/>
      <c r="RKR1" s="536"/>
      <c r="RKS1" s="536"/>
      <c r="RKT1" s="536"/>
      <c r="RKU1" s="536"/>
      <c r="RKV1" s="536"/>
      <c r="RKW1" s="536"/>
      <c r="RKX1" s="536"/>
      <c r="RKY1" s="536"/>
      <c r="RKZ1" s="536"/>
      <c r="RLA1" s="536"/>
      <c r="RLB1" s="536"/>
      <c r="RLC1" s="536"/>
      <c r="RLD1" s="536"/>
      <c r="RLE1" s="536"/>
      <c r="RLF1" s="536"/>
      <c r="RLG1" s="536"/>
      <c r="RLH1" s="536"/>
      <c r="RLI1" s="536"/>
      <c r="RLJ1" s="536"/>
      <c r="RLK1" s="536"/>
      <c r="RLL1" s="536"/>
      <c r="RLM1" s="536"/>
      <c r="RLN1" s="536"/>
      <c r="RLO1" s="536"/>
      <c r="RLP1" s="536"/>
      <c r="RLQ1" s="536"/>
      <c r="RLR1" s="536"/>
      <c r="RLS1" s="536"/>
      <c r="RLT1" s="536"/>
      <c r="RLU1" s="536"/>
      <c r="RLV1" s="536"/>
      <c r="RLW1" s="536"/>
      <c r="RLX1" s="536"/>
      <c r="RLY1" s="536"/>
      <c r="RLZ1" s="536"/>
      <c r="RMA1" s="536"/>
      <c r="RMB1" s="536"/>
      <c r="RMC1" s="536"/>
      <c r="RMD1" s="536"/>
      <c r="RME1" s="536"/>
      <c r="RMF1" s="536"/>
      <c r="RMG1" s="536"/>
      <c r="RMH1" s="536"/>
      <c r="RMI1" s="536"/>
      <c r="RMJ1" s="536"/>
      <c r="RMK1" s="536"/>
      <c r="RML1" s="536"/>
      <c r="RMM1" s="536"/>
      <c r="RMN1" s="536"/>
      <c r="RMO1" s="536"/>
      <c r="RMP1" s="536"/>
      <c r="RMQ1" s="536"/>
      <c r="RMR1" s="536"/>
      <c r="RMS1" s="536"/>
      <c r="RMT1" s="536"/>
      <c r="RMU1" s="536"/>
      <c r="RMV1" s="536"/>
      <c r="RMW1" s="536"/>
      <c r="RMX1" s="536"/>
      <c r="RMY1" s="536"/>
      <c r="RMZ1" s="536"/>
      <c r="RNA1" s="536"/>
      <c r="RNB1" s="536"/>
      <c r="RNC1" s="536"/>
      <c r="RND1" s="536"/>
      <c r="RNE1" s="536"/>
      <c r="RNF1" s="536"/>
      <c r="RNG1" s="536"/>
      <c r="RNH1" s="536"/>
      <c r="RNI1" s="536"/>
      <c r="RNJ1" s="536"/>
      <c r="RNK1" s="536"/>
      <c r="RNL1" s="536"/>
      <c r="RNM1" s="536"/>
      <c r="RNN1" s="536"/>
      <c r="RNO1" s="536"/>
      <c r="RNP1" s="536"/>
      <c r="RNQ1" s="536"/>
      <c r="RNR1" s="536"/>
      <c r="RNS1" s="536"/>
      <c r="RNT1" s="536"/>
      <c r="RNU1" s="536"/>
      <c r="RNV1" s="536"/>
      <c r="RNW1" s="536"/>
      <c r="RNX1" s="536"/>
      <c r="RNY1" s="536"/>
      <c r="RNZ1" s="536"/>
      <c r="ROA1" s="536"/>
      <c r="ROB1" s="536"/>
      <c r="ROC1" s="536"/>
      <c r="ROD1" s="536"/>
      <c r="ROE1" s="536"/>
      <c r="ROF1" s="536"/>
      <c r="ROG1" s="536"/>
      <c r="ROH1" s="536"/>
      <c r="ROI1" s="536"/>
      <c r="ROJ1" s="536"/>
      <c r="ROK1" s="536"/>
      <c r="ROL1" s="536"/>
      <c r="ROM1" s="536"/>
      <c r="RON1" s="536"/>
      <c r="ROO1" s="536"/>
      <c r="ROP1" s="536"/>
      <c r="ROQ1" s="536"/>
      <c r="ROR1" s="536"/>
      <c r="ROS1" s="536"/>
      <c r="ROT1" s="536"/>
      <c r="ROU1" s="536"/>
      <c r="ROV1" s="536"/>
      <c r="ROW1" s="536"/>
      <c r="ROX1" s="536"/>
      <c r="ROY1" s="536"/>
      <c r="ROZ1" s="536"/>
      <c r="RPA1" s="536"/>
      <c r="RPB1" s="536"/>
      <c r="RPC1" s="536"/>
      <c r="RPD1" s="536"/>
      <c r="RPE1" s="536"/>
      <c r="RPF1" s="536"/>
      <c r="RPG1" s="536"/>
      <c r="RPH1" s="536"/>
      <c r="RPI1" s="536"/>
      <c r="RPJ1" s="536"/>
      <c r="RPK1" s="536"/>
      <c r="RPL1" s="536"/>
      <c r="RPM1" s="536"/>
      <c r="RPN1" s="536"/>
      <c r="RPO1" s="536"/>
      <c r="RPP1" s="536"/>
      <c r="RPQ1" s="536"/>
      <c r="RPR1" s="536"/>
      <c r="RPS1" s="536"/>
      <c r="RPT1" s="536"/>
      <c r="RPU1" s="536"/>
      <c r="RPV1" s="536"/>
      <c r="RPW1" s="536"/>
      <c r="RPX1" s="536"/>
      <c r="RPY1" s="536"/>
      <c r="RPZ1" s="536"/>
      <c r="RQA1" s="536"/>
      <c r="RQB1" s="536"/>
      <c r="RQC1" s="536"/>
      <c r="RQD1" s="536"/>
      <c r="RQE1" s="536"/>
      <c r="RQF1" s="536"/>
      <c r="RQG1" s="536"/>
      <c r="RQH1" s="536"/>
      <c r="RQI1" s="536"/>
      <c r="RQJ1" s="536"/>
      <c r="RQK1" s="536"/>
      <c r="RQL1" s="536"/>
      <c r="RQM1" s="536"/>
      <c r="RQN1" s="536"/>
      <c r="RQO1" s="536"/>
      <c r="RQP1" s="536"/>
      <c r="RQQ1" s="536"/>
      <c r="RQR1" s="536"/>
      <c r="RQS1" s="536"/>
      <c r="RQT1" s="536"/>
      <c r="RQU1" s="536"/>
      <c r="RQV1" s="536"/>
      <c r="RQW1" s="536"/>
      <c r="RQX1" s="536"/>
      <c r="RQY1" s="536"/>
      <c r="RQZ1" s="536"/>
      <c r="RRA1" s="536"/>
      <c r="RRB1" s="536"/>
      <c r="RRC1" s="536"/>
      <c r="RRD1" s="536"/>
      <c r="RRE1" s="536"/>
      <c r="RRF1" s="536"/>
      <c r="RRG1" s="536"/>
      <c r="RRH1" s="536"/>
      <c r="RRI1" s="536"/>
      <c r="RRJ1" s="536"/>
      <c r="RRK1" s="536"/>
      <c r="RRL1" s="536"/>
      <c r="RRM1" s="536"/>
      <c r="RRN1" s="536"/>
      <c r="RRO1" s="536"/>
      <c r="RRP1" s="536"/>
      <c r="RRQ1" s="536"/>
      <c r="RRR1" s="536"/>
      <c r="RRS1" s="536"/>
      <c r="RRT1" s="536"/>
      <c r="RRU1" s="536"/>
      <c r="RRV1" s="536"/>
      <c r="RRW1" s="536"/>
      <c r="RRX1" s="536"/>
      <c r="RRY1" s="536"/>
      <c r="RRZ1" s="536"/>
      <c r="RSA1" s="536"/>
      <c r="RSB1" s="536"/>
      <c r="RSC1" s="536"/>
      <c r="RSD1" s="536"/>
      <c r="RSE1" s="536"/>
      <c r="RSF1" s="536"/>
      <c r="RSG1" s="536"/>
      <c r="RSH1" s="536"/>
      <c r="RSI1" s="536"/>
      <c r="RSJ1" s="536"/>
      <c r="RSK1" s="536"/>
      <c r="RSL1" s="536"/>
      <c r="RSM1" s="536"/>
      <c r="RSN1" s="536"/>
      <c r="RSO1" s="536"/>
      <c r="RSP1" s="536"/>
      <c r="RSQ1" s="536"/>
      <c r="RSR1" s="536"/>
      <c r="RSS1" s="536"/>
      <c r="RST1" s="536"/>
      <c r="RSU1" s="536"/>
      <c r="RSV1" s="536"/>
      <c r="RSW1" s="536"/>
      <c r="RSX1" s="536"/>
      <c r="RSY1" s="536"/>
      <c r="RSZ1" s="536"/>
      <c r="RTA1" s="536"/>
      <c r="RTB1" s="536"/>
      <c r="RTC1" s="536"/>
      <c r="RTD1" s="536"/>
      <c r="RTE1" s="536"/>
      <c r="RTF1" s="536"/>
      <c r="RTG1" s="536"/>
      <c r="RTH1" s="536"/>
      <c r="RTI1" s="536"/>
      <c r="RTJ1" s="536"/>
      <c r="RTK1" s="536"/>
      <c r="RTL1" s="536"/>
      <c r="RTM1" s="536"/>
      <c r="RTN1" s="536"/>
      <c r="RTO1" s="536"/>
      <c r="RTP1" s="536"/>
      <c r="RTQ1" s="536"/>
      <c r="RTR1" s="536"/>
      <c r="RTS1" s="536"/>
      <c r="RTT1" s="536"/>
      <c r="RTU1" s="536"/>
      <c r="RTV1" s="536"/>
      <c r="RTW1" s="536"/>
      <c r="RTX1" s="536"/>
      <c r="RTY1" s="536"/>
      <c r="RTZ1" s="536"/>
      <c r="RUA1" s="536"/>
      <c r="RUB1" s="536"/>
      <c r="RUC1" s="536"/>
      <c r="RUD1" s="536"/>
      <c r="RUE1" s="536"/>
      <c r="RUF1" s="536"/>
      <c r="RUG1" s="536"/>
      <c r="RUH1" s="536"/>
      <c r="RUI1" s="536"/>
      <c r="RUJ1" s="536"/>
      <c r="RUK1" s="536"/>
      <c r="RUL1" s="536"/>
      <c r="RUM1" s="536"/>
      <c r="RUN1" s="536"/>
      <c r="RUO1" s="536"/>
      <c r="RUP1" s="536"/>
      <c r="RUQ1" s="536"/>
      <c r="RUR1" s="536"/>
      <c r="RUS1" s="536"/>
      <c r="RUT1" s="536"/>
      <c r="RUU1" s="536"/>
      <c r="RUV1" s="536"/>
      <c r="RUW1" s="536"/>
      <c r="RUX1" s="536"/>
      <c r="RUY1" s="536"/>
      <c r="RUZ1" s="536"/>
      <c r="RVA1" s="536"/>
      <c r="RVB1" s="536"/>
      <c r="RVC1" s="536"/>
      <c r="RVD1" s="536"/>
      <c r="RVE1" s="536"/>
      <c r="RVF1" s="536"/>
      <c r="RVG1" s="536"/>
      <c r="RVH1" s="536"/>
      <c r="RVI1" s="536"/>
      <c r="RVJ1" s="536"/>
      <c r="RVK1" s="536"/>
      <c r="RVL1" s="536"/>
      <c r="RVM1" s="536"/>
      <c r="RVN1" s="536"/>
      <c r="RVO1" s="536"/>
      <c r="RVP1" s="536"/>
      <c r="RVQ1" s="536"/>
      <c r="RVR1" s="536"/>
      <c r="RVS1" s="536"/>
      <c r="RVT1" s="536"/>
      <c r="RVU1" s="536"/>
      <c r="RVV1" s="536"/>
      <c r="RVW1" s="536"/>
      <c r="RVX1" s="536"/>
      <c r="RVY1" s="536"/>
      <c r="RVZ1" s="536"/>
      <c r="RWA1" s="536"/>
      <c r="RWB1" s="536"/>
      <c r="RWC1" s="536"/>
      <c r="RWD1" s="536"/>
      <c r="RWE1" s="536"/>
      <c r="RWF1" s="536"/>
      <c r="RWG1" s="536"/>
      <c r="RWH1" s="536"/>
      <c r="RWI1" s="536"/>
      <c r="RWJ1" s="536"/>
      <c r="RWK1" s="536"/>
      <c r="RWL1" s="536"/>
      <c r="RWM1" s="536"/>
      <c r="RWN1" s="536"/>
      <c r="RWO1" s="536"/>
      <c r="RWP1" s="536"/>
      <c r="RWQ1" s="536"/>
      <c r="RWR1" s="536"/>
      <c r="RWS1" s="536"/>
      <c r="RWT1" s="536"/>
      <c r="RWU1" s="536"/>
      <c r="RWV1" s="536"/>
      <c r="RWW1" s="536"/>
      <c r="RWX1" s="536"/>
      <c r="RWY1" s="536"/>
      <c r="RWZ1" s="536"/>
      <c r="RXA1" s="536"/>
      <c r="RXB1" s="536"/>
      <c r="RXC1" s="536"/>
      <c r="RXD1" s="536"/>
      <c r="RXE1" s="536"/>
      <c r="RXF1" s="536"/>
      <c r="RXG1" s="536"/>
      <c r="RXH1" s="536"/>
      <c r="RXI1" s="536"/>
      <c r="RXJ1" s="536"/>
      <c r="RXK1" s="536"/>
      <c r="RXL1" s="536"/>
      <c r="RXM1" s="536"/>
      <c r="RXN1" s="536"/>
      <c r="RXO1" s="536"/>
      <c r="RXP1" s="536"/>
      <c r="RXQ1" s="536"/>
      <c r="RXR1" s="536"/>
      <c r="RXS1" s="536"/>
      <c r="RXT1" s="536"/>
      <c r="RXU1" s="536"/>
      <c r="RXV1" s="536"/>
      <c r="RXW1" s="536"/>
      <c r="RXX1" s="536"/>
      <c r="RXY1" s="536"/>
      <c r="RXZ1" s="536"/>
      <c r="RYA1" s="536"/>
      <c r="RYB1" s="536"/>
      <c r="RYC1" s="536"/>
      <c r="RYD1" s="536"/>
      <c r="RYE1" s="536"/>
      <c r="RYF1" s="536"/>
      <c r="RYG1" s="536"/>
      <c r="RYH1" s="536"/>
      <c r="RYI1" s="536"/>
      <c r="RYJ1" s="536"/>
      <c r="RYK1" s="536"/>
      <c r="RYL1" s="536"/>
      <c r="RYM1" s="536"/>
      <c r="RYN1" s="536"/>
      <c r="RYO1" s="536"/>
      <c r="RYP1" s="536"/>
      <c r="RYQ1" s="536"/>
      <c r="RYR1" s="536"/>
      <c r="RYS1" s="536"/>
      <c r="RYT1" s="536"/>
      <c r="RYU1" s="536"/>
      <c r="RYV1" s="536"/>
      <c r="RYW1" s="536"/>
      <c r="RYX1" s="536"/>
      <c r="RYY1" s="536"/>
      <c r="RYZ1" s="536"/>
      <c r="RZA1" s="536"/>
      <c r="RZB1" s="536"/>
      <c r="RZC1" s="536"/>
      <c r="RZD1" s="536"/>
      <c r="RZE1" s="536"/>
      <c r="RZF1" s="536"/>
      <c r="RZG1" s="536"/>
      <c r="RZH1" s="536"/>
      <c r="RZI1" s="536"/>
      <c r="RZJ1" s="536"/>
      <c r="RZK1" s="536"/>
      <c r="RZL1" s="536"/>
      <c r="RZM1" s="536"/>
      <c r="RZN1" s="536"/>
      <c r="RZO1" s="536"/>
      <c r="RZP1" s="536"/>
      <c r="RZQ1" s="536"/>
      <c r="RZR1" s="536"/>
      <c r="RZS1" s="536"/>
      <c r="RZT1" s="536"/>
      <c r="RZU1" s="536"/>
      <c r="RZV1" s="536"/>
      <c r="RZW1" s="536"/>
      <c r="RZX1" s="536"/>
      <c r="RZY1" s="536"/>
      <c r="RZZ1" s="536"/>
      <c r="SAA1" s="536"/>
      <c r="SAB1" s="536"/>
      <c r="SAC1" s="536"/>
      <c r="SAD1" s="536"/>
      <c r="SAE1" s="536"/>
      <c r="SAF1" s="536"/>
      <c r="SAG1" s="536"/>
      <c r="SAH1" s="536"/>
      <c r="SAI1" s="536"/>
      <c r="SAJ1" s="536"/>
      <c r="SAK1" s="536"/>
      <c r="SAL1" s="536"/>
      <c r="SAM1" s="536"/>
      <c r="SAN1" s="536"/>
      <c r="SAO1" s="536"/>
      <c r="SAP1" s="536"/>
      <c r="SAQ1" s="536"/>
      <c r="SAR1" s="536"/>
      <c r="SAS1" s="536"/>
      <c r="SAT1" s="536"/>
      <c r="SAU1" s="536"/>
      <c r="SAV1" s="536"/>
      <c r="SAW1" s="536"/>
      <c r="SAX1" s="536"/>
      <c r="SAY1" s="536"/>
      <c r="SAZ1" s="536"/>
      <c r="SBA1" s="536"/>
      <c r="SBB1" s="536"/>
      <c r="SBC1" s="536"/>
      <c r="SBD1" s="536"/>
      <c r="SBE1" s="536"/>
      <c r="SBF1" s="536"/>
      <c r="SBG1" s="536"/>
      <c r="SBH1" s="536"/>
      <c r="SBI1" s="536"/>
      <c r="SBJ1" s="536"/>
      <c r="SBK1" s="536"/>
      <c r="SBL1" s="536"/>
      <c r="SBM1" s="536"/>
      <c r="SBN1" s="536"/>
      <c r="SBO1" s="536"/>
      <c r="SBP1" s="536"/>
      <c r="SBQ1" s="536"/>
      <c r="SBR1" s="536"/>
      <c r="SBS1" s="536"/>
      <c r="SBT1" s="536"/>
      <c r="SBU1" s="536"/>
      <c r="SBV1" s="536"/>
      <c r="SBW1" s="536"/>
      <c r="SBX1" s="536"/>
      <c r="SBY1" s="536"/>
      <c r="SBZ1" s="536"/>
      <c r="SCA1" s="536"/>
      <c r="SCB1" s="536"/>
      <c r="SCC1" s="536"/>
      <c r="SCD1" s="536"/>
      <c r="SCE1" s="536"/>
      <c r="SCF1" s="536"/>
      <c r="SCG1" s="536"/>
      <c r="SCH1" s="536"/>
      <c r="SCI1" s="536"/>
      <c r="SCJ1" s="536"/>
      <c r="SCK1" s="536"/>
      <c r="SCL1" s="536"/>
      <c r="SCM1" s="536"/>
      <c r="SCN1" s="536"/>
      <c r="SCO1" s="536"/>
      <c r="SCP1" s="536"/>
      <c r="SCQ1" s="536"/>
      <c r="SCR1" s="536"/>
      <c r="SCS1" s="536"/>
      <c r="SCT1" s="536"/>
      <c r="SCU1" s="536"/>
      <c r="SCV1" s="536"/>
      <c r="SCW1" s="536"/>
      <c r="SCX1" s="536"/>
      <c r="SCY1" s="536"/>
      <c r="SCZ1" s="536"/>
      <c r="SDA1" s="536"/>
      <c r="SDB1" s="536"/>
      <c r="SDC1" s="536"/>
      <c r="SDD1" s="536"/>
      <c r="SDE1" s="536"/>
      <c r="SDF1" s="536"/>
      <c r="SDG1" s="536"/>
      <c r="SDH1" s="536"/>
      <c r="SDI1" s="536"/>
      <c r="SDJ1" s="536"/>
      <c r="SDK1" s="536"/>
      <c r="SDL1" s="536"/>
      <c r="SDM1" s="536"/>
      <c r="SDN1" s="536"/>
      <c r="SDO1" s="536"/>
      <c r="SDP1" s="536"/>
      <c r="SDQ1" s="536"/>
      <c r="SDR1" s="536"/>
      <c r="SDS1" s="536"/>
      <c r="SDT1" s="536"/>
      <c r="SDU1" s="536"/>
      <c r="SDV1" s="536"/>
      <c r="SDW1" s="536"/>
      <c r="SDX1" s="536"/>
      <c r="SDY1" s="536"/>
      <c r="SDZ1" s="536"/>
      <c r="SEA1" s="536"/>
      <c r="SEB1" s="536"/>
      <c r="SEC1" s="536"/>
      <c r="SED1" s="536"/>
      <c r="SEE1" s="536"/>
      <c r="SEF1" s="536"/>
      <c r="SEG1" s="536"/>
      <c r="SEH1" s="536"/>
      <c r="SEI1" s="536"/>
      <c r="SEJ1" s="536"/>
      <c r="SEK1" s="536"/>
      <c r="SEL1" s="536"/>
      <c r="SEM1" s="536"/>
      <c r="SEN1" s="536"/>
      <c r="SEO1" s="536"/>
      <c r="SEP1" s="536"/>
      <c r="SEQ1" s="536"/>
      <c r="SER1" s="536"/>
      <c r="SES1" s="536"/>
      <c r="SET1" s="536"/>
      <c r="SEU1" s="536"/>
      <c r="SEV1" s="536"/>
      <c r="SEW1" s="536"/>
      <c r="SEX1" s="536"/>
      <c r="SEY1" s="536"/>
      <c r="SEZ1" s="536"/>
      <c r="SFA1" s="536"/>
      <c r="SFB1" s="536"/>
      <c r="SFC1" s="536"/>
      <c r="SFD1" s="536"/>
      <c r="SFE1" s="536"/>
      <c r="SFF1" s="536"/>
      <c r="SFG1" s="536"/>
      <c r="SFH1" s="536"/>
      <c r="SFI1" s="536"/>
      <c r="SFJ1" s="536"/>
      <c r="SFK1" s="536"/>
      <c r="SFL1" s="536"/>
      <c r="SFM1" s="536"/>
      <c r="SFN1" s="536"/>
      <c r="SFO1" s="536"/>
      <c r="SFP1" s="536"/>
      <c r="SFQ1" s="536"/>
      <c r="SFR1" s="536"/>
      <c r="SFS1" s="536"/>
      <c r="SFT1" s="536"/>
      <c r="SFU1" s="536"/>
      <c r="SFV1" s="536"/>
      <c r="SFW1" s="536"/>
      <c r="SFX1" s="536"/>
      <c r="SFY1" s="536"/>
      <c r="SFZ1" s="536"/>
      <c r="SGA1" s="536"/>
      <c r="SGB1" s="536"/>
      <c r="SGC1" s="536"/>
      <c r="SGD1" s="536"/>
      <c r="SGE1" s="536"/>
      <c r="SGF1" s="536"/>
      <c r="SGG1" s="536"/>
      <c r="SGH1" s="536"/>
      <c r="SGI1" s="536"/>
      <c r="SGJ1" s="536"/>
      <c r="SGK1" s="536"/>
      <c r="SGL1" s="536"/>
      <c r="SGM1" s="536"/>
      <c r="SGN1" s="536"/>
      <c r="SGO1" s="536"/>
      <c r="SGP1" s="536"/>
      <c r="SGQ1" s="536"/>
      <c r="SGR1" s="536"/>
      <c r="SGS1" s="536"/>
      <c r="SGT1" s="536"/>
      <c r="SGU1" s="536"/>
      <c r="SGV1" s="536"/>
      <c r="SGW1" s="536"/>
      <c r="SGX1" s="536"/>
      <c r="SGY1" s="536"/>
      <c r="SGZ1" s="536"/>
      <c r="SHA1" s="536"/>
      <c r="SHB1" s="536"/>
      <c r="SHC1" s="536"/>
      <c r="SHD1" s="536"/>
      <c r="SHE1" s="536"/>
      <c r="SHF1" s="536"/>
      <c r="SHG1" s="536"/>
      <c r="SHH1" s="536"/>
      <c r="SHI1" s="536"/>
      <c r="SHJ1" s="536"/>
      <c r="SHK1" s="536"/>
      <c r="SHL1" s="536"/>
      <c r="SHM1" s="536"/>
      <c r="SHN1" s="536"/>
      <c r="SHO1" s="536"/>
      <c r="SHP1" s="536"/>
      <c r="SHQ1" s="536"/>
      <c r="SHR1" s="536"/>
      <c r="SHS1" s="536"/>
      <c r="SHT1" s="536"/>
      <c r="SHU1" s="536"/>
      <c r="SHV1" s="536"/>
      <c r="SHW1" s="536"/>
      <c r="SHX1" s="536"/>
      <c r="SHY1" s="536"/>
      <c r="SHZ1" s="536"/>
      <c r="SIA1" s="536"/>
      <c r="SIB1" s="536"/>
      <c r="SIC1" s="536"/>
      <c r="SID1" s="536"/>
      <c r="SIE1" s="536"/>
      <c r="SIF1" s="536"/>
      <c r="SIG1" s="536"/>
      <c r="SIH1" s="536"/>
      <c r="SII1" s="536"/>
      <c r="SIJ1" s="536"/>
      <c r="SIK1" s="536"/>
      <c r="SIL1" s="536"/>
      <c r="SIM1" s="536"/>
      <c r="SIN1" s="536"/>
      <c r="SIO1" s="536"/>
      <c r="SIP1" s="536"/>
      <c r="SIQ1" s="536"/>
      <c r="SIR1" s="536"/>
      <c r="SIS1" s="536"/>
      <c r="SIT1" s="536"/>
      <c r="SIU1" s="536"/>
      <c r="SIV1" s="536"/>
      <c r="SIW1" s="536"/>
      <c r="SIX1" s="536"/>
      <c r="SIY1" s="536"/>
      <c r="SIZ1" s="536"/>
      <c r="SJA1" s="536"/>
      <c r="SJB1" s="536"/>
      <c r="SJC1" s="536"/>
      <c r="SJD1" s="536"/>
      <c r="SJE1" s="536"/>
      <c r="SJF1" s="536"/>
      <c r="SJG1" s="536"/>
      <c r="SJH1" s="536"/>
      <c r="SJI1" s="536"/>
      <c r="SJJ1" s="536"/>
      <c r="SJK1" s="536"/>
      <c r="SJL1" s="536"/>
      <c r="SJM1" s="536"/>
      <c r="SJN1" s="536"/>
      <c r="SJO1" s="536"/>
      <c r="SJP1" s="536"/>
      <c r="SJQ1" s="536"/>
      <c r="SJR1" s="536"/>
      <c r="SJS1" s="536"/>
      <c r="SJT1" s="536"/>
      <c r="SJU1" s="536"/>
      <c r="SJV1" s="536"/>
      <c r="SJW1" s="536"/>
      <c r="SJX1" s="536"/>
      <c r="SJY1" s="536"/>
      <c r="SJZ1" s="536"/>
      <c r="SKA1" s="536"/>
      <c r="SKB1" s="536"/>
      <c r="SKC1" s="536"/>
      <c r="SKD1" s="536"/>
      <c r="SKE1" s="536"/>
      <c r="SKF1" s="536"/>
      <c r="SKG1" s="536"/>
      <c r="SKH1" s="536"/>
      <c r="SKI1" s="536"/>
      <c r="SKJ1" s="536"/>
      <c r="SKK1" s="536"/>
      <c r="SKL1" s="536"/>
      <c r="SKM1" s="536"/>
      <c r="SKN1" s="536"/>
      <c r="SKO1" s="536"/>
      <c r="SKP1" s="536"/>
      <c r="SKQ1" s="536"/>
      <c r="SKR1" s="536"/>
      <c r="SKS1" s="536"/>
      <c r="SKT1" s="536"/>
      <c r="SKU1" s="536"/>
      <c r="SKV1" s="536"/>
      <c r="SKW1" s="536"/>
      <c r="SKX1" s="536"/>
      <c r="SKY1" s="536"/>
      <c r="SKZ1" s="536"/>
      <c r="SLA1" s="536"/>
      <c r="SLB1" s="536"/>
      <c r="SLC1" s="536"/>
      <c r="SLD1" s="536"/>
      <c r="SLE1" s="536"/>
      <c r="SLF1" s="536"/>
      <c r="SLG1" s="536"/>
      <c r="SLH1" s="536"/>
      <c r="SLI1" s="536"/>
      <c r="SLJ1" s="536"/>
      <c r="SLK1" s="536"/>
      <c r="SLL1" s="536"/>
      <c r="SLM1" s="536"/>
      <c r="SLN1" s="536"/>
      <c r="SLO1" s="536"/>
      <c r="SLP1" s="536"/>
      <c r="SLQ1" s="536"/>
      <c r="SLR1" s="536"/>
      <c r="SLS1" s="536"/>
      <c r="SLT1" s="536"/>
      <c r="SLU1" s="536"/>
      <c r="SLV1" s="536"/>
      <c r="SLW1" s="536"/>
      <c r="SLX1" s="536"/>
      <c r="SLY1" s="536"/>
      <c r="SLZ1" s="536"/>
      <c r="SMA1" s="536"/>
      <c r="SMB1" s="536"/>
      <c r="SMC1" s="536"/>
      <c r="SMD1" s="536"/>
      <c r="SME1" s="536"/>
      <c r="SMF1" s="536"/>
      <c r="SMG1" s="536"/>
      <c r="SMH1" s="536"/>
      <c r="SMI1" s="536"/>
      <c r="SMJ1" s="536"/>
      <c r="SMK1" s="536"/>
      <c r="SML1" s="536"/>
      <c r="SMM1" s="536"/>
      <c r="SMN1" s="536"/>
      <c r="SMO1" s="536"/>
      <c r="SMP1" s="536"/>
      <c r="SMQ1" s="536"/>
      <c r="SMR1" s="536"/>
      <c r="SMS1" s="536"/>
      <c r="SMT1" s="536"/>
      <c r="SMU1" s="536"/>
      <c r="SMV1" s="536"/>
      <c r="SMW1" s="536"/>
      <c r="SMX1" s="536"/>
      <c r="SMY1" s="536"/>
      <c r="SMZ1" s="536"/>
      <c r="SNA1" s="536"/>
      <c r="SNB1" s="536"/>
      <c r="SNC1" s="536"/>
      <c r="SND1" s="536"/>
      <c r="SNE1" s="536"/>
      <c r="SNF1" s="536"/>
      <c r="SNG1" s="536"/>
      <c r="SNH1" s="536"/>
      <c r="SNI1" s="536"/>
      <c r="SNJ1" s="536"/>
      <c r="SNK1" s="536"/>
      <c r="SNL1" s="536"/>
      <c r="SNM1" s="536"/>
      <c r="SNN1" s="536"/>
      <c r="SNO1" s="536"/>
      <c r="SNP1" s="536"/>
      <c r="SNQ1" s="536"/>
      <c r="SNR1" s="536"/>
      <c r="SNS1" s="536"/>
      <c r="SNT1" s="536"/>
      <c r="SNU1" s="536"/>
      <c r="SNV1" s="536"/>
      <c r="SNW1" s="536"/>
      <c r="SNX1" s="536"/>
      <c r="SNY1" s="536"/>
      <c r="SNZ1" s="536"/>
      <c r="SOA1" s="536"/>
      <c r="SOB1" s="536"/>
      <c r="SOC1" s="536"/>
      <c r="SOD1" s="536"/>
      <c r="SOE1" s="536"/>
      <c r="SOF1" s="536"/>
      <c r="SOG1" s="536"/>
      <c r="SOH1" s="536"/>
      <c r="SOI1" s="536"/>
      <c r="SOJ1" s="536"/>
      <c r="SOK1" s="536"/>
      <c r="SOL1" s="536"/>
      <c r="SOM1" s="536"/>
      <c r="SON1" s="536"/>
      <c r="SOO1" s="536"/>
      <c r="SOP1" s="536"/>
      <c r="SOQ1" s="536"/>
      <c r="SOR1" s="536"/>
      <c r="SOS1" s="536"/>
      <c r="SOT1" s="536"/>
      <c r="SOU1" s="536"/>
      <c r="SOV1" s="536"/>
      <c r="SOW1" s="536"/>
      <c r="SOX1" s="536"/>
      <c r="SOY1" s="536"/>
      <c r="SOZ1" s="536"/>
      <c r="SPA1" s="536"/>
      <c r="SPB1" s="536"/>
      <c r="SPC1" s="536"/>
      <c r="SPD1" s="536"/>
      <c r="SPE1" s="536"/>
      <c r="SPF1" s="536"/>
      <c r="SPG1" s="536"/>
      <c r="SPH1" s="536"/>
      <c r="SPI1" s="536"/>
      <c r="SPJ1" s="536"/>
      <c r="SPK1" s="536"/>
      <c r="SPL1" s="536"/>
      <c r="SPM1" s="536"/>
      <c r="SPN1" s="536"/>
      <c r="SPO1" s="536"/>
      <c r="SPP1" s="536"/>
      <c r="SPQ1" s="536"/>
      <c r="SPR1" s="536"/>
      <c r="SPS1" s="536"/>
      <c r="SPT1" s="536"/>
      <c r="SPU1" s="536"/>
      <c r="SPV1" s="536"/>
      <c r="SPW1" s="536"/>
      <c r="SPX1" s="536"/>
      <c r="SPY1" s="536"/>
      <c r="SPZ1" s="536"/>
      <c r="SQA1" s="536"/>
      <c r="SQB1" s="536"/>
      <c r="SQC1" s="536"/>
      <c r="SQD1" s="536"/>
      <c r="SQE1" s="536"/>
      <c r="SQF1" s="536"/>
      <c r="SQG1" s="536"/>
      <c r="SQH1" s="536"/>
      <c r="SQI1" s="536"/>
      <c r="SQJ1" s="536"/>
      <c r="SQK1" s="536"/>
      <c r="SQL1" s="536"/>
      <c r="SQM1" s="536"/>
      <c r="SQN1" s="536"/>
      <c r="SQO1" s="536"/>
      <c r="SQP1" s="536"/>
      <c r="SQQ1" s="536"/>
      <c r="SQR1" s="536"/>
      <c r="SQS1" s="536"/>
      <c r="SQT1" s="536"/>
      <c r="SQU1" s="536"/>
      <c r="SQV1" s="536"/>
      <c r="SQW1" s="536"/>
      <c r="SQX1" s="536"/>
      <c r="SQY1" s="536"/>
      <c r="SQZ1" s="536"/>
      <c r="SRA1" s="536"/>
      <c r="SRB1" s="536"/>
      <c r="SRC1" s="536"/>
      <c r="SRD1" s="536"/>
      <c r="SRE1" s="536"/>
      <c r="SRF1" s="536"/>
      <c r="SRG1" s="536"/>
      <c r="SRH1" s="536"/>
      <c r="SRI1" s="536"/>
      <c r="SRJ1" s="536"/>
      <c r="SRK1" s="536"/>
      <c r="SRL1" s="536"/>
      <c r="SRM1" s="536"/>
      <c r="SRN1" s="536"/>
      <c r="SRO1" s="536"/>
      <c r="SRP1" s="536"/>
      <c r="SRQ1" s="536"/>
      <c r="SRR1" s="536"/>
      <c r="SRS1" s="536"/>
      <c r="SRT1" s="536"/>
      <c r="SRU1" s="536"/>
      <c r="SRV1" s="536"/>
      <c r="SRW1" s="536"/>
      <c r="SRX1" s="536"/>
      <c r="SRY1" s="536"/>
      <c r="SRZ1" s="536"/>
      <c r="SSA1" s="536"/>
      <c r="SSB1" s="536"/>
      <c r="SSC1" s="536"/>
      <c r="SSD1" s="536"/>
      <c r="SSE1" s="536"/>
      <c r="SSF1" s="536"/>
      <c r="SSG1" s="536"/>
      <c r="SSH1" s="536"/>
      <c r="SSI1" s="536"/>
      <c r="SSJ1" s="536"/>
      <c r="SSK1" s="536"/>
      <c r="SSL1" s="536"/>
      <c r="SSM1" s="536"/>
      <c r="SSN1" s="536"/>
      <c r="SSO1" s="536"/>
      <c r="SSP1" s="536"/>
      <c r="SSQ1" s="536"/>
      <c r="SSR1" s="536"/>
      <c r="SSS1" s="536"/>
      <c r="SST1" s="536"/>
      <c r="SSU1" s="536"/>
      <c r="SSV1" s="536"/>
      <c r="SSW1" s="536"/>
      <c r="SSX1" s="536"/>
      <c r="SSY1" s="536"/>
      <c r="SSZ1" s="536"/>
      <c r="STA1" s="536"/>
      <c r="STB1" s="536"/>
      <c r="STC1" s="536"/>
      <c r="STD1" s="536"/>
      <c r="STE1" s="536"/>
      <c r="STF1" s="536"/>
      <c r="STG1" s="536"/>
      <c r="STH1" s="536"/>
      <c r="STI1" s="536"/>
      <c r="STJ1" s="536"/>
      <c r="STK1" s="536"/>
      <c r="STL1" s="536"/>
      <c r="STM1" s="536"/>
      <c r="STN1" s="536"/>
      <c r="STO1" s="536"/>
      <c r="STP1" s="536"/>
      <c r="STQ1" s="536"/>
      <c r="STR1" s="536"/>
      <c r="STS1" s="536"/>
      <c r="STT1" s="536"/>
      <c r="STU1" s="536"/>
      <c r="STV1" s="536"/>
      <c r="STW1" s="536"/>
      <c r="STX1" s="536"/>
      <c r="STY1" s="536"/>
      <c r="STZ1" s="536"/>
      <c r="SUA1" s="536"/>
      <c r="SUB1" s="536"/>
      <c r="SUC1" s="536"/>
      <c r="SUD1" s="536"/>
      <c r="SUE1" s="536"/>
      <c r="SUF1" s="536"/>
      <c r="SUG1" s="536"/>
      <c r="SUH1" s="536"/>
      <c r="SUI1" s="536"/>
      <c r="SUJ1" s="536"/>
      <c r="SUK1" s="536"/>
      <c r="SUL1" s="536"/>
      <c r="SUM1" s="536"/>
      <c r="SUN1" s="536"/>
      <c r="SUO1" s="536"/>
      <c r="SUP1" s="536"/>
      <c r="SUQ1" s="536"/>
      <c r="SUR1" s="536"/>
      <c r="SUS1" s="536"/>
      <c r="SUT1" s="536"/>
      <c r="SUU1" s="536"/>
      <c r="SUV1" s="536"/>
      <c r="SUW1" s="536"/>
      <c r="SUX1" s="536"/>
      <c r="SUY1" s="536"/>
      <c r="SUZ1" s="536"/>
      <c r="SVA1" s="536"/>
      <c r="SVB1" s="536"/>
      <c r="SVC1" s="536"/>
      <c r="SVD1" s="536"/>
      <c r="SVE1" s="536"/>
      <c r="SVF1" s="536"/>
      <c r="SVG1" s="536"/>
      <c r="SVH1" s="536"/>
      <c r="SVI1" s="536"/>
      <c r="SVJ1" s="536"/>
      <c r="SVK1" s="536"/>
      <c r="SVL1" s="536"/>
      <c r="SVM1" s="536"/>
      <c r="SVN1" s="536"/>
      <c r="SVO1" s="536"/>
      <c r="SVP1" s="536"/>
      <c r="SVQ1" s="536"/>
      <c r="SVR1" s="536"/>
      <c r="SVS1" s="536"/>
      <c r="SVT1" s="536"/>
      <c r="SVU1" s="536"/>
      <c r="SVV1" s="536"/>
      <c r="SVW1" s="536"/>
      <c r="SVX1" s="536"/>
      <c r="SVY1" s="536"/>
      <c r="SVZ1" s="536"/>
      <c r="SWA1" s="536"/>
      <c r="SWB1" s="536"/>
      <c r="SWC1" s="536"/>
      <c r="SWD1" s="536"/>
      <c r="SWE1" s="536"/>
      <c r="SWF1" s="536"/>
      <c r="SWG1" s="536"/>
      <c r="SWH1" s="536"/>
      <c r="SWI1" s="536"/>
      <c r="SWJ1" s="536"/>
      <c r="SWK1" s="536"/>
      <c r="SWL1" s="536"/>
      <c r="SWM1" s="536"/>
      <c r="SWN1" s="536"/>
      <c r="SWO1" s="536"/>
      <c r="SWP1" s="536"/>
      <c r="SWQ1" s="536"/>
      <c r="SWR1" s="536"/>
      <c r="SWS1" s="536"/>
      <c r="SWT1" s="536"/>
      <c r="SWU1" s="536"/>
      <c r="SWV1" s="536"/>
      <c r="SWW1" s="536"/>
      <c r="SWX1" s="536"/>
      <c r="SWY1" s="536"/>
      <c r="SWZ1" s="536"/>
      <c r="SXA1" s="536"/>
      <c r="SXB1" s="536"/>
      <c r="SXC1" s="536"/>
      <c r="SXD1" s="536"/>
      <c r="SXE1" s="536"/>
      <c r="SXF1" s="536"/>
      <c r="SXG1" s="536"/>
      <c r="SXH1" s="536"/>
      <c r="SXI1" s="536"/>
      <c r="SXJ1" s="536"/>
      <c r="SXK1" s="536"/>
      <c r="SXL1" s="536"/>
      <c r="SXM1" s="536"/>
      <c r="SXN1" s="536"/>
      <c r="SXO1" s="536"/>
      <c r="SXP1" s="536"/>
      <c r="SXQ1" s="536"/>
      <c r="SXR1" s="536"/>
      <c r="SXS1" s="536"/>
      <c r="SXT1" s="536"/>
      <c r="SXU1" s="536"/>
      <c r="SXV1" s="536"/>
      <c r="SXW1" s="536"/>
      <c r="SXX1" s="536"/>
      <c r="SXY1" s="536"/>
      <c r="SXZ1" s="536"/>
      <c r="SYA1" s="536"/>
      <c r="SYB1" s="536"/>
      <c r="SYC1" s="536"/>
      <c r="SYD1" s="536"/>
      <c r="SYE1" s="536"/>
      <c r="SYF1" s="536"/>
      <c r="SYG1" s="536"/>
      <c r="SYH1" s="536"/>
      <c r="SYI1" s="536"/>
      <c r="SYJ1" s="536"/>
      <c r="SYK1" s="536"/>
      <c r="SYL1" s="536"/>
      <c r="SYM1" s="536"/>
      <c r="SYN1" s="536"/>
      <c r="SYO1" s="536"/>
      <c r="SYP1" s="536"/>
      <c r="SYQ1" s="536"/>
      <c r="SYR1" s="536"/>
      <c r="SYS1" s="536"/>
      <c r="SYT1" s="536"/>
      <c r="SYU1" s="536"/>
      <c r="SYV1" s="536"/>
      <c r="SYW1" s="536"/>
      <c r="SYX1" s="536"/>
      <c r="SYY1" s="536"/>
      <c r="SYZ1" s="536"/>
      <c r="SZA1" s="536"/>
      <c r="SZB1" s="536"/>
      <c r="SZC1" s="536"/>
      <c r="SZD1" s="536"/>
      <c r="SZE1" s="536"/>
      <c r="SZF1" s="536"/>
      <c r="SZG1" s="536"/>
      <c r="SZH1" s="536"/>
      <c r="SZI1" s="536"/>
      <c r="SZJ1" s="536"/>
      <c r="SZK1" s="536"/>
      <c r="SZL1" s="536"/>
      <c r="SZM1" s="536"/>
      <c r="SZN1" s="536"/>
      <c r="SZO1" s="536"/>
      <c r="SZP1" s="536"/>
      <c r="SZQ1" s="536"/>
      <c r="SZR1" s="536"/>
      <c r="SZS1" s="536"/>
      <c r="SZT1" s="536"/>
      <c r="SZU1" s="536"/>
      <c r="SZV1" s="536"/>
      <c r="SZW1" s="536"/>
      <c r="SZX1" s="536"/>
      <c r="SZY1" s="536"/>
      <c r="SZZ1" s="536"/>
      <c r="TAA1" s="536"/>
      <c r="TAB1" s="536"/>
      <c r="TAC1" s="536"/>
      <c r="TAD1" s="536"/>
      <c r="TAE1" s="536"/>
      <c r="TAF1" s="536"/>
      <c r="TAG1" s="536"/>
      <c r="TAH1" s="536"/>
      <c r="TAI1" s="536"/>
      <c r="TAJ1" s="536"/>
      <c r="TAK1" s="536"/>
      <c r="TAL1" s="536"/>
      <c r="TAM1" s="536"/>
      <c r="TAN1" s="536"/>
      <c r="TAO1" s="536"/>
      <c r="TAP1" s="536"/>
      <c r="TAQ1" s="536"/>
      <c r="TAR1" s="536"/>
      <c r="TAS1" s="536"/>
      <c r="TAT1" s="536"/>
      <c r="TAU1" s="536"/>
      <c r="TAV1" s="536"/>
      <c r="TAW1" s="536"/>
      <c r="TAX1" s="536"/>
      <c r="TAY1" s="536"/>
      <c r="TAZ1" s="536"/>
      <c r="TBA1" s="536"/>
      <c r="TBB1" s="536"/>
      <c r="TBC1" s="536"/>
      <c r="TBD1" s="536"/>
      <c r="TBE1" s="536"/>
      <c r="TBF1" s="536"/>
      <c r="TBG1" s="536"/>
      <c r="TBH1" s="536"/>
      <c r="TBI1" s="536"/>
      <c r="TBJ1" s="536"/>
      <c r="TBK1" s="536"/>
      <c r="TBL1" s="536"/>
      <c r="TBM1" s="536"/>
      <c r="TBN1" s="536"/>
      <c r="TBO1" s="536"/>
      <c r="TBP1" s="536"/>
      <c r="TBQ1" s="536"/>
      <c r="TBR1" s="536"/>
      <c r="TBS1" s="536"/>
      <c r="TBT1" s="536"/>
      <c r="TBU1" s="536"/>
      <c r="TBV1" s="536"/>
      <c r="TBW1" s="536"/>
      <c r="TBX1" s="536"/>
      <c r="TBY1" s="536"/>
      <c r="TBZ1" s="536"/>
      <c r="TCA1" s="536"/>
      <c r="TCB1" s="536"/>
      <c r="TCC1" s="536"/>
      <c r="TCD1" s="536"/>
      <c r="TCE1" s="536"/>
      <c r="TCF1" s="536"/>
      <c r="TCG1" s="536"/>
      <c r="TCH1" s="536"/>
      <c r="TCI1" s="536"/>
      <c r="TCJ1" s="536"/>
      <c r="TCK1" s="536"/>
      <c r="TCL1" s="536"/>
      <c r="TCM1" s="536"/>
      <c r="TCN1" s="536"/>
      <c r="TCO1" s="536"/>
      <c r="TCP1" s="536"/>
      <c r="TCQ1" s="536"/>
      <c r="TCR1" s="536"/>
      <c r="TCS1" s="536"/>
      <c r="TCT1" s="536"/>
      <c r="TCU1" s="536"/>
      <c r="TCV1" s="536"/>
      <c r="TCW1" s="536"/>
      <c r="TCX1" s="536"/>
      <c r="TCY1" s="536"/>
      <c r="TCZ1" s="536"/>
      <c r="TDA1" s="536"/>
      <c r="TDB1" s="536"/>
      <c r="TDC1" s="536"/>
      <c r="TDD1" s="536"/>
      <c r="TDE1" s="536"/>
      <c r="TDF1" s="536"/>
      <c r="TDG1" s="536"/>
      <c r="TDH1" s="536"/>
      <c r="TDI1" s="536"/>
      <c r="TDJ1" s="536"/>
      <c r="TDK1" s="536"/>
      <c r="TDL1" s="536"/>
      <c r="TDM1" s="536"/>
      <c r="TDN1" s="536"/>
      <c r="TDO1" s="536"/>
      <c r="TDP1" s="536"/>
      <c r="TDQ1" s="536"/>
      <c r="TDR1" s="536"/>
      <c r="TDS1" s="536"/>
      <c r="TDT1" s="536"/>
      <c r="TDU1" s="536"/>
      <c r="TDV1" s="536"/>
      <c r="TDW1" s="536"/>
      <c r="TDX1" s="536"/>
      <c r="TDY1" s="536"/>
      <c r="TDZ1" s="536"/>
      <c r="TEA1" s="536"/>
      <c r="TEB1" s="536"/>
      <c r="TEC1" s="536"/>
      <c r="TED1" s="536"/>
      <c r="TEE1" s="536"/>
      <c r="TEF1" s="536"/>
      <c r="TEG1" s="536"/>
      <c r="TEH1" s="536"/>
      <c r="TEI1" s="536"/>
      <c r="TEJ1" s="536"/>
      <c r="TEK1" s="536"/>
      <c r="TEL1" s="536"/>
      <c r="TEM1" s="536"/>
      <c r="TEN1" s="536"/>
      <c r="TEO1" s="536"/>
      <c r="TEP1" s="536"/>
      <c r="TEQ1" s="536"/>
      <c r="TER1" s="536"/>
      <c r="TES1" s="536"/>
      <c r="TET1" s="536"/>
      <c r="TEU1" s="536"/>
      <c r="TEV1" s="536"/>
      <c r="TEW1" s="536"/>
      <c r="TEX1" s="536"/>
      <c r="TEY1" s="536"/>
      <c r="TEZ1" s="536"/>
      <c r="TFA1" s="536"/>
      <c r="TFB1" s="536"/>
      <c r="TFC1" s="536"/>
      <c r="TFD1" s="536"/>
      <c r="TFE1" s="536"/>
      <c r="TFF1" s="536"/>
      <c r="TFG1" s="536"/>
      <c r="TFH1" s="536"/>
      <c r="TFI1" s="536"/>
      <c r="TFJ1" s="536"/>
      <c r="TFK1" s="536"/>
      <c r="TFL1" s="536"/>
      <c r="TFM1" s="536"/>
      <c r="TFN1" s="536"/>
      <c r="TFO1" s="536"/>
      <c r="TFP1" s="536"/>
      <c r="TFQ1" s="536"/>
      <c r="TFR1" s="536"/>
      <c r="TFS1" s="536"/>
      <c r="TFT1" s="536"/>
      <c r="TFU1" s="536"/>
      <c r="TFV1" s="536"/>
      <c r="TFW1" s="536"/>
      <c r="TFX1" s="536"/>
      <c r="TFY1" s="536"/>
      <c r="TFZ1" s="536"/>
      <c r="TGA1" s="536"/>
      <c r="TGB1" s="536"/>
      <c r="TGC1" s="536"/>
      <c r="TGD1" s="536"/>
      <c r="TGE1" s="536"/>
      <c r="TGF1" s="536"/>
      <c r="TGG1" s="536"/>
      <c r="TGH1" s="536"/>
      <c r="TGI1" s="536"/>
      <c r="TGJ1" s="536"/>
      <c r="TGK1" s="536"/>
      <c r="TGL1" s="536"/>
      <c r="TGM1" s="536"/>
      <c r="TGN1" s="536"/>
      <c r="TGO1" s="536"/>
      <c r="TGP1" s="536"/>
      <c r="TGQ1" s="536"/>
      <c r="TGR1" s="536"/>
      <c r="TGS1" s="536"/>
      <c r="TGT1" s="536"/>
      <c r="TGU1" s="536"/>
      <c r="TGV1" s="536"/>
      <c r="TGW1" s="536"/>
      <c r="TGX1" s="536"/>
      <c r="TGY1" s="536"/>
      <c r="TGZ1" s="536"/>
      <c r="THA1" s="536"/>
      <c r="THB1" s="536"/>
      <c r="THC1" s="536"/>
      <c r="THD1" s="536"/>
      <c r="THE1" s="536"/>
      <c r="THF1" s="536"/>
      <c r="THG1" s="536"/>
      <c r="THH1" s="536"/>
      <c r="THI1" s="536"/>
      <c r="THJ1" s="536"/>
      <c r="THK1" s="536"/>
      <c r="THL1" s="536"/>
      <c r="THM1" s="536"/>
      <c r="THN1" s="536"/>
      <c r="THO1" s="536"/>
      <c r="THP1" s="536"/>
      <c r="THQ1" s="536"/>
      <c r="THR1" s="536"/>
      <c r="THS1" s="536"/>
      <c r="THT1" s="536"/>
      <c r="THU1" s="536"/>
      <c r="THV1" s="536"/>
      <c r="THW1" s="536"/>
      <c r="THX1" s="536"/>
      <c r="THY1" s="536"/>
      <c r="THZ1" s="536"/>
      <c r="TIA1" s="536"/>
      <c r="TIB1" s="536"/>
      <c r="TIC1" s="536"/>
      <c r="TID1" s="536"/>
      <c r="TIE1" s="536"/>
      <c r="TIF1" s="536"/>
      <c r="TIG1" s="536"/>
      <c r="TIH1" s="536"/>
      <c r="TII1" s="536"/>
      <c r="TIJ1" s="536"/>
      <c r="TIK1" s="536"/>
      <c r="TIL1" s="536"/>
      <c r="TIM1" s="536"/>
      <c r="TIN1" s="536"/>
      <c r="TIO1" s="536"/>
      <c r="TIP1" s="536"/>
      <c r="TIQ1" s="536"/>
      <c r="TIR1" s="536"/>
      <c r="TIS1" s="536"/>
      <c r="TIT1" s="536"/>
      <c r="TIU1" s="536"/>
      <c r="TIV1" s="536"/>
      <c r="TIW1" s="536"/>
      <c r="TIX1" s="536"/>
      <c r="TIY1" s="536"/>
      <c r="TIZ1" s="536"/>
      <c r="TJA1" s="536"/>
      <c r="TJB1" s="536"/>
      <c r="TJC1" s="536"/>
      <c r="TJD1" s="536"/>
      <c r="TJE1" s="536"/>
      <c r="TJF1" s="536"/>
      <c r="TJG1" s="536"/>
      <c r="TJH1" s="536"/>
      <c r="TJI1" s="536"/>
      <c r="TJJ1" s="536"/>
      <c r="TJK1" s="536"/>
      <c r="TJL1" s="536"/>
      <c r="TJM1" s="536"/>
      <c r="TJN1" s="536"/>
      <c r="TJO1" s="536"/>
      <c r="TJP1" s="536"/>
      <c r="TJQ1" s="536"/>
      <c r="TJR1" s="536"/>
      <c r="TJS1" s="536"/>
      <c r="TJT1" s="536"/>
      <c r="TJU1" s="536"/>
      <c r="TJV1" s="536"/>
      <c r="TJW1" s="536"/>
      <c r="TJX1" s="536"/>
      <c r="TJY1" s="536"/>
      <c r="TJZ1" s="536"/>
      <c r="TKA1" s="536"/>
      <c r="TKB1" s="536"/>
      <c r="TKC1" s="536"/>
      <c r="TKD1" s="536"/>
      <c r="TKE1" s="536"/>
      <c r="TKF1" s="536"/>
      <c r="TKG1" s="536"/>
      <c r="TKH1" s="536"/>
      <c r="TKI1" s="536"/>
      <c r="TKJ1" s="536"/>
      <c r="TKK1" s="536"/>
      <c r="TKL1" s="536"/>
      <c r="TKM1" s="536"/>
      <c r="TKN1" s="536"/>
      <c r="TKO1" s="536"/>
      <c r="TKP1" s="536"/>
      <c r="TKQ1" s="536"/>
      <c r="TKR1" s="536"/>
      <c r="TKS1" s="536"/>
      <c r="TKT1" s="536"/>
      <c r="TKU1" s="536"/>
      <c r="TKV1" s="536"/>
      <c r="TKW1" s="536"/>
      <c r="TKX1" s="536"/>
      <c r="TKY1" s="536"/>
      <c r="TKZ1" s="536"/>
      <c r="TLA1" s="536"/>
      <c r="TLB1" s="536"/>
      <c r="TLC1" s="536"/>
      <c r="TLD1" s="536"/>
      <c r="TLE1" s="536"/>
      <c r="TLF1" s="536"/>
      <c r="TLG1" s="536"/>
      <c r="TLH1" s="536"/>
      <c r="TLI1" s="536"/>
      <c r="TLJ1" s="536"/>
      <c r="TLK1" s="536"/>
      <c r="TLL1" s="536"/>
      <c r="TLM1" s="536"/>
      <c r="TLN1" s="536"/>
      <c r="TLO1" s="536"/>
      <c r="TLP1" s="536"/>
      <c r="TLQ1" s="536"/>
      <c r="TLR1" s="536"/>
      <c r="TLS1" s="536"/>
      <c r="TLT1" s="536"/>
      <c r="TLU1" s="536"/>
      <c r="TLV1" s="536"/>
      <c r="TLW1" s="536"/>
      <c r="TLX1" s="536"/>
      <c r="TLY1" s="536"/>
      <c r="TLZ1" s="536"/>
      <c r="TMA1" s="536"/>
      <c r="TMB1" s="536"/>
      <c r="TMC1" s="536"/>
      <c r="TMD1" s="536"/>
      <c r="TME1" s="536"/>
      <c r="TMF1" s="536"/>
      <c r="TMG1" s="536"/>
      <c r="TMH1" s="536"/>
      <c r="TMI1" s="536"/>
      <c r="TMJ1" s="536"/>
      <c r="TMK1" s="536"/>
      <c r="TML1" s="536"/>
      <c r="TMM1" s="536"/>
      <c r="TMN1" s="536"/>
      <c r="TMO1" s="536"/>
      <c r="TMP1" s="536"/>
      <c r="TMQ1" s="536"/>
      <c r="TMR1" s="536"/>
      <c r="TMS1" s="536"/>
      <c r="TMT1" s="536"/>
      <c r="TMU1" s="536"/>
      <c r="TMV1" s="536"/>
      <c r="TMW1" s="536"/>
      <c r="TMX1" s="536"/>
      <c r="TMY1" s="536"/>
      <c r="TMZ1" s="536"/>
      <c r="TNA1" s="536"/>
      <c r="TNB1" s="536"/>
      <c r="TNC1" s="536"/>
      <c r="TND1" s="536"/>
      <c r="TNE1" s="536"/>
      <c r="TNF1" s="536"/>
      <c r="TNG1" s="536"/>
      <c r="TNH1" s="536"/>
      <c r="TNI1" s="536"/>
      <c r="TNJ1" s="536"/>
      <c r="TNK1" s="536"/>
      <c r="TNL1" s="536"/>
      <c r="TNM1" s="536"/>
      <c r="TNN1" s="536"/>
      <c r="TNO1" s="536"/>
      <c r="TNP1" s="536"/>
      <c r="TNQ1" s="536"/>
      <c r="TNR1" s="536"/>
      <c r="TNS1" s="536"/>
      <c r="TNT1" s="536"/>
      <c r="TNU1" s="536"/>
      <c r="TNV1" s="536"/>
      <c r="TNW1" s="536"/>
      <c r="TNX1" s="536"/>
      <c r="TNY1" s="536"/>
      <c r="TNZ1" s="536"/>
      <c r="TOA1" s="536"/>
      <c r="TOB1" s="536"/>
      <c r="TOC1" s="536"/>
      <c r="TOD1" s="536"/>
      <c r="TOE1" s="536"/>
      <c r="TOF1" s="536"/>
      <c r="TOG1" s="536"/>
      <c r="TOH1" s="536"/>
      <c r="TOI1" s="536"/>
      <c r="TOJ1" s="536"/>
      <c r="TOK1" s="536"/>
      <c r="TOL1" s="536"/>
      <c r="TOM1" s="536"/>
      <c r="TON1" s="536"/>
      <c r="TOO1" s="536"/>
      <c r="TOP1" s="536"/>
      <c r="TOQ1" s="536"/>
      <c r="TOR1" s="536"/>
      <c r="TOS1" s="536"/>
      <c r="TOT1" s="536"/>
      <c r="TOU1" s="536"/>
      <c r="TOV1" s="536"/>
      <c r="TOW1" s="536"/>
      <c r="TOX1" s="536"/>
      <c r="TOY1" s="536"/>
      <c r="TOZ1" s="536"/>
      <c r="TPA1" s="536"/>
      <c r="TPB1" s="536"/>
      <c r="TPC1" s="536"/>
      <c r="TPD1" s="536"/>
      <c r="TPE1" s="536"/>
      <c r="TPF1" s="536"/>
      <c r="TPG1" s="536"/>
      <c r="TPH1" s="536"/>
      <c r="TPI1" s="536"/>
      <c r="TPJ1" s="536"/>
      <c r="TPK1" s="536"/>
      <c r="TPL1" s="536"/>
      <c r="TPM1" s="536"/>
      <c r="TPN1" s="536"/>
      <c r="TPO1" s="536"/>
      <c r="TPP1" s="536"/>
      <c r="TPQ1" s="536"/>
      <c r="TPR1" s="536"/>
      <c r="TPS1" s="536"/>
      <c r="TPT1" s="536"/>
      <c r="TPU1" s="536"/>
      <c r="TPV1" s="536"/>
      <c r="TPW1" s="536"/>
      <c r="TPX1" s="536"/>
      <c r="TPY1" s="536"/>
      <c r="TPZ1" s="536"/>
      <c r="TQA1" s="536"/>
      <c r="TQB1" s="536"/>
      <c r="TQC1" s="536"/>
      <c r="TQD1" s="536"/>
      <c r="TQE1" s="536"/>
      <c r="TQF1" s="536"/>
      <c r="TQG1" s="536"/>
      <c r="TQH1" s="536"/>
      <c r="TQI1" s="536"/>
      <c r="TQJ1" s="536"/>
      <c r="TQK1" s="536"/>
      <c r="TQL1" s="536"/>
      <c r="TQM1" s="536"/>
      <c r="TQN1" s="536"/>
      <c r="TQO1" s="536"/>
      <c r="TQP1" s="536"/>
      <c r="TQQ1" s="536"/>
      <c r="TQR1" s="536"/>
      <c r="TQS1" s="536"/>
      <c r="TQT1" s="536"/>
      <c r="TQU1" s="536"/>
      <c r="TQV1" s="536"/>
      <c r="TQW1" s="536"/>
      <c r="TQX1" s="536"/>
      <c r="TQY1" s="536"/>
      <c r="TQZ1" s="536"/>
      <c r="TRA1" s="536"/>
      <c r="TRB1" s="536"/>
      <c r="TRC1" s="536"/>
      <c r="TRD1" s="536"/>
      <c r="TRE1" s="536"/>
      <c r="TRF1" s="536"/>
      <c r="TRG1" s="536"/>
      <c r="TRH1" s="536"/>
      <c r="TRI1" s="536"/>
      <c r="TRJ1" s="536"/>
      <c r="TRK1" s="536"/>
      <c r="TRL1" s="536"/>
      <c r="TRM1" s="536"/>
      <c r="TRN1" s="536"/>
      <c r="TRO1" s="536"/>
      <c r="TRP1" s="536"/>
      <c r="TRQ1" s="536"/>
      <c r="TRR1" s="536"/>
      <c r="TRS1" s="536"/>
      <c r="TRT1" s="536"/>
      <c r="TRU1" s="536"/>
      <c r="TRV1" s="536"/>
      <c r="TRW1" s="536"/>
      <c r="TRX1" s="536"/>
      <c r="TRY1" s="536"/>
      <c r="TRZ1" s="536"/>
      <c r="TSA1" s="536"/>
      <c r="TSB1" s="536"/>
      <c r="TSC1" s="536"/>
      <c r="TSD1" s="536"/>
      <c r="TSE1" s="536"/>
      <c r="TSF1" s="536"/>
      <c r="TSG1" s="536"/>
      <c r="TSH1" s="536"/>
      <c r="TSI1" s="536"/>
      <c r="TSJ1" s="536"/>
      <c r="TSK1" s="536"/>
      <c r="TSL1" s="536"/>
      <c r="TSM1" s="536"/>
      <c r="TSN1" s="536"/>
      <c r="TSO1" s="536"/>
      <c r="TSP1" s="536"/>
      <c r="TSQ1" s="536"/>
      <c r="TSR1" s="536"/>
      <c r="TSS1" s="536"/>
      <c r="TST1" s="536"/>
      <c r="TSU1" s="536"/>
      <c r="TSV1" s="536"/>
      <c r="TSW1" s="536"/>
      <c r="TSX1" s="536"/>
      <c r="TSY1" s="536"/>
      <c r="TSZ1" s="536"/>
      <c r="TTA1" s="536"/>
      <c r="TTB1" s="536"/>
      <c r="TTC1" s="536"/>
      <c r="TTD1" s="536"/>
      <c r="TTE1" s="536"/>
      <c r="TTF1" s="536"/>
      <c r="TTG1" s="536"/>
      <c r="TTH1" s="536"/>
      <c r="TTI1" s="536"/>
      <c r="TTJ1" s="536"/>
      <c r="TTK1" s="536"/>
      <c r="TTL1" s="536"/>
      <c r="TTM1" s="536"/>
      <c r="TTN1" s="536"/>
      <c r="TTO1" s="536"/>
      <c r="TTP1" s="536"/>
      <c r="TTQ1" s="536"/>
      <c r="TTR1" s="536"/>
      <c r="TTS1" s="536"/>
      <c r="TTT1" s="536"/>
      <c r="TTU1" s="536"/>
      <c r="TTV1" s="536"/>
      <c r="TTW1" s="536"/>
      <c r="TTX1" s="536"/>
      <c r="TTY1" s="536"/>
      <c r="TTZ1" s="536"/>
      <c r="TUA1" s="536"/>
      <c r="TUB1" s="536"/>
      <c r="TUC1" s="536"/>
      <c r="TUD1" s="536"/>
      <c r="TUE1" s="536"/>
      <c r="TUF1" s="536"/>
      <c r="TUG1" s="536"/>
      <c r="TUH1" s="536"/>
      <c r="TUI1" s="536"/>
      <c r="TUJ1" s="536"/>
      <c r="TUK1" s="536"/>
      <c r="TUL1" s="536"/>
      <c r="TUM1" s="536"/>
      <c r="TUN1" s="536"/>
      <c r="TUO1" s="536"/>
      <c r="TUP1" s="536"/>
      <c r="TUQ1" s="536"/>
      <c r="TUR1" s="536"/>
      <c r="TUS1" s="536"/>
      <c r="TUT1" s="536"/>
      <c r="TUU1" s="536"/>
      <c r="TUV1" s="536"/>
      <c r="TUW1" s="536"/>
      <c r="TUX1" s="536"/>
      <c r="TUY1" s="536"/>
      <c r="TUZ1" s="536"/>
      <c r="TVA1" s="536"/>
      <c r="TVB1" s="536"/>
      <c r="TVC1" s="536"/>
      <c r="TVD1" s="536"/>
      <c r="TVE1" s="536"/>
      <c r="TVF1" s="536"/>
      <c r="TVG1" s="536"/>
      <c r="TVH1" s="536"/>
      <c r="TVI1" s="536"/>
      <c r="TVJ1" s="536"/>
      <c r="TVK1" s="536"/>
      <c r="TVL1" s="536"/>
      <c r="TVM1" s="536"/>
      <c r="TVN1" s="536"/>
      <c r="TVO1" s="536"/>
      <c r="TVP1" s="536"/>
      <c r="TVQ1" s="536"/>
      <c r="TVR1" s="536"/>
      <c r="TVS1" s="536"/>
      <c r="TVT1" s="536"/>
      <c r="TVU1" s="536"/>
      <c r="TVV1" s="536"/>
      <c r="TVW1" s="536"/>
      <c r="TVX1" s="536"/>
      <c r="TVY1" s="536"/>
      <c r="TVZ1" s="536"/>
      <c r="TWA1" s="536"/>
      <c r="TWB1" s="536"/>
      <c r="TWC1" s="536"/>
      <c r="TWD1" s="536"/>
      <c r="TWE1" s="536"/>
      <c r="TWF1" s="536"/>
      <c r="TWG1" s="536"/>
      <c r="TWH1" s="536"/>
      <c r="TWI1" s="536"/>
      <c r="TWJ1" s="536"/>
      <c r="TWK1" s="536"/>
      <c r="TWL1" s="536"/>
      <c r="TWM1" s="536"/>
      <c r="TWN1" s="536"/>
      <c r="TWO1" s="536"/>
      <c r="TWP1" s="536"/>
      <c r="TWQ1" s="536"/>
      <c r="TWR1" s="536"/>
      <c r="TWS1" s="536"/>
      <c r="TWT1" s="536"/>
      <c r="TWU1" s="536"/>
      <c r="TWV1" s="536"/>
      <c r="TWW1" s="536"/>
      <c r="TWX1" s="536"/>
      <c r="TWY1" s="536"/>
      <c r="TWZ1" s="536"/>
      <c r="TXA1" s="536"/>
      <c r="TXB1" s="536"/>
      <c r="TXC1" s="536"/>
      <c r="TXD1" s="536"/>
      <c r="TXE1" s="536"/>
      <c r="TXF1" s="536"/>
      <c r="TXG1" s="536"/>
      <c r="TXH1" s="536"/>
      <c r="TXI1" s="536"/>
      <c r="TXJ1" s="536"/>
      <c r="TXK1" s="536"/>
      <c r="TXL1" s="536"/>
      <c r="TXM1" s="536"/>
      <c r="TXN1" s="536"/>
      <c r="TXO1" s="536"/>
      <c r="TXP1" s="536"/>
      <c r="TXQ1" s="536"/>
      <c r="TXR1" s="536"/>
      <c r="TXS1" s="536"/>
      <c r="TXT1" s="536"/>
      <c r="TXU1" s="536"/>
      <c r="TXV1" s="536"/>
      <c r="TXW1" s="536"/>
      <c r="TXX1" s="536"/>
      <c r="TXY1" s="536"/>
      <c r="TXZ1" s="536"/>
      <c r="TYA1" s="536"/>
      <c r="TYB1" s="536"/>
      <c r="TYC1" s="536"/>
      <c r="TYD1" s="536"/>
      <c r="TYE1" s="536"/>
      <c r="TYF1" s="536"/>
      <c r="TYG1" s="536"/>
      <c r="TYH1" s="536"/>
      <c r="TYI1" s="536"/>
      <c r="TYJ1" s="536"/>
      <c r="TYK1" s="536"/>
      <c r="TYL1" s="536"/>
      <c r="TYM1" s="536"/>
      <c r="TYN1" s="536"/>
      <c r="TYO1" s="536"/>
      <c r="TYP1" s="536"/>
      <c r="TYQ1" s="536"/>
      <c r="TYR1" s="536"/>
      <c r="TYS1" s="536"/>
      <c r="TYT1" s="536"/>
      <c r="TYU1" s="536"/>
      <c r="TYV1" s="536"/>
      <c r="TYW1" s="536"/>
      <c r="TYX1" s="536"/>
      <c r="TYY1" s="536"/>
      <c r="TYZ1" s="536"/>
      <c r="TZA1" s="536"/>
      <c r="TZB1" s="536"/>
      <c r="TZC1" s="536"/>
      <c r="TZD1" s="536"/>
      <c r="TZE1" s="536"/>
      <c r="TZF1" s="536"/>
      <c r="TZG1" s="536"/>
      <c r="TZH1" s="536"/>
      <c r="TZI1" s="536"/>
      <c r="TZJ1" s="536"/>
      <c r="TZK1" s="536"/>
      <c r="TZL1" s="536"/>
      <c r="TZM1" s="536"/>
      <c r="TZN1" s="536"/>
      <c r="TZO1" s="536"/>
      <c r="TZP1" s="536"/>
      <c r="TZQ1" s="536"/>
      <c r="TZR1" s="536"/>
      <c r="TZS1" s="536"/>
      <c r="TZT1" s="536"/>
      <c r="TZU1" s="536"/>
      <c r="TZV1" s="536"/>
      <c r="TZW1" s="536"/>
      <c r="TZX1" s="536"/>
      <c r="TZY1" s="536"/>
      <c r="TZZ1" s="536"/>
      <c r="UAA1" s="536"/>
      <c r="UAB1" s="536"/>
      <c r="UAC1" s="536"/>
      <c r="UAD1" s="536"/>
      <c r="UAE1" s="536"/>
      <c r="UAF1" s="536"/>
      <c r="UAG1" s="536"/>
      <c r="UAH1" s="536"/>
      <c r="UAI1" s="536"/>
      <c r="UAJ1" s="536"/>
      <c r="UAK1" s="536"/>
      <c r="UAL1" s="536"/>
      <c r="UAM1" s="536"/>
      <c r="UAN1" s="536"/>
      <c r="UAO1" s="536"/>
      <c r="UAP1" s="536"/>
      <c r="UAQ1" s="536"/>
      <c r="UAR1" s="536"/>
      <c r="UAS1" s="536"/>
      <c r="UAT1" s="536"/>
      <c r="UAU1" s="536"/>
      <c r="UAV1" s="536"/>
      <c r="UAW1" s="536"/>
      <c r="UAX1" s="536"/>
      <c r="UAY1" s="536"/>
      <c r="UAZ1" s="536"/>
      <c r="UBA1" s="536"/>
      <c r="UBB1" s="536"/>
      <c r="UBC1" s="536"/>
      <c r="UBD1" s="536"/>
      <c r="UBE1" s="536"/>
      <c r="UBF1" s="536"/>
      <c r="UBG1" s="536"/>
      <c r="UBH1" s="536"/>
      <c r="UBI1" s="536"/>
      <c r="UBJ1" s="536"/>
      <c r="UBK1" s="536"/>
      <c r="UBL1" s="536"/>
      <c r="UBM1" s="536"/>
      <c r="UBN1" s="536"/>
      <c r="UBO1" s="536"/>
      <c r="UBP1" s="536"/>
      <c r="UBQ1" s="536"/>
      <c r="UBR1" s="536"/>
      <c r="UBS1" s="536"/>
      <c r="UBT1" s="536"/>
      <c r="UBU1" s="536"/>
      <c r="UBV1" s="536"/>
      <c r="UBW1" s="536"/>
      <c r="UBX1" s="536"/>
      <c r="UBY1" s="536"/>
      <c r="UBZ1" s="536"/>
      <c r="UCA1" s="536"/>
      <c r="UCB1" s="536"/>
      <c r="UCC1" s="536"/>
      <c r="UCD1" s="536"/>
      <c r="UCE1" s="536"/>
      <c r="UCF1" s="536"/>
      <c r="UCG1" s="536"/>
      <c r="UCH1" s="536"/>
      <c r="UCI1" s="536"/>
      <c r="UCJ1" s="536"/>
      <c r="UCK1" s="536"/>
      <c r="UCL1" s="536"/>
      <c r="UCM1" s="536"/>
      <c r="UCN1" s="536"/>
      <c r="UCO1" s="536"/>
      <c r="UCP1" s="536"/>
      <c r="UCQ1" s="536"/>
      <c r="UCR1" s="536"/>
      <c r="UCS1" s="536"/>
      <c r="UCT1" s="536"/>
      <c r="UCU1" s="536"/>
      <c r="UCV1" s="536"/>
      <c r="UCW1" s="536"/>
      <c r="UCX1" s="536"/>
      <c r="UCY1" s="536"/>
      <c r="UCZ1" s="536"/>
      <c r="UDA1" s="536"/>
      <c r="UDB1" s="536"/>
      <c r="UDC1" s="536"/>
      <c r="UDD1" s="536"/>
      <c r="UDE1" s="536"/>
      <c r="UDF1" s="536"/>
      <c r="UDG1" s="536"/>
      <c r="UDH1" s="536"/>
      <c r="UDI1" s="536"/>
      <c r="UDJ1" s="536"/>
      <c r="UDK1" s="536"/>
      <c r="UDL1" s="536"/>
      <c r="UDM1" s="536"/>
      <c r="UDN1" s="536"/>
      <c r="UDO1" s="536"/>
      <c r="UDP1" s="536"/>
      <c r="UDQ1" s="536"/>
      <c r="UDR1" s="536"/>
      <c r="UDS1" s="536"/>
      <c r="UDT1" s="536"/>
      <c r="UDU1" s="536"/>
      <c r="UDV1" s="536"/>
      <c r="UDW1" s="536"/>
      <c r="UDX1" s="536"/>
      <c r="UDY1" s="536"/>
      <c r="UDZ1" s="536"/>
      <c r="UEA1" s="536"/>
      <c r="UEB1" s="536"/>
      <c r="UEC1" s="536"/>
      <c r="UED1" s="536"/>
      <c r="UEE1" s="536"/>
      <c r="UEF1" s="536"/>
      <c r="UEG1" s="536"/>
      <c r="UEH1" s="536"/>
      <c r="UEI1" s="536"/>
      <c r="UEJ1" s="536"/>
      <c r="UEK1" s="536"/>
      <c r="UEL1" s="536"/>
      <c r="UEM1" s="536"/>
      <c r="UEN1" s="536"/>
      <c r="UEO1" s="536"/>
      <c r="UEP1" s="536"/>
      <c r="UEQ1" s="536"/>
      <c r="UER1" s="536"/>
      <c r="UES1" s="536"/>
      <c r="UET1" s="536"/>
      <c r="UEU1" s="536"/>
      <c r="UEV1" s="536"/>
      <c r="UEW1" s="536"/>
      <c r="UEX1" s="536"/>
      <c r="UEY1" s="536"/>
      <c r="UEZ1" s="536"/>
      <c r="UFA1" s="536"/>
      <c r="UFB1" s="536"/>
      <c r="UFC1" s="536"/>
      <c r="UFD1" s="536"/>
      <c r="UFE1" s="536"/>
      <c r="UFF1" s="536"/>
      <c r="UFG1" s="536"/>
      <c r="UFH1" s="536"/>
      <c r="UFI1" s="536"/>
      <c r="UFJ1" s="536"/>
      <c r="UFK1" s="536"/>
      <c r="UFL1" s="536"/>
      <c r="UFM1" s="536"/>
      <c r="UFN1" s="536"/>
      <c r="UFO1" s="536"/>
      <c r="UFP1" s="536"/>
      <c r="UFQ1" s="536"/>
      <c r="UFR1" s="536"/>
      <c r="UFS1" s="536"/>
      <c r="UFT1" s="536"/>
      <c r="UFU1" s="536"/>
      <c r="UFV1" s="536"/>
      <c r="UFW1" s="536"/>
      <c r="UFX1" s="536"/>
      <c r="UFY1" s="536"/>
      <c r="UFZ1" s="536"/>
      <c r="UGA1" s="536"/>
      <c r="UGB1" s="536"/>
      <c r="UGC1" s="536"/>
      <c r="UGD1" s="536"/>
      <c r="UGE1" s="536"/>
      <c r="UGF1" s="536"/>
      <c r="UGG1" s="536"/>
      <c r="UGH1" s="536"/>
      <c r="UGI1" s="536"/>
      <c r="UGJ1" s="536"/>
      <c r="UGK1" s="536"/>
      <c r="UGL1" s="536"/>
      <c r="UGM1" s="536"/>
      <c r="UGN1" s="536"/>
      <c r="UGO1" s="536"/>
      <c r="UGP1" s="536"/>
      <c r="UGQ1" s="536"/>
      <c r="UGR1" s="536"/>
      <c r="UGS1" s="536"/>
      <c r="UGT1" s="536"/>
      <c r="UGU1" s="536"/>
      <c r="UGV1" s="536"/>
      <c r="UGW1" s="536"/>
      <c r="UGX1" s="536"/>
      <c r="UGY1" s="536"/>
      <c r="UGZ1" s="536"/>
      <c r="UHA1" s="536"/>
      <c r="UHB1" s="536"/>
      <c r="UHC1" s="536"/>
      <c r="UHD1" s="536"/>
      <c r="UHE1" s="536"/>
      <c r="UHF1" s="536"/>
      <c r="UHG1" s="536"/>
      <c r="UHH1" s="536"/>
      <c r="UHI1" s="536"/>
      <c r="UHJ1" s="536"/>
      <c r="UHK1" s="536"/>
      <c r="UHL1" s="536"/>
      <c r="UHM1" s="536"/>
      <c r="UHN1" s="536"/>
      <c r="UHO1" s="536"/>
      <c r="UHP1" s="536"/>
      <c r="UHQ1" s="536"/>
      <c r="UHR1" s="536"/>
      <c r="UHS1" s="536"/>
      <c r="UHT1" s="536"/>
      <c r="UHU1" s="536"/>
      <c r="UHV1" s="536"/>
      <c r="UHW1" s="536"/>
      <c r="UHX1" s="536"/>
      <c r="UHY1" s="536"/>
      <c r="UHZ1" s="536"/>
      <c r="UIA1" s="536"/>
      <c r="UIB1" s="536"/>
      <c r="UIC1" s="536"/>
      <c r="UID1" s="536"/>
      <c r="UIE1" s="536"/>
      <c r="UIF1" s="536"/>
      <c r="UIG1" s="536"/>
      <c r="UIH1" s="536"/>
      <c r="UII1" s="536"/>
      <c r="UIJ1" s="536"/>
      <c r="UIK1" s="536"/>
      <c r="UIL1" s="536"/>
      <c r="UIM1" s="536"/>
      <c r="UIN1" s="536"/>
      <c r="UIO1" s="536"/>
      <c r="UIP1" s="536"/>
      <c r="UIQ1" s="536"/>
      <c r="UIR1" s="536"/>
      <c r="UIS1" s="536"/>
      <c r="UIT1" s="536"/>
      <c r="UIU1" s="536"/>
      <c r="UIV1" s="536"/>
      <c r="UIW1" s="536"/>
      <c r="UIX1" s="536"/>
      <c r="UIY1" s="536"/>
      <c r="UIZ1" s="536"/>
      <c r="UJA1" s="536"/>
      <c r="UJB1" s="536"/>
      <c r="UJC1" s="536"/>
      <c r="UJD1" s="536"/>
      <c r="UJE1" s="536"/>
      <c r="UJF1" s="536"/>
      <c r="UJG1" s="536"/>
      <c r="UJH1" s="536"/>
      <c r="UJI1" s="536"/>
      <c r="UJJ1" s="536"/>
      <c r="UJK1" s="536"/>
      <c r="UJL1" s="536"/>
      <c r="UJM1" s="536"/>
      <c r="UJN1" s="536"/>
      <c r="UJO1" s="536"/>
      <c r="UJP1" s="536"/>
      <c r="UJQ1" s="536"/>
      <c r="UJR1" s="536"/>
      <c r="UJS1" s="536"/>
      <c r="UJT1" s="536"/>
      <c r="UJU1" s="536"/>
      <c r="UJV1" s="536"/>
      <c r="UJW1" s="536"/>
      <c r="UJX1" s="536"/>
      <c r="UJY1" s="536"/>
      <c r="UJZ1" s="536"/>
      <c r="UKA1" s="536"/>
      <c r="UKB1" s="536"/>
      <c r="UKC1" s="536"/>
      <c r="UKD1" s="536"/>
      <c r="UKE1" s="536"/>
      <c r="UKF1" s="536"/>
      <c r="UKG1" s="536"/>
      <c r="UKH1" s="536"/>
      <c r="UKI1" s="536"/>
      <c r="UKJ1" s="536"/>
      <c r="UKK1" s="536"/>
      <c r="UKL1" s="536"/>
      <c r="UKM1" s="536"/>
      <c r="UKN1" s="536"/>
      <c r="UKO1" s="536"/>
      <c r="UKP1" s="536"/>
      <c r="UKQ1" s="536"/>
      <c r="UKR1" s="536"/>
      <c r="UKS1" s="536"/>
      <c r="UKT1" s="536"/>
      <c r="UKU1" s="536"/>
      <c r="UKV1" s="536"/>
      <c r="UKW1" s="536"/>
      <c r="UKX1" s="536"/>
      <c r="UKY1" s="536"/>
      <c r="UKZ1" s="536"/>
      <c r="ULA1" s="536"/>
      <c r="ULB1" s="536"/>
      <c r="ULC1" s="536"/>
      <c r="ULD1" s="536"/>
      <c r="ULE1" s="536"/>
      <c r="ULF1" s="536"/>
      <c r="ULG1" s="536"/>
      <c r="ULH1" s="536"/>
      <c r="ULI1" s="536"/>
      <c r="ULJ1" s="536"/>
      <c r="ULK1" s="536"/>
      <c r="ULL1" s="536"/>
      <c r="ULM1" s="536"/>
      <c r="ULN1" s="536"/>
      <c r="ULO1" s="536"/>
      <c r="ULP1" s="536"/>
      <c r="ULQ1" s="536"/>
      <c r="ULR1" s="536"/>
      <c r="ULS1" s="536"/>
      <c r="ULT1" s="536"/>
      <c r="ULU1" s="536"/>
      <c r="ULV1" s="536"/>
      <c r="ULW1" s="536"/>
      <c r="ULX1" s="536"/>
      <c r="ULY1" s="536"/>
      <c r="ULZ1" s="536"/>
      <c r="UMA1" s="536"/>
      <c r="UMB1" s="536"/>
      <c r="UMC1" s="536"/>
      <c r="UMD1" s="536"/>
      <c r="UME1" s="536"/>
      <c r="UMF1" s="536"/>
      <c r="UMG1" s="536"/>
      <c r="UMH1" s="536"/>
      <c r="UMI1" s="536"/>
      <c r="UMJ1" s="536"/>
      <c r="UMK1" s="536"/>
      <c r="UML1" s="536"/>
      <c r="UMM1" s="536"/>
      <c r="UMN1" s="536"/>
      <c r="UMO1" s="536"/>
      <c r="UMP1" s="536"/>
      <c r="UMQ1" s="536"/>
      <c r="UMR1" s="536"/>
      <c r="UMS1" s="536"/>
      <c r="UMT1" s="536"/>
      <c r="UMU1" s="536"/>
      <c r="UMV1" s="536"/>
      <c r="UMW1" s="536"/>
      <c r="UMX1" s="536"/>
      <c r="UMY1" s="536"/>
      <c r="UMZ1" s="536"/>
      <c r="UNA1" s="536"/>
      <c r="UNB1" s="536"/>
      <c r="UNC1" s="536"/>
      <c r="UND1" s="536"/>
      <c r="UNE1" s="536"/>
      <c r="UNF1" s="536"/>
      <c r="UNG1" s="536"/>
      <c r="UNH1" s="536"/>
      <c r="UNI1" s="536"/>
      <c r="UNJ1" s="536"/>
      <c r="UNK1" s="536"/>
      <c r="UNL1" s="536"/>
      <c r="UNM1" s="536"/>
      <c r="UNN1" s="536"/>
      <c r="UNO1" s="536"/>
      <c r="UNP1" s="536"/>
      <c r="UNQ1" s="536"/>
      <c r="UNR1" s="536"/>
      <c r="UNS1" s="536"/>
      <c r="UNT1" s="536"/>
      <c r="UNU1" s="536"/>
      <c r="UNV1" s="536"/>
      <c r="UNW1" s="536"/>
      <c r="UNX1" s="536"/>
      <c r="UNY1" s="536"/>
      <c r="UNZ1" s="536"/>
      <c r="UOA1" s="536"/>
      <c r="UOB1" s="536"/>
      <c r="UOC1" s="536"/>
      <c r="UOD1" s="536"/>
      <c r="UOE1" s="536"/>
      <c r="UOF1" s="536"/>
      <c r="UOG1" s="536"/>
      <c r="UOH1" s="536"/>
      <c r="UOI1" s="536"/>
      <c r="UOJ1" s="536"/>
      <c r="UOK1" s="536"/>
      <c r="UOL1" s="536"/>
      <c r="UOM1" s="536"/>
      <c r="UON1" s="536"/>
      <c r="UOO1" s="536"/>
      <c r="UOP1" s="536"/>
      <c r="UOQ1" s="536"/>
      <c r="UOR1" s="536"/>
      <c r="UOS1" s="536"/>
      <c r="UOT1" s="536"/>
      <c r="UOU1" s="536"/>
      <c r="UOV1" s="536"/>
      <c r="UOW1" s="536"/>
      <c r="UOX1" s="536"/>
      <c r="UOY1" s="536"/>
      <c r="UOZ1" s="536"/>
      <c r="UPA1" s="536"/>
      <c r="UPB1" s="536"/>
      <c r="UPC1" s="536"/>
      <c r="UPD1" s="536"/>
      <c r="UPE1" s="536"/>
      <c r="UPF1" s="536"/>
      <c r="UPG1" s="536"/>
      <c r="UPH1" s="536"/>
      <c r="UPI1" s="536"/>
      <c r="UPJ1" s="536"/>
      <c r="UPK1" s="536"/>
      <c r="UPL1" s="536"/>
      <c r="UPM1" s="536"/>
      <c r="UPN1" s="536"/>
      <c r="UPO1" s="536"/>
      <c r="UPP1" s="536"/>
      <c r="UPQ1" s="536"/>
      <c r="UPR1" s="536"/>
      <c r="UPS1" s="536"/>
      <c r="UPT1" s="536"/>
      <c r="UPU1" s="536"/>
      <c r="UPV1" s="536"/>
      <c r="UPW1" s="536"/>
      <c r="UPX1" s="536"/>
      <c r="UPY1" s="536"/>
      <c r="UPZ1" s="536"/>
      <c r="UQA1" s="536"/>
      <c r="UQB1" s="536"/>
      <c r="UQC1" s="536"/>
      <c r="UQD1" s="536"/>
      <c r="UQE1" s="536"/>
      <c r="UQF1" s="536"/>
      <c r="UQG1" s="536"/>
      <c r="UQH1" s="536"/>
      <c r="UQI1" s="536"/>
      <c r="UQJ1" s="536"/>
      <c r="UQK1" s="536"/>
      <c r="UQL1" s="536"/>
      <c r="UQM1" s="536"/>
      <c r="UQN1" s="536"/>
      <c r="UQO1" s="536"/>
      <c r="UQP1" s="536"/>
      <c r="UQQ1" s="536"/>
      <c r="UQR1" s="536"/>
      <c r="UQS1" s="536"/>
      <c r="UQT1" s="536"/>
      <c r="UQU1" s="536"/>
      <c r="UQV1" s="536"/>
      <c r="UQW1" s="536"/>
      <c r="UQX1" s="536"/>
      <c r="UQY1" s="536"/>
      <c r="UQZ1" s="536"/>
      <c r="URA1" s="536"/>
      <c r="URB1" s="536"/>
      <c r="URC1" s="536"/>
      <c r="URD1" s="536"/>
      <c r="URE1" s="536"/>
      <c r="URF1" s="536"/>
      <c r="URG1" s="536"/>
      <c r="URH1" s="536"/>
      <c r="URI1" s="536"/>
      <c r="URJ1" s="536"/>
      <c r="URK1" s="536"/>
      <c r="URL1" s="536"/>
      <c r="URM1" s="536"/>
      <c r="URN1" s="536"/>
      <c r="URO1" s="536"/>
      <c r="URP1" s="536"/>
      <c r="URQ1" s="536"/>
      <c r="URR1" s="536"/>
      <c r="URS1" s="536"/>
      <c r="URT1" s="536"/>
      <c r="URU1" s="536"/>
      <c r="URV1" s="536"/>
      <c r="URW1" s="536"/>
      <c r="URX1" s="536"/>
      <c r="URY1" s="536"/>
      <c r="URZ1" s="536"/>
      <c r="USA1" s="536"/>
      <c r="USB1" s="536"/>
      <c r="USC1" s="536"/>
      <c r="USD1" s="536"/>
      <c r="USE1" s="536"/>
      <c r="USF1" s="536"/>
      <c r="USG1" s="536"/>
      <c r="USH1" s="536"/>
      <c r="USI1" s="536"/>
      <c r="USJ1" s="536"/>
      <c r="USK1" s="536"/>
      <c r="USL1" s="536"/>
      <c r="USM1" s="536"/>
      <c r="USN1" s="536"/>
      <c r="USO1" s="536"/>
      <c r="USP1" s="536"/>
      <c r="USQ1" s="536"/>
      <c r="USR1" s="536"/>
      <c r="USS1" s="536"/>
      <c r="UST1" s="536"/>
      <c r="USU1" s="536"/>
      <c r="USV1" s="536"/>
      <c r="USW1" s="536"/>
      <c r="USX1" s="536"/>
      <c r="USY1" s="536"/>
      <c r="USZ1" s="536"/>
      <c r="UTA1" s="536"/>
      <c r="UTB1" s="536"/>
      <c r="UTC1" s="536"/>
      <c r="UTD1" s="536"/>
      <c r="UTE1" s="536"/>
      <c r="UTF1" s="536"/>
      <c r="UTG1" s="536"/>
      <c r="UTH1" s="536"/>
      <c r="UTI1" s="536"/>
      <c r="UTJ1" s="536"/>
      <c r="UTK1" s="536"/>
      <c r="UTL1" s="536"/>
      <c r="UTM1" s="536"/>
      <c r="UTN1" s="536"/>
      <c r="UTO1" s="536"/>
      <c r="UTP1" s="536"/>
      <c r="UTQ1" s="536"/>
      <c r="UTR1" s="536"/>
      <c r="UTS1" s="536"/>
      <c r="UTT1" s="536"/>
      <c r="UTU1" s="536"/>
      <c r="UTV1" s="536"/>
      <c r="UTW1" s="536"/>
      <c r="UTX1" s="536"/>
      <c r="UTY1" s="536"/>
      <c r="UTZ1" s="536"/>
      <c r="UUA1" s="536"/>
      <c r="UUB1" s="536"/>
      <c r="UUC1" s="536"/>
      <c r="UUD1" s="536"/>
      <c r="UUE1" s="536"/>
      <c r="UUF1" s="536"/>
      <c r="UUG1" s="536"/>
      <c r="UUH1" s="536"/>
      <c r="UUI1" s="536"/>
      <c r="UUJ1" s="536"/>
      <c r="UUK1" s="536"/>
      <c r="UUL1" s="536"/>
      <c r="UUM1" s="536"/>
      <c r="UUN1" s="536"/>
      <c r="UUO1" s="536"/>
      <c r="UUP1" s="536"/>
      <c r="UUQ1" s="536"/>
      <c r="UUR1" s="536"/>
      <c r="UUS1" s="536"/>
      <c r="UUT1" s="536"/>
      <c r="UUU1" s="536"/>
      <c r="UUV1" s="536"/>
      <c r="UUW1" s="536"/>
      <c r="UUX1" s="536"/>
      <c r="UUY1" s="536"/>
      <c r="UUZ1" s="536"/>
      <c r="UVA1" s="536"/>
      <c r="UVB1" s="536"/>
      <c r="UVC1" s="536"/>
      <c r="UVD1" s="536"/>
      <c r="UVE1" s="536"/>
      <c r="UVF1" s="536"/>
      <c r="UVG1" s="536"/>
      <c r="UVH1" s="536"/>
      <c r="UVI1" s="536"/>
      <c r="UVJ1" s="536"/>
      <c r="UVK1" s="536"/>
      <c r="UVL1" s="536"/>
      <c r="UVM1" s="536"/>
      <c r="UVN1" s="536"/>
      <c r="UVO1" s="536"/>
      <c r="UVP1" s="536"/>
      <c r="UVQ1" s="536"/>
      <c r="UVR1" s="536"/>
      <c r="UVS1" s="536"/>
      <c r="UVT1" s="536"/>
      <c r="UVU1" s="536"/>
      <c r="UVV1" s="536"/>
      <c r="UVW1" s="536"/>
      <c r="UVX1" s="536"/>
      <c r="UVY1" s="536"/>
      <c r="UVZ1" s="536"/>
      <c r="UWA1" s="536"/>
      <c r="UWB1" s="536"/>
      <c r="UWC1" s="536"/>
      <c r="UWD1" s="536"/>
      <c r="UWE1" s="536"/>
      <c r="UWF1" s="536"/>
      <c r="UWG1" s="536"/>
      <c r="UWH1" s="536"/>
      <c r="UWI1" s="536"/>
      <c r="UWJ1" s="536"/>
      <c r="UWK1" s="536"/>
      <c r="UWL1" s="536"/>
      <c r="UWM1" s="536"/>
      <c r="UWN1" s="536"/>
      <c r="UWO1" s="536"/>
      <c r="UWP1" s="536"/>
      <c r="UWQ1" s="536"/>
      <c r="UWR1" s="536"/>
      <c r="UWS1" s="536"/>
      <c r="UWT1" s="536"/>
      <c r="UWU1" s="536"/>
      <c r="UWV1" s="536"/>
      <c r="UWW1" s="536"/>
      <c r="UWX1" s="536"/>
      <c r="UWY1" s="536"/>
      <c r="UWZ1" s="536"/>
      <c r="UXA1" s="536"/>
      <c r="UXB1" s="536"/>
      <c r="UXC1" s="536"/>
      <c r="UXD1" s="536"/>
      <c r="UXE1" s="536"/>
      <c r="UXF1" s="536"/>
      <c r="UXG1" s="536"/>
      <c r="UXH1" s="536"/>
      <c r="UXI1" s="536"/>
      <c r="UXJ1" s="536"/>
      <c r="UXK1" s="536"/>
      <c r="UXL1" s="536"/>
      <c r="UXM1" s="536"/>
      <c r="UXN1" s="536"/>
      <c r="UXO1" s="536"/>
      <c r="UXP1" s="536"/>
      <c r="UXQ1" s="536"/>
      <c r="UXR1" s="536"/>
      <c r="UXS1" s="536"/>
      <c r="UXT1" s="536"/>
      <c r="UXU1" s="536"/>
      <c r="UXV1" s="536"/>
      <c r="UXW1" s="536"/>
      <c r="UXX1" s="536"/>
      <c r="UXY1" s="536"/>
      <c r="UXZ1" s="536"/>
      <c r="UYA1" s="536"/>
      <c r="UYB1" s="536"/>
      <c r="UYC1" s="536"/>
      <c r="UYD1" s="536"/>
      <c r="UYE1" s="536"/>
      <c r="UYF1" s="536"/>
      <c r="UYG1" s="536"/>
      <c r="UYH1" s="536"/>
      <c r="UYI1" s="536"/>
      <c r="UYJ1" s="536"/>
      <c r="UYK1" s="536"/>
      <c r="UYL1" s="536"/>
      <c r="UYM1" s="536"/>
      <c r="UYN1" s="536"/>
      <c r="UYO1" s="536"/>
      <c r="UYP1" s="536"/>
      <c r="UYQ1" s="536"/>
      <c r="UYR1" s="536"/>
      <c r="UYS1" s="536"/>
      <c r="UYT1" s="536"/>
      <c r="UYU1" s="536"/>
      <c r="UYV1" s="536"/>
      <c r="UYW1" s="536"/>
      <c r="UYX1" s="536"/>
      <c r="UYY1" s="536"/>
      <c r="UYZ1" s="536"/>
      <c r="UZA1" s="536"/>
      <c r="UZB1" s="536"/>
      <c r="UZC1" s="536"/>
      <c r="UZD1" s="536"/>
      <c r="UZE1" s="536"/>
      <c r="UZF1" s="536"/>
      <c r="UZG1" s="536"/>
      <c r="UZH1" s="536"/>
      <c r="UZI1" s="536"/>
      <c r="UZJ1" s="536"/>
      <c r="UZK1" s="536"/>
      <c r="UZL1" s="536"/>
      <c r="UZM1" s="536"/>
      <c r="UZN1" s="536"/>
      <c r="UZO1" s="536"/>
      <c r="UZP1" s="536"/>
      <c r="UZQ1" s="536"/>
      <c r="UZR1" s="536"/>
      <c r="UZS1" s="536"/>
      <c r="UZT1" s="536"/>
      <c r="UZU1" s="536"/>
      <c r="UZV1" s="536"/>
      <c r="UZW1" s="536"/>
      <c r="UZX1" s="536"/>
      <c r="UZY1" s="536"/>
      <c r="UZZ1" s="536"/>
      <c r="VAA1" s="536"/>
      <c r="VAB1" s="536"/>
      <c r="VAC1" s="536"/>
      <c r="VAD1" s="536"/>
      <c r="VAE1" s="536"/>
      <c r="VAF1" s="536"/>
      <c r="VAG1" s="536"/>
      <c r="VAH1" s="536"/>
      <c r="VAI1" s="536"/>
      <c r="VAJ1" s="536"/>
      <c r="VAK1" s="536"/>
      <c r="VAL1" s="536"/>
      <c r="VAM1" s="536"/>
      <c r="VAN1" s="536"/>
      <c r="VAO1" s="536"/>
      <c r="VAP1" s="536"/>
      <c r="VAQ1" s="536"/>
      <c r="VAR1" s="536"/>
      <c r="VAS1" s="536"/>
      <c r="VAT1" s="536"/>
      <c r="VAU1" s="536"/>
      <c r="VAV1" s="536"/>
      <c r="VAW1" s="536"/>
      <c r="VAX1" s="536"/>
      <c r="VAY1" s="536"/>
      <c r="VAZ1" s="536"/>
      <c r="VBA1" s="536"/>
      <c r="VBB1" s="536"/>
      <c r="VBC1" s="536"/>
      <c r="VBD1" s="536"/>
      <c r="VBE1" s="536"/>
      <c r="VBF1" s="536"/>
      <c r="VBG1" s="536"/>
      <c r="VBH1" s="536"/>
      <c r="VBI1" s="536"/>
      <c r="VBJ1" s="536"/>
      <c r="VBK1" s="536"/>
      <c r="VBL1" s="536"/>
      <c r="VBM1" s="536"/>
      <c r="VBN1" s="536"/>
      <c r="VBO1" s="536"/>
      <c r="VBP1" s="536"/>
      <c r="VBQ1" s="536"/>
      <c r="VBR1" s="536"/>
      <c r="VBS1" s="536"/>
      <c r="VBT1" s="536"/>
      <c r="VBU1" s="536"/>
      <c r="VBV1" s="536"/>
      <c r="VBW1" s="536"/>
      <c r="VBX1" s="536"/>
      <c r="VBY1" s="536"/>
      <c r="VBZ1" s="536"/>
      <c r="VCA1" s="536"/>
      <c r="VCB1" s="536"/>
      <c r="VCC1" s="536"/>
      <c r="VCD1" s="536"/>
      <c r="VCE1" s="536"/>
      <c r="VCF1" s="536"/>
      <c r="VCG1" s="536"/>
      <c r="VCH1" s="536"/>
      <c r="VCI1" s="536"/>
      <c r="VCJ1" s="536"/>
      <c r="VCK1" s="536"/>
      <c r="VCL1" s="536"/>
      <c r="VCM1" s="536"/>
      <c r="VCN1" s="536"/>
      <c r="VCO1" s="536"/>
      <c r="VCP1" s="536"/>
      <c r="VCQ1" s="536"/>
      <c r="VCR1" s="536"/>
      <c r="VCS1" s="536"/>
      <c r="VCT1" s="536"/>
      <c r="VCU1" s="536"/>
      <c r="VCV1" s="536"/>
      <c r="VCW1" s="536"/>
      <c r="VCX1" s="536"/>
      <c r="VCY1" s="536"/>
      <c r="VCZ1" s="536"/>
      <c r="VDA1" s="536"/>
      <c r="VDB1" s="536"/>
      <c r="VDC1" s="536"/>
      <c r="VDD1" s="536"/>
      <c r="VDE1" s="536"/>
      <c r="VDF1" s="536"/>
      <c r="VDG1" s="536"/>
      <c r="VDH1" s="536"/>
      <c r="VDI1" s="536"/>
      <c r="VDJ1" s="536"/>
      <c r="VDK1" s="536"/>
      <c r="VDL1" s="536"/>
      <c r="VDM1" s="536"/>
      <c r="VDN1" s="536"/>
      <c r="VDO1" s="536"/>
      <c r="VDP1" s="536"/>
      <c r="VDQ1" s="536"/>
      <c r="VDR1" s="536"/>
      <c r="VDS1" s="536"/>
      <c r="VDT1" s="536"/>
      <c r="VDU1" s="536"/>
      <c r="VDV1" s="536"/>
      <c r="VDW1" s="536"/>
      <c r="VDX1" s="536"/>
      <c r="VDY1" s="536"/>
      <c r="VDZ1" s="536"/>
      <c r="VEA1" s="536"/>
      <c r="VEB1" s="536"/>
      <c r="VEC1" s="536"/>
      <c r="VED1" s="536"/>
      <c r="VEE1" s="536"/>
      <c r="VEF1" s="536"/>
      <c r="VEG1" s="536"/>
      <c r="VEH1" s="536"/>
      <c r="VEI1" s="536"/>
      <c r="VEJ1" s="536"/>
      <c r="VEK1" s="536"/>
      <c r="VEL1" s="536"/>
      <c r="VEM1" s="536"/>
      <c r="VEN1" s="536"/>
      <c r="VEO1" s="536"/>
      <c r="VEP1" s="536"/>
      <c r="VEQ1" s="536"/>
      <c r="VER1" s="536"/>
      <c r="VES1" s="536"/>
      <c r="VET1" s="536"/>
      <c r="VEU1" s="536"/>
      <c r="VEV1" s="536"/>
      <c r="VEW1" s="536"/>
      <c r="VEX1" s="536"/>
      <c r="VEY1" s="536"/>
      <c r="VEZ1" s="536"/>
      <c r="VFA1" s="536"/>
      <c r="VFB1" s="536"/>
      <c r="VFC1" s="536"/>
      <c r="VFD1" s="536"/>
      <c r="VFE1" s="536"/>
      <c r="VFF1" s="536"/>
      <c r="VFG1" s="536"/>
      <c r="VFH1" s="536"/>
      <c r="VFI1" s="536"/>
      <c r="VFJ1" s="536"/>
      <c r="VFK1" s="536"/>
      <c r="VFL1" s="536"/>
      <c r="VFM1" s="536"/>
      <c r="VFN1" s="536"/>
      <c r="VFO1" s="536"/>
      <c r="VFP1" s="536"/>
      <c r="VFQ1" s="536"/>
      <c r="VFR1" s="536"/>
      <c r="VFS1" s="536"/>
      <c r="VFT1" s="536"/>
      <c r="VFU1" s="536"/>
      <c r="VFV1" s="536"/>
      <c r="VFW1" s="536"/>
      <c r="VFX1" s="536"/>
      <c r="VFY1" s="536"/>
      <c r="VFZ1" s="536"/>
      <c r="VGA1" s="536"/>
      <c r="VGB1" s="536"/>
      <c r="VGC1" s="536"/>
      <c r="VGD1" s="536"/>
      <c r="VGE1" s="536"/>
      <c r="VGF1" s="536"/>
      <c r="VGG1" s="536"/>
      <c r="VGH1" s="536"/>
      <c r="VGI1" s="536"/>
      <c r="VGJ1" s="536"/>
      <c r="VGK1" s="536"/>
      <c r="VGL1" s="536"/>
      <c r="VGM1" s="536"/>
      <c r="VGN1" s="536"/>
      <c r="VGO1" s="536"/>
      <c r="VGP1" s="536"/>
      <c r="VGQ1" s="536"/>
      <c r="VGR1" s="536"/>
      <c r="VGS1" s="536"/>
      <c r="VGT1" s="536"/>
      <c r="VGU1" s="536"/>
      <c r="VGV1" s="536"/>
      <c r="VGW1" s="536"/>
      <c r="VGX1" s="536"/>
      <c r="VGY1" s="536"/>
      <c r="VGZ1" s="536"/>
      <c r="VHA1" s="536"/>
      <c r="VHB1" s="536"/>
      <c r="VHC1" s="536"/>
      <c r="VHD1" s="536"/>
      <c r="VHE1" s="536"/>
      <c r="VHF1" s="536"/>
      <c r="VHG1" s="536"/>
      <c r="VHH1" s="536"/>
      <c r="VHI1" s="536"/>
      <c r="VHJ1" s="536"/>
      <c r="VHK1" s="536"/>
      <c r="VHL1" s="536"/>
      <c r="VHM1" s="536"/>
      <c r="VHN1" s="536"/>
      <c r="VHO1" s="536"/>
      <c r="VHP1" s="536"/>
      <c r="VHQ1" s="536"/>
      <c r="VHR1" s="536"/>
      <c r="VHS1" s="536"/>
      <c r="VHT1" s="536"/>
      <c r="VHU1" s="536"/>
      <c r="VHV1" s="536"/>
      <c r="VHW1" s="536"/>
      <c r="VHX1" s="536"/>
      <c r="VHY1" s="536"/>
      <c r="VHZ1" s="536"/>
      <c r="VIA1" s="536"/>
      <c r="VIB1" s="536"/>
      <c r="VIC1" s="536"/>
      <c r="VID1" s="536"/>
      <c r="VIE1" s="536"/>
      <c r="VIF1" s="536"/>
      <c r="VIG1" s="536"/>
      <c r="VIH1" s="536"/>
      <c r="VII1" s="536"/>
      <c r="VIJ1" s="536"/>
      <c r="VIK1" s="536"/>
      <c r="VIL1" s="536"/>
      <c r="VIM1" s="536"/>
      <c r="VIN1" s="536"/>
      <c r="VIO1" s="536"/>
      <c r="VIP1" s="536"/>
      <c r="VIQ1" s="536"/>
      <c r="VIR1" s="536"/>
      <c r="VIS1" s="536"/>
      <c r="VIT1" s="536"/>
      <c r="VIU1" s="536"/>
      <c r="VIV1" s="536"/>
      <c r="VIW1" s="536"/>
      <c r="VIX1" s="536"/>
      <c r="VIY1" s="536"/>
      <c r="VIZ1" s="536"/>
      <c r="VJA1" s="536"/>
      <c r="VJB1" s="536"/>
      <c r="VJC1" s="536"/>
      <c r="VJD1" s="536"/>
      <c r="VJE1" s="536"/>
      <c r="VJF1" s="536"/>
      <c r="VJG1" s="536"/>
      <c r="VJH1" s="536"/>
      <c r="VJI1" s="536"/>
      <c r="VJJ1" s="536"/>
      <c r="VJK1" s="536"/>
      <c r="VJL1" s="536"/>
      <c r="VJM1" s="536"/>
      <c r="VJN1" s="536"/>
      <c r="VJO1" s="536"/>
      <c r="VJP1" s="536"/>
      <c r="VJQ1" s="536"/>
      <c r="VJR1" s="536"/>
      <c r="VJS1" s="536"/>
      <c r="VJT1" s="536"/>
      <c r="VJU1" s="536"/>
      <c r="VJV1" s="536"/>
      <c r="VJW1" s="536"/>
      <c r="VJX1" s="536"/>
      <c r="VJY1" s="536"/>
      <c r="VJZ1" s="536"/>
      <c r="VKA1" s="536"/>
      <c r="VKB1" s="536"/>
      <c r="VKC1" s="536"/>
      <c r="VKD1" s="536"/>
      <c r="VKE1" s="536"/>
      <c r="VKF1" s="536"/>
      <c r="VKG1" s="536"/>
      <c r="VKH1" s="536"/>
      <c r="VKI1" s="536"/>
      <c r="VKJ1" s="536"/>
      <c r="VKK1" s="536"/>
      <c r="VKL1" s="536"/>
      <c r="VKM1" s="536"/>
      <c r="VKN1" s="536"/>
      <c r="VKO1" s="536"/>
      <c r="VKP1" s="536"/>
      <c r="VKQ1" s="536"/>
      <c r="VKR1" s="536"/>
      <c r="VKS1" s="536"/>
      <c r="VKT1" s="536"/>
      <c r="VKU1" s="536"/>
      <c r="VKV1" s="536"/>
      <c r="VKW1" s="536"/>
      <c r="VKX1" s="536"/>
      <c r="VKY1" s="536"/>
      <c r="VKZ1" s="536"/>
      <c r="VLA1" s="536"/>
      <c r="VLB1" s="536"/>
      <c r="VLC1" s="536"/>
      <c r="VLD1" s="536"/>
      <c r="VLE1" s="536"/>
      <c r="VLF1" s="536"/>
      <c r="VLG1" s="536"/>
      <c r="VLH1" s="536"/>
      <c r="VLI1" s="536"/>
      <c r="VLJ1" s="536"/>
      <c r="VLK1" s="536"/>
      <c r="VLL1" s="536"/>
      <c r="VLM1" s="536"/>
      <c r="VLN1" s="536"/>
      <c r="VLO1" s="536"/>
      <c r="VLP1" s="536"/>
      <c r="VLQ1" s="536"/>
      <c r="VLR1" s="536"/>
      <c r="VLS1" s="536"/>
      <c r="VLT1" s="536"/>
      <c r="VLU1" s="536"/>
      <c r="VLV1" s="536"/>
      <c r="VLW1" s="536"/>
      <c r="VLX1" s="536"/>
      <c r="VLY1" s="536"/>
      <c r="VLZ1" s="536"/>
      <c r="VMA1" s="536"/>
      <c r="VMB1" s="536"/>
      <c r="VMC1" s="536"/>
      <c r="VMD1" s="536"/>
      <c r="VME1" s="536"/>
      <c r="VMF1" s="536"/>
      <c r="VMG1" s="536"/>
      <c r="VMH1" s="536"/>
      <c r="VMI1" s="536"/>
      <c r="VMJ1" s="536"/>
      <c r="VMK1" s="536"/>
      <c r="VML1" s="536"/>
      <c r="VMM1" s="536"/>
      <c r="VMN1" s="536"/>
      <c r="VMO1" s="536"/>
      <c r="VMP1" s="536"/>
      <c r="VMQ1" s="536"/>
      <c r="VMR1" s="536"/>
      <c r="VMS1" s="536"/>
      <c r="VMT1" s="536"/>
      <c r="VMU1" s="536"/>
      <c r="VMV1" s="536"/>
      <c r="VMW1" s="536"/>
      <c r="VMX1" s="536"/>
      <c r="VMY1" s="536"/>
      <c r="VMZ1" s="536"/>
      <c r="VNA1" s="536"/>
      <c r="VNB1" s="536"/>
      <c r="VNC1" s="536"/>
      <c r="VND1" s="536"/>
      <c r="VNE1" s="536"/>
      <c r="VNF1" s="536"/>
      <c r="VNG1" s="536"/>
      <c r="VNH1" s="536"/>
      <c r="VNI1" s="536"/>
      <c r="VNJ1" s="536"/>
      <c r="VNK1" s="536"/>
      <c r="VNL1" s="536"/>
      <c r="VNM1" s="536"/>
      <c r="VNN1" s="536"/>
      <c r="VNO1" s="536"/>
      <c r="VNP1" s="536"/>
      <c r="VNQ1" s="536"/>
      <c r="VNR1" s="536"/>
      <c r="VNS1" s="536"/>
      <c r="VNT1" s="536"/>
      <c r="VNU1" s="536"/>
      <c r="VNV1" s="536"/>
      <c r="VNW1" s="536"/>
      <c r="VNX1" s="536"/>
      <c r="VNY1" s="536"/>
      <c r="VNZ1" s="536"/>
      <c r="VOA1" s="536"/>
      <c r="VOB1" s="536"/>
      <c r="VOC1" s="536"/>
      <c r="VOD1" s="536"/>
      <c r="VOE1" s="536"/>
      <c r="VOF1" s="536"/>
      <c r="VOG1" s="536"/>
      <c r="VOH1" s="536"/>
      <c r="VOI1" s="536"/>
      <c r="VOJ1" s="536"/>
      <c r="VOK1" s="536"/>
      <c r="VOL1" s="536"/>
      <c r="VOM1" s="536"/>
      <c r="VON1" s="536"/>
      <c r="VOO1" s="536"/>
      <c r="VOP1" s="536"/>
      <c r="VOQ1" s="536"/>
      <c r="VOR1" s="536"/>
      <c r="VOS1" s="536"/>
      <c r="VOT1" s="536"/>
      <c r="VOU1" s="536"/>
      <c r="VOV1" s="536"/>
      <c r="VOW1" s="536"/>
      <c r="VOX1" s="536"/>
      <c r="VOY1" s="536"/>
      <c r="VOZ1" s="536"/>
      <c r="VPA1" s="536"/>
      <c r="VPB1" s="536"/>
      <c r="VPC1" s="536"/>
      <c r="VPD1" s="536"/>
      <c r="VPE1" s="536"/>
      <c r="VPF1" s="536"/>
      <c r="VPG1" s="536"/>
      <c r="VPH1" s="536"/>
      <c r="VPI1" s="536"/>
      <c r="VPJ1" s="536"/>
      <c r="VPK1" s="536"/>
      <c r="VPL1" s="536"/>
      <c r="VPM1" s="536"/>
      <c r="VPN1" s="536"/>
      <c r="VPO1" s="536"/>
      <c r="VPP1" s="536"/>
      <c r="VPQ1" s="536"/>
      <c r="VPR1" s="536"/>
      <c r="VPS1" s="536"/>
      <c r="VPT1" s="536"/>
      <c r="VPU1" s="536"/>
      <c r="VPV1" s="536"/>
      <c r="VPW1" s="536"/>
      <c r="VPX1" s="536"/>
      <c r="VPY1" s="536"/>
      <c r="VPZ1" s="536"/>
      <c r="VQA1" s="536"/>
      <c r="VQB1" s="536"/>
      <c r="VQC1" s="536"/>
      <c r="VQD1" s="536"/>
      <c r="VQE1" s="536"/>
      <c r="VQF1" s="536"/>
      <c r="VQG1" s="536"/>
      <c r="VQH1" s="536"/>
      <c r="VQI1" s="536"/>
      <c r="VQJ1" s="536"/>
      <c r="VQK1" s="536"/>
      <c r="VQL1" s="536"/>
      <c r="VQM1" s="536"/>
      <c r="VQN1" s="536"/>
      <c r="VQO1" s="536"/>
      <c r="VQP1" s="536"/>
      <c r="VQQ1" s="536"/>
      <c r="VQR1" s="536"/>
      <c r="VQS1" s="536"/>
      <c r="VQT1" s="536"/>
      <c r="VQU1" s="536"/>
      <c r="VQV1" s="536"/>
      <c r="VQW1" s="536"/>
      <c r="VQX1" s="536"/>
      <c r="VQY1" s="536"/>
      <c r="VQZ1" s="536"/>
      <c r="VRA1" s="536"/>
      <c r="VRB1" s="536"/>
      <c r="VRC1" s="536"/>
      <c r="VRD1" s="536"/>
      <c r="VRE1" s="536"/>
      <c r="VRF1" s="536"/>
      <c r="VRG1" s="536"/>
      <c r="VRH1" s="536"/>
      <c r="VRI1" s="536"/>
      <c r="VRJ1" s="536"/>
      <c r="VRK1" s="536"/>
      <c r="VRL1" s="536"/>
      <c r="VRM1" s="536"/>
      <c r="VRN1" s="536"/>
      <c r="VRO1" s="536"/>
      <c r="VRP1" s="536"/>
      <c r="VRQ1" s="536"/>
      <c r="VRR1" s="536"/>
      <c r="VRS1" s="536"/>
      <c r="VRT1" s="536"/>
      <c r="VRU1" s="536"/>
      <c r="VRV1" s="536"/>
      <c r="VRW1" s="536"/>
      <c r="VRX1" s="536"/>
      <c r="VRY1" s="536"/>
      <c r="VRZ1" s="536"/>
      <c r="VSA1" s="536"/>
      <c r="VSB1" s="536"/>
      <c r="VSC1" s="536"/>
      <c r="VSD1" s="536"/>
      <c r="VSE1" s="536"/>
      <c r="VSF1" s="536"/>
      <c r="VSG1" s="536"/>
      <c r="VSH1" s="536"/>
      <c r="VSI1" s="536"/>
      <c r="VSJ1" s="536"/>
      <c r="VSK1" s="536"/>
      <c r="VSL1" s="536"/>
      <c r="VSM1" s="536"/>
      <c r="VSN1" s="536"/>
      <c r="VSO1" s="536"/>
      <c r="VSP1" s="536"/>
      <c r="VSQ1" s="536"/>
      <c r="VSR1" s="536"/>
      <c r="VSS1" s="536"/>
      <c r="VST1" s="536"/>
      <c r="VSU1" s="536"/>
      <c r="VSV1" s="536"/>
      <c r="VSW1" s="536"/>
      <c r="VSX1" s="536"/>
      <c r="VSY1" s="536"/>
      <c r="VSZ1" s="536"/>
      <c r="VTA1" s="536"/>
      <c r="VTB1" s="536"/>
      <c r="VTC1" s="536"/>
      <c r="VTD1" s="536"/>
      <c r="VTE1" s="536"/>
      <c r="VTF1" s="536"/>
      <c r="VTG1" s="536"/>
      <c r="VTH1" s="536"/>
      <c r="VTI1" s="536"/>
      <c r="VTJ1" s="536"/>
      <c r="VTK1" s="536"/>
      <c r="VTL1" s="536"/>
      <c r="VTM1" s="536"/>
      <c r="VTN1" s="536"/>
      <c r="VTO1" s="536"/>
      <c r="VTP1" s="536"/>
      <c r="VTQ1" s="536"/>
      <c r="VTR1" s="536"/>
      <c r="VTS1" s="536"/>
      <c r="VTT1" s="536"/>
      <c r="VTU1" s="536"/>
      <c r="VTV1" s="536"/>
      <c r="VTW1" s="536"/>
      <c r="VTX1" s="536"/>
      <c r="VTY1" s="536"/>
      <c r="VTZ1" s="536"/>
      <c r="VUA1" s="536"/>
      <c r="VUB1" s="536"/>
      <c r="VUC1" s="536"/>
      <c r="VUD1" s="536"/>
      <c r="VUE1" s="536"/>
      <c r="VUF1" s="536"/>
      <c r="VUG1" s="536"/>
      <c r="VUH1" s="536"/>
      <c r="VUI1" s="536"/>
      <c r="VUJ1" s="536"/>
      <c r="VUK1" s="536"/>
      <c r="VUL1" s="536"/>
      <c r="VUM1" s="536"/>
      <c r="VUN1" s="536"/>
      <c r="VUO1" s="536"/>
      <c r="VUP1" s="536"/>
      <c r="VUQ1" s="536"/>
      <c r="VUR1" s="536"/>
      <c r="VUS1" s="536"/>
      <c r="VUT1" s="536"/>
      <c r="VUU1" s="536"/>
      <c r="VUV1" s="536"/>
      <c r="VUW1" s="536"/>
      <c r="VUX1" s="536"/>
      <c r="VUY1" s="536"/>
      <c r="VUZ1" s="536"/>
      <c r="VVA1" s="536"/>
      <c r="VVB1" s="536"/>
      <c r="VVC1" s="536"/>
      <c r="VVD1" s="536"/>
      <c r="VVE1" s="536"/>
      <c r="VVF1" s="536"/>
      <c r="VVG1" s="536"/>
      <c r="VVH1" s="536"/>
      <c r="VVI1" s="536"/>
      <c r="VVJ1" s="536"/>
      <c r="VVK1" s="536"/>
      <c r="VVL1" s="536"/>
      <c r="VVM1" s="536"/>
      <c r="VVN1" s="536"/>
      <c r="VVO1" s="536"/>
      <c r="VVP1" s="536"/>
      <c r="VVQ1" s="536"/>
      <c r="VVR1" s="536"/>
      <c r="VVS1" s="536"/>
      <c r="VVT1" s="536"/>
      <c r="VVU1" s="536"/>
      <c r="VVV1" s="536"/>
      <c r="VVW1" s="536"/>
      <c r="VVX1" s="536"/>
      <c r="VVY1" s="536"/>
      <c r="VVZ1" s="536"/>
      <c r="VWA1" s="536"/>
      <c r="VWB1" s="536"/>
      <c r="VWC1" s="536"/>
      <c r="VWD1" s="536"/>
      <c r="VWE1" s="536"/>
      <c r="VWF1" s="536"/>
      <c r="VWG1" s="536"/>
      <c r="VWH1" s="536"/>
      <c r="VWI1" s="536"/>
      <c r="VWJ1" s="536"/>
      <c r="VWK1" s="536"/>
      <c r="VWL1" s="536"/>
      <c r="VWM1" s="536"/>
      <c r="VWN1" s="536"/>
      <c r="VWO1" s="536"/>
      <c r="VWP1" s="536"/>
      <c r="VWQ1" s="536"/>
      <c r="VWR1" s="536"/>
      <c r="VWS1" s="536"/>
      <c r="VWT1" s="536"/>
      <c r="VWU1" s="536"/>
      <c r="VWV1" s="536"/>
      <c r="VWW1" s="536"/>
      <c r="VWX1" s="536"/>
      <c r="VWY1" s="536"/>
      <c r="VWZ1" s="536"/>
      <c r="VXA1" s="536"/>
      <c r="VXB1" s="536"/>
      <c r="VXC1" s="536"/>
      <c r="VXD1" s="536"/>
      <c r="VXE1" s="536"/>
      <c r="VXF1" s="536"/>
      <c r="VXG1" s="536"/>
      <c r="VXH1" s="536"/>
      <c r="VXI1" s="536"/>
      <c r="VXJ1" s="536"/>
      <c r="VXK1" s="536"/>
      <c r="VXL1" s="536"/>
      <c r="VXM1" s="536"/>
      <c r="VXN1" s="536"/>
      <c r="VXO1" s="536"/>
      <c r="VXP1" s="536"/>
      <c r="VXQ1" s="536"/>
      <c r="VXR1" s="536"/>
      <c r="VXS1" s="536"/>
      <c r="VXT1" s="536"/>
      <c r="VXU1" s="536"/>
      <c r="VXV1" s="536"/>
      <c r="VXW1" s="536"/>
      <c r="VXX1" s="536"/>
      <c r="VXY1" s="536"/>
      <c r="VXZ1" s="536"/>
      <c r="VYA1" s="536"/>
      <c r="VYB1" s="536"/>
      <c r="VYC1" s="536"/>
      <c r="VYD1" s="536"/>
      <c r="VYE1" s="536"/>
      <c r="VYF1" s="536"/>
      <c r="VYG1" s="536"/>
      <c r="VYH1" s="536"/>
      <c r="VYI1" s="536"/>
      <c r="VYJ1" s="536"/>
      <c r="VYK1" s="536"/>
      <c r="VYL1" s="536"/>
      <c r="VYM1" s="536"/>
      <c r="VYN1" s="536"/>
      <c r="VYO1" s="536"/>
      <c r="VYP1" s="536"/>
      <c r="VYQ1" s="536"/>
      <c r="VYR1" s="536"/>
      <c r="VYS1" s="536"/>
      <c r="VYT1" s="536"/>
      <c r="VYU1" s="536"/>
      <c r="VYV1" s="536"/>
      <c r="VYW1" s="536"/>
      <c r="VYX1" s="536"/>
      <c r="VYY1" s="536"/>
      <c r="VYZ1" s="536"/>
      <c r="VZA1" s="536"/>
      <c r="VZB1" s="536"/>
      <c r="VZC1" s="536"/>
      <c r="VZD1" s="536"/>
      <c r="VZE1" s="536"/>
      <c r="VZF1" s="536"/>
      <c r="VZG1" s="536"/>
      <c r="VZH1" s="536"/>
      <c r="VZI1" s="536"/>
      <c r="VZJ1" s="536"/>
      <c r="VZK1" s="536"/>
      <c r="VZL1" s="536"/>
      <c r="VZM1" s="536"/>
      <c r="VZN1" s="536"/>
      <c r="VZO1" s="536"/>
      <c r="VZP1" s="536"/>
      <c r="VZQ1" s="536"/>
      <c r="VZR1" s="536"/>
      <c r="VZS1" s="536"/>
      <c r="VZT1" s="536"/>
      <c r="VZU1" s="536"/>
      <c r="VZV1" s="536"/>
      <c r="VZW1" s="536"/>
      <c r="VZX1" s="536"/>
      <c r="VZY1" s="536"/>
      <c r="VZZ1" s="536"/>
      <c r="WAA1" s="536"/>
      <c r="WAB1" s="536"/>
      <c r="WAC1" s="536"/>
      <c r="WAD1" s="536"/>
      <c r="WAE1" s="536"/>
      <c r="WAF1" s="536"/>
      <c r="WAG1" s="536"/>
      <c r="WAH1" s="536"/>
      <c r="WAI1" s="536"/>
      <c r="WAJ1" s="536"/>
      <c r="WAK1" s="536"/>
      <c r="WAL1" s="536"/>
      <c r="WAM1" s="536"/>
      <c r="WAN1" s="536"/>
      <c r="WAO1" s="536"/>
      <c r="WAP1" s="536"/>
      <c r="WAQ1" s="536"/>
      <c r="WAR1" s="536"/>
      <c r="WAS1" s="536"/>
      <c r="WAT1" s="536"/>
      <c r="WAU1" s="536"/>
      <c r="WAV1" s="536"/>
      <c r="WAW1" s="536"/>
      <c r="WAX1" s="536"/>
      <c r="WAY1" s="536"/>
      <c r="WAZ1" s="536"/>
      <c r="WBA1" s="536"/>
      <c r="WBB1" s="536"/>
      <c r="WBC1" s="536"/>
      <c r="WBD1" s="536"/>
      <c r="WBE1" s="536"/>
      <c r="WBF1" s="536"/>
      <c r="WBG1" s="536"/>
      <c r="WBH1" s="536"/>
      <c r="WBI1" s="536"/>
      <c r="WBJ1" s="536"/>
      <c r="WBK1" s="536"/>
      <c r="WBL1" s="536"/>
      <c r="WBM1" s="536"/>
      <c r="WBN1" s="536"/>
      <c r="WBO1" s="536"/>
      <c r="WBP1" s="536"/>
      <c r="WBQ1" s="536"/>
      <c r="WBR1" s="536"/>
      <c r="WBS1" s="536"/>
      <c r="WBT1" s="536"/>
      <c r="WBU1" s="536"/>
      <c r="WBV1" s="536"/>
      <c r="WBW1" s="536"/>
      <c r="WBX1" s="536"/>
      <c r="WBY1" s="536"/>
      <c r="WBZ1" s="536"/>
      <c r="WCA1" s="536"/>
      <c r="WCB1" s="536"/>
      <c r="WCC1" s="536"/>
      <c r="WCD1" s="536"/>
      <c r="WCE1" s="536"/>
      <c r="WCF1" s="536"/>
      <c r="WCG1" s="536"/>
      <c r="WCH1" s="536"/>
      <c r="WCI1" s="536"/>
      <c r="WCJ1" s="536"/>
      <c r="WCK1" s="536"/>
      <c r="WCL1" s="536"/>
      <c r="WCM1" s="536"/>
      <c r="WCN1" s="536"/>
      <c r="WCO1" s="536"/>
      <c r="WCP1" s="536"/>
      <c r="WCQ1" s="536"/>
      <c r="WCR1" s="536"/>
      <c r="WCS1" s="536"/>
      <c r="WCT1" s="536"/>
      <c r="WCU1" s="536"/>
      <c r="WCV1" s="536"/>
      <c r="WCW1" s="536"/>
      <c r="WCX1" s="536"/>
      <c r="WCY1" s="536"/>
      <c r="WCZ1" s="536"/>
      <c r="WDA1" s="536"/>
      <c r="WDB1" s="536"/>
      <c r="WDC1" s="536"/>
      <c r="WDD1" s="536"/>
      <c r="WDE1" s="536"/>
      <c r="WDF1" s="536"/>
      <c r="WDG1" s="536"/>
      <c r="WDH1" s="536"/>
      <c r="WDI1" s="536"/>
      <c r="WDJ1" s="536"/>
      <c r="WDK1" s="536"/>
      <c r="WDL1" s="536"/>
      <c r="WDM1" s="536"/>
      <c r="WDN1" s="536"/>
      <c r="WDO1" s="536"/>
      <c r="WDP1" s="536"/>
      <c r="WDQ1" s="536"/>
      <c r="WDR1" s="536"/>
      <c r="WDS1" s="536"/>
      <c r="WDT1" s="536"/>
      <c r="WDU1" s="536"/>
      <c r="WDV1" s="536"/>
      <c r="WDW1" s="536"/>
      <c r="WDX1" s="536"/>
      <c r="WDY1" s="536"/>
      <c r="WDZ1" s="536"/>
      <c r="WEA1" s="536"/>
      <c r="WEB1" s="536"/>
      <c r="WEC1" s="536"/>
      <c r="WED1" s="536"/>
      <c r="WEE1" s="536"/>
      <c r="WEF1" s="536"/>
      <c r="WEG1" s="536"/>
      <c r="WEH1" s="536"/>
      <c r="WEI1" s="536"/>
      <c r="WEJ1" s="536"/>
      <c r="WEK1" s="536"/>
      <c r="WEL1" s="536"/>
      <c r="WEM1" s="536"/>
      <c r="WEN1" s="536"/>
      <c r="WEO1" s="536"/>
      <c r="WEP1" s="536"/>
      <c r="WEQ1" s="536"/>
      <c r="WER1" s="536"/>
      <c r="WES1" s="536"/>
      <c r="WET1" s="536"/>
      <c r="WEU1" s="536"/>
      <c r="WEV1" s="536"/>
      <c r="WEW1" s="536"/>
      <c r="WEX1" s="536"/>
      <c r="WEY1" s="536"/>
      <c r="WEZ1" s="536"/>
      <c r="WFA1" s="536"/>
      <c r="WFB1" s="536"/>
      <c r="WFC1" s="536"/>
      <c r="WFD1" s="536"/>
      <c r="WFE1" s="536"/>
      <c r="WFF1" s="536"/>
      <c r="WFG1" s="536"/>
      <c r="WFH1" s="536"/>
      <c r="WFI1" s="536"/>
      <c r="WFJ1" s="536"/>
      <c r="WFK1" s="536"/>
      <c r="WFL1" s="536"/>
      <c r="WFM1" s="536"/>
      <c r="WFN1" s="536"/>
      <c r="WFO1" s="536"/>
      <c r="WFP1" s="536"/>
      <c r="WFQ1" s="536"/>
      <c r="WFR1" s="536"/>
      <c r="WFS1" s="536"/>
      <c r="WFT1" s="536"/>
      <c r="WFU1" s="536"/>
      <c r="WFV1" s="536"/>
      <c r="WFW1" s="536"/>
      <c r="WFX1" s="536"/>
      <c r="WFY1" s="536"/>
      <c r="WFZ1" s="536"/>
      <c r="WGA1" s="536"/>
      <c r="WGB1" s="536"/>
      <c r="WGC1" s="536"/>
      <c r="WGD1" s="536"/>
      <c r="WGE1" s="536"/>
      <c r="WGF1" s="536"/>
      <c r="WGG1" s="536"/>
      <c r="WGH1" s="536"/>
      <c r="WGI1" s="536"/>
      <c r="WGJ1" s="536"/>
      <c r="WGK1" s="536"/>
      <c r="WGL1" s="536"/>
      <c r="WGM1" s="536"/>
      <c r="WGN1" s="536"/>
      <c r="WGO1" s="536"/>
      <c r="WGP1" s="536"/>
      <c r="WGQ1" s="536"/>
      <c r="WGR1" s="536"/>
      <c r="WGS1" s="536"/>
      <c r="WGT1" s="536"/>
      <c r="WGU1" s="536"/>
      <c r="WGV1" s="536"/>
      <c r="WGW1" s="536"/>
      <c r="WGX1" s="536"/>
      <c r="WGY1" s="536"/>
      <c r="WGZ1" s="536"/>
      <c r="WHA1" s="536"/>
      <c r="WHB1" s="536"/>
      <c r="WHC1" s="536"/>
      <c r="WHD1" s="536"/>
      <c r="WHE1" s="536"/>
      <c r="WHF1" s="536"/>
      <c r="WHG1" s="536"/>
      <c r="WHH1" s="536"/>
      <c r="WHI1" s="536"/>
      <c r="WHJ1" s="536"/>
      <c r="WHK1" s="536"/>
      <c r="WHL1" s="536"/>
      <c r="WHM1" s="536"/>
      <c r="WHN1" s="536"/>
      <c r="WHO1" s="536"/>
      <c r="WHP1" s="536"/>
      <c r="WHQ1" s="536"/>
      <c r="WHR1" s="536"/>
      <c r="WHS1" s="536"/>
      <c r="WHT1" s="536"/>
      <c r="WHU1" s="536"/>
      <c r="WHV1" s="536"/>
      <c r="WHW1" s="536"/>
      <c r="WHX1" s="536"/>
      <c r="WHY1" s="536"/>
      <c r="WHZ1" s="536"/>
      <c r="WIA1" s="536"/>
      <c r="WIB1" s="536"/>
      <c r="WIC1" s="536"/>
      <c r="WID1" s="536"/>
      <c r="WIE1" s="536"/>
      <c r="WIF1" s="536"/>
      <c r="WIG1" s="536"/>
      <c r="WIH1" s="536"/>
      <c r="WII1" s="536"/>
      <c r="WIJ1" s="536"/>
      <c r="WIK1" s="536"/>
      <c r="WIL1" s="536"/>
      <c r="WIM1" s="536"/>
      <c r="WIN1" s="536"/>
      <c r="WIO1" s="536"/>
      <c r="WIP1" s="536"/>
      <c r="WIQ1" s="536"/>
      <c r="WIR1" s="536"/>
      <c r="WIS1" s="536"/>
      <c r="WIT1" s="536"/>
      <c r="WIU1" s="536"/>
      <c r="WIV1" s="536"/>
      <c r="WIW1" s="536"/>
      <c r="WIX1" s="536"/>
      <c r="WIY1" s="536"/>
      <c r="WIZ1" s="536"/>
      <c r="WJA1" s="536"/>
      <c r="WJB1" s="536"/>
      <c r="WJC1" s="536"/>
      <c r="WJD1" s="536"/>
      <c r="WJE1" s="536"/>
      <c r="WJF1" s="536"/>
      <c r="WJG1" s="536"/>
      <c r="WJH1" s="536"/>
      <c r="WJI1" s="536"/>
      <c r="WJJ1" s="536"/>
      <c r="WJK1" s="536"/>
      <c r="WJL1" s="536"/>
      <c r="WJM1" s="536"/>
      <c r="WJN1" s="536"/>
      <c r="WJO1" s="536"/>
      <c r="WJP1" s="536"/>
      <c r="WJQ1" s="536"/>
      <c r="WJR1" s="536"/>
      <c r="WJS1" s="536"/>
      <c r="WJT1" s="536"/>
      <c r="WJU1" s="536"/>
      <c r="WJV1" s="536"/>
      <c r="WJW1" s="536"/>
      <c r="WJX1" s="536"/>
      <c r="WJY1" s="536"/>
      <c r="WJZ1" s="536"/>
      <c r="WKA1" s="536"/>
      <c r="WKB1" s="536"/>
      <c r="WKC1" s="536"/>
      <c r="WKD1" s="536"/>
      <c r="WKE1" s="536"/>
      <c r="WKF1" s="536"/>
      <c r="WKG1" s="536"/>
      <c r="WKH1" s="536"/>
      <c r="WKI1" s="536"/>
      <c r="WKJ1" s="536"/>
      <c r="WKK1" s="536"/>
      <c r="WKL1" s="536"/>
      <c r="WKM1" s="536"/>
      <c r="WKN1" s="536"/>
      <c r="WKO1" s="536"/>
      <c r="WKP1" s="536"/>
      <c r="WKQ1" s="536"/>
      <c r="WKR1" s="536"/>
      <c r="WKS1" s="536"/>
      <c r="WKT1" s="536"/>
      <c r="WKU1" s="536"/>
      <c r="WKV1" s="536"/>
      <c r="WKW1" s="536"/>
      <c r="WKX1" s="536"/>
      <c r="WKY1" s="536"/>
      <c r="WKZ1" s="536"/>
      <c r="WLA1" s="536"/>
      <c r="WLB1" s="536"/>
      <c r="WLC1" s="536"/>
      <c r="WLD1" s="536"/>
      <c r="WLE1" s="536"/>
      <c r="WLF1" s="536"/>
      <c r="WLG1" s="536"/>
      <c r="WLH1" s="536"/>
      <c r="WLI1" s="536"/>
      <c r="WLJ1" s="536"/>
      <c r="WLK1" s="536"/>
      <c r="WLL1" s="536"/>
      <c r="WLM1" s="536"/>
      <c r="WLN1" s="536"/>
      <c r="WLO1" s="536"/>
      <c r="WLP1" s="536"/>
      <c r="WLQ1" s="536"/>
      <c r="WLR1" s="536"/>
      <c r="WLS1" s="536"/>
      <c r="WLT1" s="536"/>
      <c r="WLU1" s="536"/>
      <c r="WLV1" s="536"/>
      <c r="WLW1" s="536"/>
      <c r="WLX1" s="536"/>
      <c r="WLY1" s="536"/>
      <c r="WLZ1" s="536"/>
      <c r="WMA1" s="536"/>
      <c r="WMB1" s="536"/>
      <c r="WMC1" s="536"/>
      <c r="WMD1" s="536"/>
      <c r="WME1" s="536"/>
      <c r="WMF1" s="536"/>
      <c r="WMG1" s="536"/>
      <c r="WMH1" s="536"/>
      <c r="WMI1" s="536"/>
      <c r="WMJ1" s="536"/>
      <c r="WMK1" s="536"/>
      <c r="WML1" s="536"/>
      <c r="WMM1" s="536"/>
      <c r="WMN1" s="536"/>
      <c r="WMO1" s="536"/>
      <c r="WMP1" s="536"/>
      <c r="WMQ1" s="536"/>
      <c r="WMR1" s="536"/>
      <c r="WMS1" s="536"/>
      <c r="WMT1" s="536"/>
      <c r="WMU1" s="536"/>
      <c r="WMV1" s="536"/>
      <c r="WMW1" s="536"/>
      <c r="WMX1" s="536"/>
      <c r="WMY1" s="536"/>
      <c r="WMZ1" s="536"/>
      <c r="WNA1" s="536"/>
      <c r="WNB1" s="536"/>
      <c r="WNC1" s="536"/>
      <c r="WND1" s="536"/>
      <c r="WNE1" s="536"/>
      <c r="WNF1" s="536"/>
      <c r="WNG1" s="536"/>
      <c r="WNH1" s="536"/>
      <c r="WNI1" s="536"/>
      <c r="WNJ1" s="536"/>
      <c r="WNK1" s="536"/>
      <c r="WNL1" s="536"/>
      <c r="WNM1" s="536"/>
      <c r="WNN1" s="536"/>
      <c r="WNO1" s="536"/>
      <c r="WNP1" s="536"/>
      <c r="WNQ1" s="536"/>
      <c r="WNR1" s="536"/>
      <c r="WNS1" s="536"/>
      <c r="WNT1" s="536"/>
      <c r="WNU1" s="536"/>
      <c r="WNV1" s="536"/>
      <c r="WNW1" s="536"/>
      <c r="WNX1" s="536"/>
      <c r="WNY1" s="536"/>
      <c r="WNZ1" s="536"/>
      <c r="WOA1" s="536"/>
      <c r="WOB1" s="536"/>
      <c r="WOC1" s="536"/>
      <c r="WOD1" s="536"/>
      <c r="WOE1" s="536"/>
      <c r="WOF1" s="536"/>
      <c r="WOG1" s="536"/>
      <c r="WOH1" s="536"/>
      <c r="WOI1" s="536"/>
      <c r="WOJ1" s="536"/>
      <c r="WOK1" s="536"/>
      <c r="WOL1" s="536"/>
      <c r="WOM1" s="536"/>
      <c r="WON1" s="536"/>
      <c r="WOO1" s="536"/>
      <c r="WOP1" s="536"/>
      <c r="WOQ1" s="536"/>
      <c r="WOR1" s="536"/>
      <c r="WOS1" s="536"/>
      <c r="WOT1" s="536"/>
      <c r="WOU1" s="536"/>
      <c r="WOV1" s="536"/>
      <c r="WOW1" s="536"/>
      <c r="WOX1" s="536"/>
      <c r="WOY1" s="536"/>
      <c r="WOZ1" s="536"/>
      <c r="WPA1" s="536"/>
      <c r="WPB1" s="536"/>
      <c r="WPC1" s="536"/>
      <c r="WPD1" s="536"/>
      <c r="WPE1" s="536"/>
      <c r="WPF1" s="536"/>
      <c r="WPG1" s="536"/>
      <c r="WPH1" s="536"/>
      <c r="WPI1" s="536"/>
      <c r="WPJ1" s="536"/>
      <c r="WPK1" s="536"/>
      <c r="WPL1" s="536"/>
      <c r="WPM1" s="536"/>
      <c r="WPN1" s="536"/>
      <c r="WPO1" s="536"/>
      <c r="WPP1" s="536"/>
      <c r="WPQ1" s="536"/>
      <c r="WPR1" s="536"/>
      <c r="WPS1" s="536"/>
      <c r="WPT1" s="536"/>
      <c r="WPU1" s="536"/>
      <c r="WPV1" s="536"/>
      <c r="WPW1" s="536"/>
      <c r="WPX1" s="536"/>
      <c r="WPY1" s="536"/>
      <c r="WPZ1" s="536"/>
      <c r="WQA1" s="536"/>
      <c r="WQB1" s="536"/>
      <c r="WQC1" s="536"/>
      <c r="WQD1" s="536"/>
      <c r="WQE1" s="536"/>
      <c r="WQF1" s="536"/>
      <c r="WQG1" s="536"/>
      <c r="WQH1" s="536"/>
      <c r="WQI1" s="536"/>
      <c r="WQJ1" s="536"/>
      <c r="WQK1" s="536"/>
      <c r="WQL1" s="536"/>
      <c r="WQM1" s="536"/>
      <c r="WQN1" s="536"/>
      <c r="WQO1" s="536"/>
      <c r="WQP1" s="536"/>
      <c r="WQQ1" s="536"/>
      <c r="WQR1" s="536"/>
      <c r="WQS1" s="536"/>
      <c r="WQT1" s="536"/>
      <c r="WQU1" s="536"/>
      <c r="WQV1" s="536"/>
      <c r="WQW1" s="536"/>
      <c r="WQX1" s="536"/>
      <c r="WQY1" s="536"/>
      <c r="WQZ1" s="536"/>
      <c r="WRA1" s="536"/>
      <c r="WRB1" s="536"/>
      <c r="WRC1" s="536"/>
      <c r="WRD1" s="536"/>
      <c r="WRE1" s="536"/>
      <c r="WRF1" s="536"/>
      <c r="WRG1" s="536"/>
      <c r="WRH1" s="536"/>
      <c r="WRI1" s="536"/>
      <c r="WRJ1" s="536"/>
      <c r="WRK1" s="536"/>
      <c r="WRL1" s="536"/>
      <c r="WRM1" s="536"/>
      <c r="WRN1" s="536"/>
      <c r="WRO1" s="536"/>
      <c r="WRP1" s="536"/>
      <c r="WRQ1" s="536"/>
      <c r="WRR1" s="536"/>
      <c r="WRS1" s="536"/>
      <c r="WRT1" s="536"/>
      <c r="WRU1" s="536"/>
      <c r="WRV1" s="536"/>
      <c r="WRW1" s="536"/>
      <c r="WRX1" s="536"/>
      <c r="WRY1" s="536"/>
      <c r="WRZ1" s="536"/>
      <c r="WSA1" s="536"/>
      <c r="WSB1" s="536"/>
      <c r="WSC1" s="536"/>
      <c r="WSD1" s="536"/>
      <c r="WSE1" s="536"/>
      <c r="WSF1" s="536"/>
      <c r="WSG1" s="536"/>
      <c r="WSH1" s="536"/>
      <c r="WSI1" s="536"/>
      <c r="WSJ1" s="536"/>
      <c r="WSK1" s="536"/>
      <c r="WSL1" s="536"/>
      <c r="WSM1" s="536"/>
      <c r="WSN1" s="536"/>
      <c r="WSO1" s="536"/>
      <c r="WSP1" s="536"/>
      <c r="WSQ1" s="536"/>
      <c r="WSR1" s="536"/>
      <c r="WSS1" s="536"/>
      <c r="WST1" s="536"/>
      <c r="WSU1" s="536"/>
      <c r="WSV1" s="536"/>
      <c r="WSW1" s="536"/>
      <c r="WSX1" s="536"/>
      <c r="WSY1" s="536"/>
      <c r="WSZ1" s="536"/>
      <c r="WTA1" s="536"/>
      <c r="WTB1" s="536"/>
      <c r="WTC1" s="536"/>
      <c r="WTD1" s="536"/>
      <c r="WTE1" s="536"/>
      <c r="WTF1" s="536"/>
      <c r="WTG1" s="536"/>
      <c r="WTH1" s="536"/>
      <c r="WTI1" s="536"/>
      <c r="WTJ1" s="536"/>
      <c r="WTK1" s="536"/>
      <c r="WTL1" s="536"/>
      <c r="WTM1" s="536"/>
      <c r="WTN1" s="536"/>
      <c r="WTO1" s="536"/>
      <c r="WTP1" s="536"/>
      <c r="WTQ1" s="536"/>
      <c r="WTR1" s="536"/>
      <c r="WTS1" s="536"/>
      <c r="WTT1" s="536"/>
      <c r="WTU1" s="536"/>
      <c r="WTV1" s="536"/>
      <c r="WTW1" s="536"/>
      <c r="WTX1" s="536"/>
      <c r="WTY1" s="536"/>
      <c r="WTZ1" s="536"/>
      <c r="WUA1" s="536"/>
      <c r="WUB1" s="536"/>
      <c r="WUC1" s="536"/>
      <c r="WUD1" s="536"/>
      <c r="WUE1" s="536"/>
      <c r="WUF1" s="536"/>
      <c r="WUG1" s="536"/>
      <c r="WUH1" s="536"/>
      <c r="WUI1" s="536"/>
      <c r="WUJ1" s="536"/>
      <c r="WUK1" s="536"/>
      <c r="WUL1" s="536"/>
      <c r="WUM1" s="536"/>
      <c r="WUN1" s="536"/>
      <c r="WUO1" s="536"/>
      <c r="WUP1" s="536"/>
      <c r="WUQ1" s="536"/>
      <c r="WUR1" s="536"/>
      <c r="WUS1" s="536"/>
      <c r="WUT1" s="536"/>
      <c r="WUU1" s="536"/>
      <c r="WUV1" s="536"/>
      <c r="WUW1" s="536"/>
      <c r="WUX1" s="536"/>
      <c r="WUY1" s="536"/>
      <c r="WUZ1" s="536"/>
      <c r="WVA1" s="536"/>
      <c r="WVB1" s="536"/>
      <c r="WVC1" s="536"/>
      <c r="WVD1" s="536"/>
      <c r="WVE1" s="536"/>
      <c r="WVF1" s="536"/>
      <c r="WVG1" s="536"/>
      <c r="WVH1" s="536"/>
      <c r="WVI1" s="536"/>
      <c r="WVJ1" s="536"/>
      <c r="WVK1" s="536"/>
      <c r="WVL1" s="536"/>
      <c r="WVM1" s="536"/>
      <c r="WVN1" s="536"/>
      <c r="WVO1" s="536"/>
      <c r="WVP1" s="536"/>
      <c r="WVQ1" s="536"/>
      <c r="WVR1" s="536"/>
      <c r="WVS1" s="536"/>
      <c r="WVT1" s="536"/>
      <c r="WVU1" s="536"/>
      <c r="WVV1" s="536"/>
      <c r="WVW1" s="536"/>
      <c r="WVX1" s="536"/>
      <c r="WVY1" s="536"/>
      <c r="WVZ1" s="536"/>
      <c r="WWA1" s="536"/>
      <c r="WWB1" s="536"/>
      <c r="WWC1" s="536"/>
      <c r="WWD1" s="536"/>
      <c r="WWE1" s="536"/>
      <c r="WWF1" s="536"/>
      <c r="WWG1" s="536"/>
      <c r="WWH1" s="536"/>
      <c r="WWI1" s="536"/>
      <c r="WWJ1" s="536"/>
      <c r="WWK1" s="536"/>
      <c r="WWL1" s="536"/>
      <c r="WWM1" s="536"/>
      <c r="WWN1" s="536"/>
      <c r="WWO1" s="536"/>
      <c r="WWP1" s="536"/>
      <c r="WWQ1" s="536"/>
      <c r="WWR1" s="536"/>
      <c r="WWS1" s="536"/>
      <c r="WWT1" s="536"/>
      <c r="WWU1" s="536"/>
      <c r="WWV1" s="536"/>
      <c r="WWW1" s="536"/>
      <c r="WWX1" s="536"/>
      <c r="WWY1" s="536"/>
      <c r="WWZ1" s="536"/>
      <c r="WXA1" s="536"/>
      <c r="WXB1" s="536"/>
      <c r="WXC1" s="536"/>
      <c r="WXD1" s="536"/>
      <c r="WXE1" s="536"/>
      <c r="WXF1" s="536"/>
      <c r="WXG1" s="536"/>
      <c r="WXH1" s="536"/>
      <c r="WXI1" s="536"/>
      <c r="WXJ1" s="536"/>
      <c r="WXK1" s="536"/>
      <c r="WXL1" s="536"/>
      <c r="WXM1" s="536"/>
      <c r="WXN1" s="536"/>
      <c r="WXO1" s="536"/>
      <c r="WXP1" s="536"/>
      <c r="WXQ1" s="536"/>
      <c r="WXR1" s="536"/>
      <c r="WXS1" s="536"/>
      <c r="WXT1" s="536"/>
      <c r="WXU1" s="536"/>
      <c r="WXV1" s="536"/>
      <c r="WXW1" s="536"/>
      <c r="WXX1" s="536"/>
      <c r="WXY1" s="536"/>
      <c r="WXZ1" s="536"/>
      <c r="WYA1" s="536"/>
      <c r="WYB1" s="536"/>
      <c r="WYC1" s="536"/>
      <c r="WYD1" s="536"/>
      <c r="WYE1" s="536"/>
      <c r="WYF1" s="536"/>
      <c r="WYG1" s="536"/>
      <c r="WYH1" s="536"/>
      <c r="WYI1" s="536"/>
      <c r="WYJ1" s="536"/>
      <c r="WYK1" s="536"/>
      <c r="WYL1" s="536"/>
      <c r="WYM1" s="536"/>
      <c r="WYN1" s="536"/>
      <c r="WYO1" s="536"/>
      <c r="WYP1" s="536"/>
      <c r="WYQ1" s="536"/>
      <c r="WYR1" s="536"/>
      <c r="WYS1" s="536"/>
      <c r="WYT1" s="536"/>
      <c r="WYU1" s="536"/>
      <c r="WYV1" s="536"/>
      <c r="WYW1" s="536"/>
      <c r="WYX1" s="536"/>
      <c r="WYY1" s="536"/>
      <c r="WYZ1" s="536"/>
      <c r="WZA1" s="536"/>
      <c r="WZB1" s="536"/>
      <c r="WZC1" s="536"/>
      <c r="WZD1" s="536"/>
      <c r="WZE1" s="536"/>
      <c r="WZF1" s="536"/>
      <c r="WZG1" s="536"/>
      <c r="WZH1" s="536"/>
      <c r="WZI1" s="536"/>
      <c r="WZJ1" s="536"/>
      <c r="WZK1" s="536"/>
      <c r="WZL1" s="536"/>
      <c r="WZM1" s="536"/>
      <c r="WZN1" s="536"/>
      <c r="WZO1" s="536"/>
      <c r="WZP1" s="536"/>
      <c r="WZQ1" s="536"/>
      <c r="WZR1" s="536"/>
      <c r="WZS1" s="536"/>
      <c r="WZT1" s="536"/>
      <c r="WZU1" s="536"/>
      <c r="WZV1" s="536"/>
      <c r="WZW1" s="536"/>
      <c r="WZX1" s="536"/>
      <c r="WZY1" s="536"/>
      <c r="WZZ1" s="536"/>
      <c r="XAA1" s="536"/>
      <c r="XAB1" s="536"/>
      <c r="XAC1" s="536"/>
      <c r="XAD1" s="536"/>
      <c r="XAE1" s="536"/>
      <c r="XAF1" s="536"/>
      <c r="XAG1" s="536"/>
      <c r="XAH1" s="536"/>
      <c r="XAI1" s="536"/>
      <c r="XAJ1" s="536"/>
      <c r="XAK1" s="536"/>
      <c r="XAL1" s="536"/>
      <c r="XAM1" s="536"/>
      <c r="XAN1" s="536"/>
      <c r="XAO1" s="536"/>
      <c r="XAP1" s="536"/>
      <c r="XAQ1" s="536"/>
      <c r="XAR1" s="536"/>
      <c r="XAS1" s="536"/>
      <c r="XAT1" s="536"/>
      <c r="XAU1" s="536"/>
      <c r="XAV1" s="536"/>
      <c r="XAW1" s="536"/>
      <c r="XAX1" s="536"/>
      <c r="XAY1" s="536"/>
      <c r="XAZ1" s="536"/>
      <c r="XBA1" s="536"/>
      <c r="XBB1" s="536"/>
      <c r="XBC1" s="536"/>
      <c r="XBD1" s="536"/>
      <c r="XBE1" s="536"/>
      <c r="XBF1" s="536"/>
      <c r="XBG1" s="536"/>
      <c r="XBH1" s="536"/>
      <c r="XBI1" s="536"/>
      <c r="XBJ1" s="536"/>
      <c r="XBK1" s="536"/>
      <c r="XBL1" s="536"/>
      <c r="XBM1" s="536"/>
      <c r="XBN1" s="536"/>
      <c r="XBO1" s="536"/>
      <c r="XBP1" s="536"/>
      <c r="XBQ1" s="536"/>
      <c r="XBR1" s="536"/>
      <c r="XBS1" s="536"/>
      <c r="XBT1" s="536"/>
      <c r="XBU1" s="536"/>
      <c r="XBV1" s="536"/>
      <c r="XBW1" s="536"/>
      <c r="XBX1" s="536"/>
      <c r="XBY1" s="536"/>
      <c r="XBZ1" s="536"/>
      <c r="XCA1" s="536"/>
      <c r="XCB1" s="536"/>
      <c r="XCC1" s="536"/>
      <c r="XCD1" s="536"/>
      <c r="XCE1" s="536"/>
      <c r="XCF1" s="536"/>
      <c r="XCG1" s="536"/>
      <c r="XCH1" s="536"/>
      <c r="XCI1" s="536"/>
      <c r="XCJ1" s="536"/>
      <c r="XCK1" s="536"/>
      <c r="XCL1" s="536"/>
      <c r="XCM1" s="536"/>
      <c r="XCN1" s="536"/>
      <c r="XCO1" s="536"/>
      <c r="XCP1" s="536"/>
      <c r="XCQ1" s="536"/>
      <c r="XCR1" s="536"/>
      <c r="XCS1" s="536"/>
      <c r="XCT1" s="536"/>
      <c r="XCU1" s="536"/>
      <c r="XCV1" s="536"/>
      <c r="XCW1" s="536"/>
      <c r="XCX1" s="536"/>
      <c r="XCY1" s="536"/>
      <c r="XCZ1" s="536"/>
      <c r="XDA1" s="536"/>
      <c r="XDB1" s="536"/>
      <c r="XDC1" s="536"/>
      <c r="XDD1" s="536"/>
      <c r="XDE1" s="536"/>
      <c r="XDF1" s="536"/>
      <c r="XDG1" s="536"/>
      <c r="XDH1" s="536"/>
      <c r="XDI1" s="536"/>
      <c r="XDJ1" s="536"/>
      <c r="XDK1" s="536"/>
      <c r="XDL1" s="536"/>
      <c r="XDM1" s="536"/>
      <c r="XDN1" s="536"/>
      <c r="XDO1" s="536"/>
      <c r="XDP1" s="536"/>
      <c r="XDQ1" s="536"/>
      <c r="XDR1" s="536"/>
      <c r="XDS1" s="536"/>
      <c r="XDT1" s="536"/>
      <c r="XDU1" s="536"/>
      <c r="XDV1" s="536"/>
      <c r="XDW1" s="536"/>
      <c r="XDX1" s="536"/>
      <c r="XDY1" s="536"/>
      <c r="XDZ1" s="536"/>
      <c r="XEA1" s="536"/>
      <c r="XEB1" s="536"/>
      <c r="XEC1" s="536"/>
      <c r="XED1" s="536"/>
      <c r="XEE1" s="536"/>
      <c r="XEF1" s="536"/>
      <c r="XEG1" s="536"/>
      <c r="XEH1" s="536"/>
      <c r="XEI1" s="536"/>
      <c r="XEJ1" s="536"/>
      <c r="XEK1" s="536"/>
      <c r="XEL1" s="536"/>
      <c r="XEM1" s="536"/>
      <c r="XEN1" s="536"/>
      <c r="XEO1" s="536"/>
      <c r="XEP1" s="536"/>
      <c r="XEQ1" s="536"/>
      <c r="XER1" s="536"/>
      <c r="XES1" s="536"/>
      <c r="XET1" s="536"/>
      <c r="XEU1" s="536"/>
      <c r="XEV1" s="536"/>
    </row>
    <row r="2" spans="1:16376" s="149" customFormat="1" ht="20.100000000000001" customHeight="1" x14ac:dyDescent="0.25">
      <c r="A2" s="225" t="s">
        <v>84</v>
      </c>
      <c r="B2" s="225" t="s">
        <v>352</v>
      </c>
      <c r="C2" s="225" t="s">
        <v>353</v>
      </c>
    </row>
    <row r="3" spans="1:16376" s="149" customFormat="1" ht="20.100000000000001" customHeight="1" x14ac:dyDescent="0.25">
      <c r="A3" s="216"/>
      <c r="B3" s="168" t="s">
        <v>214</v>
      </c>
      <c r="C3" s="169"/>
    </row>
    <row r="4" spans="1:16376" ht="20.100000000000001" customHeight="1" x14ac:dyDescent="0.25">
      <c r="A4" s="144" t="s">
        <v>163</v>
      </c>
      <c r="B4" s="149"/>
      <c r="C4" s="149"/>
    </row>
    <row r="5" spans="1:16376" ht="19.5" customHeight="1" x14ac:dyDescent="0.25">
      <c r="A5" s="211" t="s">
        <v>778</v>
      </c>
      <c r="B5" s="119"/>
      <c r="C5" s="152" t="s">
        <v>215</v>
      </c>
    </row>
    <row r="6" spans="1:16376" s="149" customFormat="1" ht="20.100000000000001" customHeight="1" x14ac:dyDescent="0.25">
      <c r="A6" s="178" t="s">
        <v>1811</v>
      </c>
      <c r="B6" s="167" t="s">
        <v>168</v>
      </c>
      <c r="C6" s="167">
        <v>1</v>
      </c>
    </row>
    <row r="7" spans="1:16376" s="149" customFormat="1" ht="20.100000000000001" customHeight="1" x14ac:dyDescent="0.25">
      <c r="A7" s="178" t="s">
        <v>1812</v>
      </c>
      <c r="B7" s="167" t="s">
        <v>168</v>
      </c>
      <c r="C7" s="167">
        <v>1</v>
      </c>
    </row>
    <row r="8" spans="1:16376" s="149" customFormat="1" ht="20.100000000000001" customHeight="1" x14ac:dyDescent="0.25">
      <c r="A8" s="178" t="s">
        <v>779</v>
      </c>
      <c r="B8" s="167" t="s">
        <v>168</v>
      </c>
      <c r="C8" s="167">
        <v>21</v>
      </c>
    </row>
    <row r="9" spans="1:16376" s="149" customFormat="1" ht="20.100000000000001" customHeight="1" x14ac:dyDescent="0.25">
      <c r="A9" s="178" t="s">
        <v>1813</v>
      </c>
      <c r="B9" s="167" t="s">
        <v>168</v>
      </c>
      <c r="C9" s="167">
        <v>1</v>
      </c>
    </row>
    <row r="10" spans="1:16376" ht="20.100000000000001" customHeight="1" x14ac:dyDescent="0.25">
      <c r="A10" s="144" t="s">
        <v>163</v>
      </c>
      <c r="B10" s="167"/>
      <c r="C10" s="167"/>
    </row>
    <row r="11" spans="1:16376" ht="20.100000000000001" customHeight="1" x14ac:dyDescent="0.25">
      <c r="A11" s="211" t="s">
        <v>780</v>
      </c>
      <c r="B11" s="119"/>
      <c r="C11" s="152" t="s">
        <v>215</v>
      </c>
    </row>
    <row r="12" spans="1:16376" s="149" customFormat="1" ht="32.25" customHeight="1" x14ac:dyDescent="0.25">
      <c r="A12" s="180" t="s">
        <v>308</v>
      </c>
      <c r="B12" s="167" t="s">
        <v>168</v>
      </c>
      <c r="C12" s="167">
        <v>42</v>
      </c>
    </row>
    <row r="13" spans="1:16376" s="149" customFormat="1" ht="16.5" customHeight="1" x14ac:dyDescent="0.25">
      <c r="A13" s="180" t="s">
        <v>1814</v>
      </c>
      <c r="B13" s="167" t="s">
        <v>168</v>
      </c>
      <c r="C13" s="167">
        <v>2</v>
      </c>
    </row>
    <row r="14" spans="1:16376" s="149" customFormat="1" ht="20.100000000000001" customHeight="1" x14ac:dyDescent="0.25">
      <c r="A14" s="178" t="s">
        <v>1815</v>
      </c>
      <c r="B14" s="167" t="s">
        <v>168</v>
      </c>
      <c r="C14" s="167">
        <v>4</v>
      </c>
    </row>
    <row r="15" spans="1:16376" s="149" customFormat="1" ht="20.100000000000001" customHeight="1" x14ac:dyDescent="0.25">
      <c r="A15" s="178" t="s">
        <v>1816</v>
      </c>
      <c r="B15" s="167" t="s">
        <v>168</v>
      </c>
      <c r="C15" s="167">
        <v>5</v>
      </c>
    </row>
    <row r="16" spans="1:16376" s="149" customFormat="1" ht="20.100000000000001" customHeight="1" x14ac:dyDescent="0.25">
      <c r="A16" s="340" t="s">
        <v>1817</v>
      </c>
      <c r="B16" s="167" t="s">
        <v>168</v>
      </c>
      <c r="C16" s="167">
        <v>1</v>
      </c>
    </row>
    <row r="17" spans="1:3" s="149" customFormat="1" ht="20.100000000000001" customHeight="1" x14ac:dyDescent="0.25">
      <c r="A17" s="178" t="s">
        <v>782</v>
      </c>
      <c r="B17" s="167" t="s">
        <v>168</v>
      </c>
      <c r="C17" s="167">
        <v>2</v>
      </c>
    </row>
    <row r="18" spans="1:3" s="149" customFormat="1" ht="20.100000000000001" customHeight="1" x14ac:dyDescent="0.25">
      <c r="A18" s="178" t="s">
        <v>1818</v>
      </c>
      <c r="B18" s="167" t="s">
        <v>168</v>
      </c>
      <c r="C18" s="167">
        <v>1</v>
      </c>
    </row>
    <row r="19" spans="1:3" s="149" customFormat="1" ht="20.100000000000001" customHeight="1" x14ac:dyDescent="0.25">
      <c r="A19" s="178" t="s">
        <v>781</v>
      </c>
      <c r="B19" s="167" t="s">
        <v>168</v>
      </c>
      <c r="C19" s="167">
        <v>2</v>
      </c>
    </row>
    <row r="20" spans="1:3" s="149" customFormat="1" ht="20.25" customHeight="1" x14ac:dyDescent="0.25">
      <c r="A20" s="178" t="s">
        <v>814</v>
      </c>
      <c r="B20" s="212" t="s">
        <v>168</v>
      </c>
      <c r="C20" s="167">
        <v>8</v>
      </c>
    </row>
    <row r="21" spans="1:3" s="149" customFormat="1" ht="20.100000000000001" customHeight="1" x14ac:dyDescent="0.25">
      <c r="A21" s="178" t="s">
        <v>474</v>
      </c>
      <c r="B21" s="212" t="s">
        <v>168</v>
      </c>
      <c r="C21" s="167">
        <v>1</v>
      </c>
    </row>
    <row r="22" spans="1:3" s="149" customFormat="1" ht="20.100000000000001" customHeight="1" x14ac:dyDescent="0.25">
      <c r="A22" s="178" t="s">
        <v>464</v>
      </c>
      <c r="B22" s="167" t="s">
        <v>168</v>
      </c>
      <c r="C22" s="167">
        <v>13</v>
      </c>
    </row>
    <row r="23" spans="1:3" s="149" customFormat="1" ht="18" customHeight="1" x14ac:dyDescent="0.25">
      <c r="A23" s="180" t="s">
        <v>783</v>
      </c>
      <c r="B23" s="167" t="s">
        <v>168</v>
      </c>
      <c r="C23" s="167">
        <v>2</v>
      </c>
    </row>
    <row r="24" spans="1:3" s="149" customFormat="1" ht="21.75" customHeight="1" x14ac:dyDescent="0.25">
      <c r="A24" s="180" t="s">
        <v>1819</v>
      </c>
      <c r="B24" s="167" t="s">
        <v>168</v>
      </c>
      <c r="C24" s="167">
        <v>7</v>
      </c>
    </row>
    <row r="25" spans="1:3" s="149" customFormat="1" ht="20.100000000000001" customHeight="1" x14ac:dyDescent="0.25">
      <c r="A25" s="178" t="s">
        <v>784</v>
      </c>
      <c r="B25" s="167" t="s">
        <v>168</v>
      </c>
      <c r="C25" s="167">
        <v>1</v>
      </c>
    </row>
    <row r="26" spans="1:3" s="149" customFormat="1" ht="20.100000000000001" customHeight="1" x14ac:dyDescent="0.25">
      <c r="A26" s="178" t="s">
        <v>785</v>
      </c>
      <c r="B26" s="167" t="s">
        <v>168</v>
      </c>
      <c r="C26" s="167">
        <v>103</v>
      </c>
    </row>
    <row r="27" spans="1:3" s="149" customFormat="1" ht="20.100000000000001" customHeight="1" x14ac:dyDescent="0.25">
      <c r="A27" s="178" t="s">
        <v>958</v>
      </c>
      <c r="B27" s="167" t="s">
        <v>168</v>
      </c>
      <c r="C27" s="167">
        <v>4</v>
      </c>
    </row>
    <row r="28" spans="1:3" s="149" customFormat="1" ht="19.5" customHeight="1" x14ac:dyDescent="0.25">
      <c r="A28" s="341" t="s">
        <v>1820</v>
      </c>
      <c r="B28" s="342" t="s">
        <v>168</v>
      </c>
      <c r="C28" s="342">
        <v>2</v>
      </c>
    </row>
    <row r="29" spans="1:3" s="149" customFormat="1" ht="20.100000000000001" customHeight="1" x14ac:dyDescent="0.25">
      <c r="A29" s="178" t="s">
        <v>786</v>
      </c>
      <c r="B29" s="167" t="s">
        <v>12</v>
      </c>
      <c r="C29" s="167">
        <v>200</v>
      </c>
    </row>
    <row r="30" spans="1:3" s="149" customFormat="1" ht="20.100000000000001" customHeight="1" x14ac:dyDescent="0.25">
      <c r="A30" s="178" t="s">
        <v>483</v>
      </c>
      <c r="B30" s="167" t="s">
        <v>12</v>
      </c>
      <c r="C30" s="167">
        <v>15</v>
      </c>
    </row>
    <row r="31" spans="1:3" s="149" customFormat="1" ht="20.100000000000001" customHeight="1" x14ac:dyDescent="0.25">
      <c r="A31" s="178" t="s">
        <v>1821</v>
      </c>
      <c r="B31" s="167" t="s">
        <v>12</v>
      </c>
      <c r="C31" s="167">
        <v>105</v>
      </c>
    </row>
    <row r="32" spans="1:3" s="149" customFormat="1" ht="20.100000000000001" customHeight="1" x14ac:dyDescent="0.25">
      <c r="A32" s="178" t="s">
        <v>787</v>
      </c>
      <c r="B32" s="167" t="s">
        <v>12</v>
      </c>
      <c r="C32" s="167">
        <v>48</v>
      </c>
    </row>
    <row r="33" spans="1:3" s="149" customFormat="1" ht="20.100000000000001" customHeight="1" x14ac:dyDescent="0.25">
      <c r="A33" s="178" t="s">
        <v>1822</v>
      </c>
      <c r="B33" s="167" t="s">
        <v>12</v>
      </c>
      <c r="C33" s="167">
        <v>13</v>
      </c>
    </row>
    <row r="34" spans="1:3" s="149" customFormat="1" ht="17.25" customHeight="1" x14ac:dyDescent="0.25">
      <c r="A34" s="180" t="s">
        <v>788</v>
      </c>
      <c r="B34" s="182" t="s">
        <v>168</v>
      </c>
      <c r="C34" s="182">
        <v>3</v>
      </c>
    </row>
    <row r="35" spans="1:3" s="149" customFormat="1" ht="21.75" customHeight="1" thickBot="1" x14ac:dyDescent="0.3">
      <c r="A35" s="180" t="s">
        <v>789</v>
      </c>
      <c r="B35" s="182" t="s">
        <v>168</v>
      </c>
      <c r="C35" s="182">
        <v>4</v>
      </c>
    </row>
    <row r="36" spans="1:3" s="149" customFormat="1" ht="21" customHeight="1" thickBot="1" x14ac:dyDescent="0.3">
      <c r="A36" s="183" t="s">
        <v>1823</v>
      </c>
      <c r="B36" s="167" t="s">
        <v>168</v>
      </c>
      <c r="C36" s="167">
        <v>4</v>
      </c>
    </row>
    <row r="37" spans="1:3" s="149" customFormat="1" ht="15" customHeight="1" x14ac:dyDescent="0.25">
      <c r="A37" s="183" t="s">
        <v>790</v>
      </c>
      <c r="B37" s="167" t="s">
        <v>168</v>
      </c>
      <c r="C37" s="167">
        <v>1</v>
      </c>
    </row>
    <row r="38" spans="1:3" s="149" customFormat="1" ht="20.100000000000001" customHeight="1" x14ac:dyDescent="0.25">
      <c r="A38" s="178" t="s">
        <v>317</v>
      </c>
      <c r="B38" s="167" t="s">
        <v>168</v>
      </c>
      <c r="C38" s="167">
        <v>39</v>
      </c>
    </row>
    <row r="39" spans="1:3" s="149" customFormat="1" ht="20.100000000000001" customHeight="1" x14ac:dyDescent="0.25">
      <c r="A39" s="178" t="s">
        <v>967</v>
      </c>
      <c r="B39" s="167" t="s">
        <v>168</v>
      </c>
      <c r="C39" s="167">
        <v>5</v>
      </c>
    </row>
    <row r="40" spans="1:3" s="149" customFormat="1" ht="20.100000000000001" customHeight="1" x14ac:dyDescent="0.25">
      <c r="A40" s="178" t="s">
        <v>1824</v>
      </c>
      <c r="B40" s="167" t="s">
        <v>168</v>
      </c>
      <c r="C40" s="167">
        <v>6</v>
      </c>
    </row>
    <row r="41" spans="1:3" ht="20.100000000000001" customHeight="1" x14ac:dyDescent="0.25">
      <c r="A41" s="144" t="s">
        <v>163</v>
      </c>
      <c r="B41" s="167"/>
      <c r="C41" s="167"/>
    </row>
    <row r="42" spans="1:3" ht="12" customHeight="1" x14ac:dyDescent="0.25">
      <c r="A42" s="211" t="s">
        <v>1825</v>
      </c>
      <c r="B42" s="119"/>
      <c r="C42" s="152" t="s">
        <v>215</v>
      </c>
    </row>
    <row r="43" spans="1:3" s="149" customFormat="1" ht="15" x14ac:dyDescent="0.25">
      <c r="A43" s="226" t="s">
        <v>815</v>
      </c>
      <c r="B43" s="182" t="s">
        <v>168</v>
      </c>
      <c r="C43" s="182">
        <v>51</v>
      </c>
    </row>
    <row r="44" spans="1:3" s="149" customFormat="1" ht="15" x14ac:dyDescent="0.25">
      <c r="A44" s="226" t="s">
        <v>1826</v>
      </c>
      <c r="B44" s="167" t="s">
        <v>168</v>
      </c>
      <c r="C44" s="167">
        <v>6</v>
      </c>
    </row>
    <row r="45" spans="1:3" s="149" customFormat="1" ht="15" x14ac:dyDescent="0.25">
      <c r="A45" s="226" t="s">
        <v>1827</v>
      </c>
      <c r="B45" s="167" t="s">
        <v>168</v>
      </c>
      <c r="C45" s="167">
        <v>6</v>
      </c>
    </row>
    <row r="46" spans="1:3" ht="20.100000000000001" customHeight="1" x14ac:dyDescent="0.25">
      <c r="A46" s="211" t="s">
        <v>1828</v>
      </c>
      <c r="B46" s="119"/>
      <c r="C46" s="152" t="s">
        <v>215</v>
      </c>
    </row>
    <row r="47" spans="1:3" s="149" customFormat="1" ht="20.100000000000001" customHeight="1" x14ac:dyDescent="0.25">
      <c r="A47" s="343" t="s">
        <v>975</v>
      </c>
      <c r="B47" s="167" t="s">
        <v>12</v>
      </c>
      <c r="C47" s="149">
        <v>116.8</v>
      </c>
    </row>
    <row r="48" spans="1:3" s="149" customFormat="1" ht="20.100000000000001" customHeight="1" x14ac:dyDescent="0.25">
      <c r="A48" s="343" t="s">
        <v>977</v>
      </c>
      <c r="B48" s="167" t="s">
        <v>12</v>
      </c>
      <c r="C48" s="149">
        <v>7.4</v>
      </c>
    </row>
    <row r="49" spans="1:3" s="149" customFormat="1" ht="20.100000000000001" customHeight="1" x14ac:dyDescent="0.25">
      <c r="A49" s="343" t="s">
        <v>979</v>
      </c>
      <c r="B49" s="167" t="s">
        <v>12</v>
      </c>
      <c r="C49" s="149">
        <v>30.3</v>
      </c>
    </row>
    <row r="50" spans="1:3" s="149" customFormat="1" ht="20.100000000000001" customHeight="1" x14ac:dyDescent="0.25">
      <c r="A50" s="343" t="s">
        <v>981</v>
      </c>
      <c r="B50" s="167" t="s">
        <v>12</v>
      </c>
      <c r="C50" s="149">
        <v>31.9</v>
      </c>
    </row>
    <row r="51" spans="1:3" s="149" customFormat="1" ht="20.100000000000001" customHeight="1" x14ac:dyDescent="0.25"/>
  </sheetData>
  <mergeCells count="1489">
    <mergeCell ref="CC1:CM1"/>
    <mergeCell ref="CN1:CX1"/>
    <mergeCell ref="CY1:DI1"/>
    <mergeCell ref="DJ1:DT1"/>
    <mergeCell ref="DU1:EE1"/>
    <mergeCell ref="EF1:EP1"/>
    <mergeCell ref="O1:Y1"/>
    <mergeCell ref="Z1:AJ1"/>
    <mergeCell ref="AK1:AU1"/>
    <mergeCell ref="AV1:BF1"/>
    <mergeCell ref="BG1:BQ1"/>
    <mergeCell ref="BR1:CB1"/>
    <mergeCell ref="D1:N1"/>
    <mergeCell ref="JS1:KC1"/>
    <mergeCell ref="KD1:KN1"/>
    <mergeCell ref="KO1:KY1"/>
    <mergeCell ref="KZ1:LJ1"/>
    <mergeCell ref="LK1:LU1"/>
    <mergeCell ref="LV1:MF1"/>
    <mergeCell ref="HE1:HO1"/>
    <mergeCell ref="HP1:HZ1"/>
    <mergeCell ref="IA1:IK1"/>
    <mergeCell ref="IL1:IV1"/>
    <mergeCell ref="IW1:JG1"/>
    <mergeCell ref="JH1:JR1"/>
    <mergeCell ref="EQ1:FA1"/>
    <mergeCell ref="FB1:FL1"/>
    <mergeCell ref="FM1:FW1"/>
    <mergeCell ref="FX1:GH1"/>
    <mergeCell ref="GI1:GS1"/>
    <mergeCell ref="GT1:HD1"/>
    <mergeCell ref="RI1:RS1"/>
    <mergeCell ref="RT1:SD1"/>
    <mergeCell ref="SE1:SO1"/>
    <mergeCell ref="SP1:SZ1"/>
    <mergeCell ref="TA1:TK1"/>
    <mergeCell ref="TL1:TV1"/>
    <mergeCell ref="OU1:PE1"/>
    <mergeCell ref="PF1:PP1"/>
    <mergeCell ref="PQ1:QA1"/>
    <mergeCell ref="QB1:QL1"/>
    <mergeCell ref="QM1:QW1"/>
    <mergeCell ref="QX1:RH1"/>
    <mergeCell ref="MG1:MQ1"/>
    <mergeCell ref="MR1:NB1"/>
    <mergeCell ref="NC1:NM1"/>
    <mergeCell ref="NN1:NX1"/>
    <mergeCell ref="NY1:OI1"/>
    <mergeCell ref="OJ1:OT1"/>
    <mergeCell ref="YY1:ZI1"/>
    <mergeCell ref="ZJ1:ZT1"/>
    <mergeCell ref="ZU1:AAE1"/>
    <mergeCell ref="AAF1:AAP1"/>
    <mergeCell ref="AAQ1:ABA1"/>
    <mergeCell ref="ABB1:ABL1"/>
    <mergeCell ref="WK1:WU1"/>
    <mergeCell ref="WV1:XF1"/>
    <mergeCell ref="XG1:XQ1"/>
    <mergeCell ref="XR1:YB1"/>
    <mergeCell ref="YC1:YM1"/>
    <mergeCell ref="YN1:YX1"/>
    <mergeCell ref="TW1:UG1"/>
    <mergeCell ref="UH1:UR1"/>
    <mergeCell ref="US1:VC1"/>
    <mergeCell ref="VD1:VN1"/>
    <mergeCell ref="VO1:VY1"/>
    <mergeCell ref="VZ1:WJ1"/>
    <mergeCell ref="AGO1:AGY1"/>
    <mergeCell ref="AGZ1:AHJ1"/>
    <mergeCell ref="AHK1:AHU1"/>
    <mergeCell ref="AHV1:AIF1"/>
    <mergeCell ref="AIG1:AIQ1"/>
    <mergeCell ref="AIR1:AJB1"/>
    <mergeCell ref="AEA1:AEK1"/>
    <mergeCell ref="AEL1:AEV1"/>
    <mergeCell ref="AEW1:AFG1"/>
    <mergeCell ref="AFH1:AFR1"/>
    <mergeCell ref="AFS1:AGC1"/>
    <mergeCell ref="AGD1:AGN1"/>
    <mergeCell ref="ABM1:ABW1"/>
    <mergeCell ref="ABX1:ACH1"/>
    <mergeCell ref="ACI1:ACS1"/>
    <mergeCell ref="ACT1:ADD1"/>
    <mergeCell ref="ADE1:ADO1"/>
    <mergeCell ref="ADP1:ADZ1"/>
    <mergeCell ref="AOE1:AOO1"/>
    <mergeCell ref="AOP1:AOZ1"/>
    <mergeCell ref="APA1:APK1"/>
    <mergeCell ref="APL1:APV1"/>
    <mergeCell ref="APW1:AQG1"/>
    <mergeCell ref="AQH1:AQR1"/>
    <mergeCell ref="ALQ1:AMA1"/>
    <mergeCell ref="AMB1:AML1"/>
    <mergeCell ref="AMM1:AMW1"/>
    <mergeCell ref="AMX1:ANH1"/>
    <mergeCell ref="ANI1:ANS1"/>
    <mergeCell ref="ANT1:AOD1"/>
    <mergeCell ref="AJC1:AJM1"/>
    <mergeCell ref="AJN1:AJX1"/>
    <mergeCell ref="AJY1:AKI1"/>
    <mergeCell ref="AKJ1:AKT1"/>
    <mergeCell ref="AKU1:ALE1"/>
    <mergeCell ref="ALF1:ALP1"/>
    <mergeCell ref="AVU1:AWE1"/>
    <mergeCell ref="AWF1:AWP1"/>
    <mergeCell ref="AWQ1:AXA1"/>
    <mergeCell ref="AXB1:AXL1"/>
    <mergeCell ref="AXM1:AXW1"/>
    <mergeCell ref="AXX1:AYH1"/>
    <mergeCell ref="ATG1:ATQ1"/>
    <mergeCell ref="ATR1:AUB1"/>
    <mergeCell ref="AUC1:AUM1"/>
    <mergeCell ref="AUN1:AUX1"/>
    <mergeCell ref="AUY1:AVI1"/>
    <mergeCell ref="AVJ1:AVT1"/>
    <mergeCell ref="AQS1:ARC1"/>
    <mergeCell ref="ARD1:ARN1"/>
    <mergeCell ref="ARO1:ARY1"/>
    <mergeCell ref="ARZ1:ASJ1"/>
    <mergeCell ref="ASK1:ASU1"/>
    <mergeCell ref="ASV1:ATF1"/>
    <mergeCell ref="BDK1:BDU1"/>
    <mergeCell ref="BDV1:BEF1"/>
    <mergeCell ref="BEG1:BEQ1"/>
    <mergeCell ref="BER1:BFB1"/>
    <mergeCell ref="BFC1:BFM1"/>
    <mergeCell ref="BFN1:BFX1"/>
    <mergeCell ref="BAW1:BBG1"/>
    <mergeCell ref="BBH1:BBR1"/>
    <mergeCell ref="BBS1:BCC1"/>
    <mergeCell ref="BCD1:BCN1"/>
    <mergeCell ref="BCO1:BCY1"/>
    <mergeCell ref="BCZ1:BDJ1"/>
    <mergeCell ref="AYI1:AYS1"/>
    <mergeCell ref="AYT1:AZD1"/>
    <mergeCell ref="AZE1:AZO1"/>
    <mergeCell ref="AZP1:AZZ1"/>
    <mergeCell ref="BAA1:BAK1"/>
    <mergeCell ref="BAL1:BAV1"/>
    <mergeCell ref="BLA1:BLK1"/>
    <mergeCell ref="BLL1:BLV1"/>
    <mergeCell ref="BLW1:BMG1"/>
    <mergeCell ref="BMH1:BMR1"/>
    <mergeCell ref="BMS1:BNC1"/>
    <mergeCell ref="BND1:BNN1"/>
    <mergeCell ref="BIM1:BIW1"/>
    <mergeCell ref="BIX1:BJH1"/>
    <mergeCell ref="BJI1:BJS1"/>
    <mergeCell ref="BJT1:BKD1"/>
    <mergeCell ref="BKE1:BKO1"/>
    <mergeCell ref="BKP1:BKZ1"/>
    <mergeCell ref="BFY1:BGI1"/>
    <mergeCell ref="BGJ1:BGT1"/>
    <mergeCell ref="BGU1:BHE1"/>
    <mergeCell ref="BHF1:BHP1"/>
    <mergeCell ref="BHQ1:BIA1"/>
    <mergeCell ref="BIB1:BIL1"/>
    <mergeCell ref="BSQ1:BTA1"/>
    <mergeCell ref="BTB1:BTL1"/>
    <mergeCell ref="BTM1:BTW1"/>
    <mergeCell ref="BTX1:BUH1"/>
    <mergeCell ref="BUI1:BUS1"/>
    <mergeCell ref="BUT1:BVD1"/>
    <mergeCell ref="BQC1:BQM1"/>
    <mergeCell ref="BQN1:BQX1"/>
    <mergeCell ref="BQY1:BRI1"/>
    <mergeCell ref="BRJ1:BRT1"/>
    <mergeCell ref="BRU1:BSE1"/>
    <mergeCell ref="BSF1:BSP1"/>
    <mergeCell ref="BNO1:BNY1"/>
    <mergeCell ref="BNZ1:BOJ1"/>
    <mergeCell ref="BOK1:BOU1"/>
    <mergeCell ref="BOV1:BPF1"/>
    <mergeCell ref="BPG1:BPQ1"/>
    <mergeCell ref="BPR1:BQB1"/>
    <mergeCell ref="CAG1:CAQ1"/>
    <mergeCell ref="CAR1:CBB1"/>
    <mergeCell ref="CBC1:CBM1"/>
    <mergeCell ref="CBN1:CBX1"/>
    <mergeCell ref="CBY1:CCI1"/>
    <mergeCell ref="CCJ1:CCT1"/>
    <mergeCell ref="BXS1:BYC1"/>
    <mergeCell ref="BYD1:BYN1"/>
    <mergeCell ref="BYO1:BYY1"/>
    <mergeCell ref="BYZ1:BZJ1"/>
    <mergeCell ref="BZK1:BZU1"/>
    <mergeCell ref="BZV1:CAF1"/>
    <mergeCell ref="BVE1:BVO1"/>
    <mergeCell ref="BVP1:BVZ1"/>
    <mergeCell ref="BWA1:BWK1"/>
    <mergeCell ref="BWL1:BWV1"/>
    <mergeCell ref="BWW1:BXG1"/>
    <mergeCell ref="BXH1:BXR1"/>
    <mergeCell ref="CHW1:CIG1"/>
    <mergeCell ref="CIH1:CIR1"/>
    <mergeCell ref="CIS1:CJC1"/>
    <mergeCell ref="CJD1:CJN1"/>
    <mergeCell ref="CJO1:CJY1"/>
    <mergeCell ref="CJZ1:CKJ1"/>
    <mergeCell ref="CFI1:CFS1"/>
    <mergeCell ref="CFT1:CGD1"/>
    <mergeCell ref="CGE1:CGO1"/>
    <mergeCell ref="CGP1:CGZ1"/>
    <mergeCell ref="CHA1:CHK1"/>
    <mergeCell ref="CHL1:CHV1"/>
    <mergeCell ref="CCU1:CDE1"/>
    <mergeCell ref="CDF1:CDP1"/>
    <mergeCell ref="CDQ1:CEA1"/>
    <mergeCell ref="CEB1:CEL1"/>
    <mergeCell ref="CEM1:CEW1"/>
    <mergeCell ref="CEX1:CFH1"/>
    <mergeCell ref="CPM1:CPW1"/>
    <mergeCell ref="CPX1:CQH1"/>
    <mergeCell ref="CQI1:CQS1"/>
    <mergeCell ref="CQT1:CRD1"/>
    <mergeCell ref="CRE1:CRO1"/>
    <mergeCell ref="CRP1:CRZ1"/>
    <mergeCell ref="CMY1:CNI1"/>
    <mergeCell ref="CNJ1:CNT1"/>
    <mergeCell ref="CNU1:COE1"/>
    <mergeCell ref="COF1:COP1"/>
    <mergeCell ref="COQ1:CPA1"/>
    <mergeCell ref="CPB1:CPL1"/>
    <mergeCell ref="CKK1:CKU1"/>
    <mergeCell ref="CKV1:CLF1"/>
    <mergeCell ref="CLG1:CLQ1"/>
    <mergeCell ref="CLR1:CMB1"/>
    <mergeCell ref="CMC1:CMM1"/>
    <mergeCell ref="CMN1:CMX1"/>
    <mergeCell ref="CXC1:CXM1"/>
    <mergeCell ref="CXN1:CXX1"/>
    <mergeCell ref="CXY1:CYI1"/>
    <mergeCell ref="CYJ1:CYT1"/>
    <mergeCell ref="CYU1:CZE1"/>
    <mergeCell ref="CZF1:CZP1"/>
    <mergeCell ref="CUO1:CUY1"/>
    <mergeCell ref="CUZ1:CVJ1"/>
    <mergeCell ref="CVK1:CVU1"/>
    <mergeCell ref="CVV1:CWF1"/>
    <mergeCell ref="CWG1:CWQ1"/>
    <mergeCell ref="CWR1:CXB1"/>
    <mergeCell ref="CSA1:CSK1"/>
    <mergeCell ref="CSL1:CSV1"/>
    <mergeCell ref="CSW1:CTG1"/>
    <mergeCell ref="CTH1:CTR1"/>
    <mergeCell ref="CTS1:CUC1"/>
    <mergeCell ref="CUD1:CUN1"/>
    <mergeCell ref="DES1:DFC1"/>
    <mergeCell ref="DFD1:DFN1"/>
    <mergeCell ref="DFO1:DFY1"/>
    <mergeCell ref="DFZ1:DGJ1"/>
    <mergeCell ref="DGK1:DGU1"/>
    <mergeCell ref="DGV1:DHF1"/>
    <mergeCell ref="DCE1:DCO1"/>
    <mergeCell ref="DCP1:DCZ1"/>
    <mergeCell ref="DDA1:DDK1"/>
    <mergeCell ref="DDL1:DDV1"/>
    <mergeCell ref="DDW1:DEG1"/>
    <mergeCell ref="DEH1:DER1"/>
    <mergeCell ref="CZQ1:DAA1"/>
    <mergeCell ref="DAB1:DAL1"/>
    <mergeCell ref="DAM1:DAW1"/>
    <mergeCell ref="DAX1:DBH1"/>
    <mergeCell ref="DBI1:DBS1"/>
    <mergeCell ref="DBT1:DCD1"/>
    <mergeCell ref="DMI1:DMS1"/>
    <mergeCell ref="DMT1:DND1"/>
    <mergeCell ref="DNE1:DNO1"/>
    <mergeCell ref="DNP1:DNZ1"/>
    <mergeCell ref="DOA1:DOK1"/>
    <mergeCell ref="DOL1:DOV1"/>
    <mergeCell ref="DJU1:DKE1"/>
    <mergeCell ref="DKF1:DKP1"/>
    <mergeCell ref="DKQ1:DLA1"/>
    <mergeCell ref="DLB1:DLL1"/>
    <mergeCell ref="DLM1:DLW1"/>
    <mergeCell ref="DLX1:DMH1"/>
    <mergeCell ref="DHG1:DHQ1"/>
    <mergeCell ref="DHR1:DIB1"/>
    <mergeCell ref="DIC1:DIM1"/>
    <mergeCell ref="DIN1:DIX1"/>
    <mergeCell ref="DIY1:DJI1"/>
    <mergeCell ref="DJJ1:DJT1"/>
    <mergeCell ref="DTY1:DUI1"/>
    <mergeCell ref="DUJ1:DUT1"/>
    <mergeCell ref="DUU1:DVE1"/>
    <mergeCell ref="DVF1:DVP1"/>
    <mergeCell ref="DVQ1:DWA1"/>
    <mergeCell ref="DWB1:DWL1"/>
    <mergeCell ref="DRK1:DRU1"/>
    <mergeCell ref="DRV1:DSF1"/>
    <mergeCell ref="DSG1:DSQ1"/>
    <mergeCell ref="DSR1:DTB1"/>
    <mergeCell ref="DTC1:DTM1"/>
    <mergeCell ref="DTN1:DTX1"/>
    <mergeCell ref="DOW1:DPG1"/>
    <mergeCell ref="DPH1:DPR1"/>
    <mergeCell ref="DPS1:DQC1"/>
    <mergeCell ref="DQD1:DQN1"/>
    <mergeCell ref="DQO1:DQY1"/>
    <mergeCell ref="DQZ1:DRJ1"/>
    <mergeCell ref="EBO1:EBY1"/>
    <mergeCell ref="EBZ1:ECJ1"/>
    <mergeCell ref="ECK1:ECU1"/>
    <mergeCell ref="ECV1:EDF1"/>
    <mergeCell ref="EDG1:EDQ1"/>
    <mergeCell ref="EDR1:EEB1"/>
    <mergeCell ref="DZA1:DZK1"/>
    <mergeCell ref="DZL1:DZV1"/>
    <mergeCell ref="DZW1:EAG1"/>
    <mergeCell ref="EAH1:EAR1"/>
    <mergeCell ref="EAS1:EBC1"/>
    <mergeCell ref="EBD1:EBN1"/>
    <mergeCell ref="DWM1:DWW1"/>
    <mergeCell ref="DWX1:DXH1"/>
    <mergeCell ref="DXI1:DXS1"/>
    <mergeCell ref="DXT1:DYD1"/>
    <mergeCell ref="DYE1:DYO1"/>
    <mergeCell ref="DYP1:DYZ1"/>
    <mergeCell ref="EJE1:EJO1"/>
    <mergeCell ref="EJP1:EJZ1"/>
    <mergeCell ref="EKA1:EKK1"/>
    <mergeCell ref="EKL1:EKV1"/>
    <mergeCell ref="EKW1:ELG1"/>
    <mergeCell ref="ELH1:ELR1"/>
    <mergeCell ref="EGQ1:EHA1"/>
    <mergeCell ref="EHB1:EHL1"/>
    <mergeCell ref="EHM1:EHW1"/>
    <mergeCell ref="EHX1:EIH1"/>
    <mergeCell ref="EII1:EIS1"/>
    <mergeCell ref="EIT1:EJD1"/>
    <mergeCell ref="EEC1:EEM1"/>
    <mergeCell ref="EEN1:EEX1"/>
    <mergeCell ref="EEY1:EFI1"/>
    <mergeCell ref="EFJ1:EFT1"/>
    <mergeCell ref="EFU1:EGE1"/>
    <mergeCell ref="EGF1:EGP1"/>
    <mergeCell ref="EQU1:ERE1"/>
    <mergeCell ref="ERF1:ERP1"/>
    <mergeCell ref="ERQ1:ESA1"/>
    <mergeCell ref="ESB1:ESL1"/>
    <mergeCell ref="ESM1:ESW1"/>
    <mergeCell ref="ESX1:ETH1"/>
    <mergeCell ref="EOG1:EOQ1"/>
    <mergeCell ref="EOR1:EPB1"/>
    <mergeCell ref="EPC1:EPM1"/>
    <mergeCell ref="EPN1:EPX1"/>
    <mergeCell ref="EPY1:EQI1"/>
    <mergeCell ref="EQJ1:EQT1"/>
    <mergeCell ref="ELS1:EMC1"/>
    <mergeCell ref="EMD1:EMN1"/>
    <mergeCell ref="EMO1:EMY1"/>
    <mergeCell ref="EMZ1:ENJ1"/>
    <mergeCell ref="ENK1:ENU1"/>
    <mergeCell ref="ENV1:EOF1"/>
    <mergeCell ref="EYK1:EYU1"/>
    <mergeCell ref="EYV1:EZF1"/>
    <mergeCell ref="EZG1:EZQ1"/>
    <mergeCell ref="EZR1:FAB1"/>
    <mergeCell ref="FAC1:FAM1"/>
    <mergeCell ref="FAN1:FAX1"/>
    <mergeCell ref="EVW1:EWG1"/>
    <mergeCell ref="EWH1:EWR1"/>
    <mergeCell ref="EWS1:EXC1"/>
    <mergeCell ref="EXD1:EXN1"/>
    <mergeCell ref="EXO1:EXY1"/>
    <mergeCell ref="EXZ1:EYJ1"/>
    <mergeCell ref="ETI1:ETS1"/>
    <mergeCell ref="ETT1:EUD1"/>
    <mergeCell ref="EUE1:EUO1"/>
    <mergeCell ref="EUP1:EUZ1"/>
    <mergeCell ref="EVA1:EVK1"/>
    <mergeCell ref="EVL1:EVV1"/>
    <mergeCell ref="FGA1:FGK1"/>
    <mergeCell ref="FGL1:FGV1"/>
    <mergeCell ref="FGW1:FHG1"/>
    <mergeCell ref="FHH1:FHR1"/>
    <mergeCell ref="FHS1:FIC1"/>
    <mergeCell ref="FID1:FIN1"/>
    <mergeCell ref="FDM1:FDW1"/>
    <mergeCell ref="FDX1:FEH1"/>
    <mergeCell ref="FEI1:FES1"/>
    <mergeCell ref="FET1:FFD1"/>
    <mergeCell ref="FFE1:FFO1"/>
    <mergeCell ref="FFP1:FFZ1"/>
    <mergeCell ref="FAY1:FBI1"/>
    <mergeCell ref="FBJ1:FBT1"/>
    <mergeCell ref="FBU1:FCE1"/>
    <mergeCell ref="FCF1:FCP1"/>
    <mergeCell ref="FCQ1:FDA1"/>
    <mergeCell ref="FDB1:FDL1"/>
    <mergeCell ref="FNQ1:FOA1"/>
    <mergeCell ref="FOB1:FOL1"/>
    <mergeCell ref="FOM1:FOW1"/>
    <mergeCell ref="FOX1:FPH1"/>
    <mergeCell ref="FPI1:FPS1"/>
    <mergeCell ref="FPT1:FQD1"/>
    <mergeCell ref="FLC1:FLM1"/>
    <mergeCell ref="FLN1:FLX1"/>
    <mergeCell ref="FLY1:FMI1"/>
    <mergeCell ref="FMJ1:FMT1"/>
    <mergeCell ref="FMU1:FNE1"/>
    <mergeCell ref="FNF1:FNP1"/>
    <mergeCell ref="FIO1:FIY1"/>
    <mergeCell ref="FIZ1:FJJ1"/>
    <mergeCell ref="FJK1:FJU1"/>
    <mergeCell ref="FJV1:FKF1"/>
    <mergeCell ref="FKG1:FKQ1"/>
    <mergeCell ref="FKR1:FLB1"/>
    <mergeCell ref="FVG1:FVQ1"/>
    <mergeCell ref="FVR1:FWB1"/>
    <mergeCell ref="FWC1:FWM1"/>
    <mergeCell ref="FWN1:FWX1"/>
    <mergeCell ref="FWY1:FXI1"/>
    <mergeCell ref="FXJ1:FXT1"/>
    <mergeCell ref="FSS1:FTC1"/>
    <mergeCell ref="FTD1:FTN1"/>
    <mergeCell ref="FTO1:FTY1"/>
    <mergeCell ref="FTZ1:FUJ1"/>
    <mergeCell ref="FUK1:FUU1"/>
    <mergeCell ref="FUV1:FVF1"/>
    <mergeCell ref="FQE1:FQO1"/>
    <mergeCell ref="FQP1:FQZ1"/>
    <mergeCell ref="FRA1:FRK1"/>
    <mergeCell ref="FRL1:FRV1"/>
    <mergeCell ref="FRW1:FSG1"/>
    <mergeCell ref="FSH1:FSR1"/>
    <mergeCell ref="GCW1:GDG1"/>
    <mergeCell ref="GDH1:GDR1"/>
    <mergeCell ref="GDS1:GEC1"/>
    <mergeCell ref="GED1:GEN1"/>
    <mergeCell ref="GEO1:GEY1"/>
    <mergeCell ref="GEZ1:GFJ1"/>
    <mergeCell ref="GAI1:GAS1"/>
    <mergeCell ref="GAT1:GBD1"/>
    <mergeCell ref="GBE1:GBO1"/>
    <mergeCell ref="GBP1:GBZ1"/>
    <mergeCell ref="GCA1:GCK1"/>
    <mergeCell ref="GCL1:GCV1"/>
    <mergeCell ref="FXU1:FYE1"/>
    <mergeCell ref="FYF1:FYP1"/>
    <mergeCell ref="FYQ1:FZA1"/>
    <mergeCell ref="FZB1:FZL1"/>
    <mergeCell ref="FZM1:FZW1"/>
    <mergeCell ref="FZX1:GAH1"/>
    <mergeCell ref="GKM1:GKW1"/>
    <mergeCell ref="GKX1:GLH1"/>
    <mergeCell ref="GLI1:GLS1"/>
    <mergeCell ref="GLT1:GMD1"/>
    <mergeCell ref="GME1:GMO1"/>
    <mergeCell ref="GMP1:GMZ1"/>
    <mergeCell ref="GHY1:GII1"/>
    <mergeCell ref="GIJ1:GIT1"/>
    <mergeCell ref="GIU1:GJE1"/>
    <mergeCell ref="GJF1:GJP1"/>
    <mergeCell ref="GJQ1:GKA1"/>
    <mergeCell ref="GKB1:GKL1"/>
    <mergeCell ref="GFK1:GFU1"/>
    <mergeCell ref="GFV1:GGF1"/>
    <mergeCell ref="GGG1:GGQ1"/>
    <mergeCell ref="GGR1:GHB1"/>
    <mergeCell ref="GHC1:GHM1"/>
    <mergeCell ref="GHN1:GHX1"/>
    <mergeCell ref="GSC1:GSM1"/>
    <mergeCell ref="GSN1:GSX1"/>
    <mergeCell ref="GSY1:GTI1"/>
    <mergeCell ref="GTJ1:GTT1"/>
    <mergeCell ref="GTU1:GUE1"/>
    <mergeCell ref="GUF1:GUP1"/>
    <mergeCell ref="GPO1:GPY1"/>
    <mergeCell ref="GPZ1:GQJ1"/>
    <mergeCell ref="GQK1:GQU1"/>
    <mergeCell ref="GQV1:GRF1"/>
    <mergeCell ref="GRG1:GRQ1"/>
    <mergeCell ref="GRR1:GSB1"/>
    <mergeCell ref="GNA1:GNK1"/>
    <mergeCell ref="GNL1:GNV1"/>
    <mergeCell ref="GNW1:GOG1"/>
    <mergeCell ref="GOH1:GOR1"/>
    <mergeCell ref="GOS1:GPC1"/>
    <mergeCell ref="GPD1:GPN1"/>
    <mergeCell ref="GZS1:HAC1"/>
    <mergeCell ref="HAD1:HAN1"/>
    <mergeCell ref="HAO1:HAY1"/>
    <mergeCell ref="HAZ1:HBJ1"/>
    <mergeCell ref="HBK1:HBU1"/>
    <mergeCell ref="HBV1:HCF1"/>
    <mergeCell ref="GXE1:GXO1"/>
    <mergeCell ref="GXP1:GXZ1"/>
    <mergeCell ref="GYA1:GYK1"/>
    <mergeCell ref="GYL1:GYV1"/>
    <mergeCell ref="GYW1:GZG1"/>
    <mergeCell ref="GZH1:GZR1"/>
    <mergeCell ref="GUQ1:GVA1"/>
    <mergeCell ref="GVB1:GVL1"/>
    <mergeCell ref="GVM1:GVW1"/>
    <mergeCell ref="GVX1:GWH1"/>
    <mergeCell ref="GWI1:GWS1"/>
    <mergeCell ref="GWT1:GXD1"/>
    <mergeCell ref="HHI1:HHS1"/>
    <mergeCell ref="HHT1:HID1"/>
    <mergeCell ref="HIE1:HIO1"/>
    <mergeCell ref="HIP1:HIZ1"/>
    <mergeCell ref="HJA1:HJK1"/>
    <mergeCell ref="HJL1:HJV1"/>
    <mergeCell ref="HEU1:HFE1"/>
    <mergeCell ref="HFF1:HFP1"/>
    <mergeCell ref="HFQ1:HGA1"/>
    <mergeCell ref="HGB1:HGL1"/>
    <mergeCell ref="HGM1:HGW1"/>
    <mergeCell ref="HGX1:HHH1"/>
    <mergeCell ref="HCG1:HCQ1"/>
    <mergeCell ref="HCR1:HDB1"/>
    <mergeCell ref="HDC1:HDM1"/>
    <mergeCell ref="HDN1:HDX1"/>
    <mergeCell ref="HDY1:HEI1"/>
    <mergeCell ref="HEJ1:HET1"/>
    <mergeCell ref="HOY1:HPI1"/>
    <mergeCell ref="HPJ1:HPT1"/>
    <mergeCell ref="HPU1:HQE1"/>
    <mergeCell ref="HQF1:HQP1"/>
    <mergeCell ref="HQQ1:HRA1"/>
    <mergeCell ref="HRB1:HRL1"/>
    <mergeCell ref="HMK1:HMU1"/>
    <mergeCell ref="HMV1:HNF1"/>
    <mergeCell ref="HNG1:HNQ1"/>
    <mergeCell ref="HNR1:HOB1"/>
    <mergeCell ref="HOC1:HOM1"/>
    <mergeCell ref="HON1:HOX1"/>
    <mergeCell ref="HJW1:HKG1"/>
    <mergeCell ref="HKH1:HKR1"/>
    <mergeCell ref="HKS1:HLC1"/>
    <mergeCell ref="HLD1:HLN1"/>
    <mergeCell ref="HLO1:HLY1"/>
    <mergeCell ref="HLZ1:HMJ1"/>
    <mergeCell ref="HWO1:HWY1"/>
    <mergeCell ref="HWZ1:HXJ1"/>
    <mergeCell ref="HXK1:HXU1"/>
    <mergeCell ref="HXV1:HYF1"/>
    <mergeCell ref="HYG1:HYQ1"/>
    <mergeCell ref="HYR1:HZB1"/>
    <mergeCell ref="HUA1:HUK1"/>
    <mergeCell ref="HUL1:HUV1"/>
    <mergeCell ref="HUW1:HVG1"/>
    <mergeCell ref="HVH1:HVR1"/>
    <mergeCell ref="HVS1:HWC1"/>
    <mergeCell ref="HWD1:HWN1"/>
    <mergeCell ref="HRM1:HRW1"/>
    <mergeCell ref="HRX1:HSH1"/>
    <mergeCell ref="HSI1:HSS1"/>
    <mergeCell ref="HST1:HTD1"/>
    <mergeCell ref="HTE1:HTO1"/>
    <mergeCell ref="HTP1:HTZ1"/>
    <mergeCell ref="IEE1:IEO1"/>
    <mergeCell ref="IEP1:IEZ1"/>
    <mergeCell ref="IFA1:IFK1"/>
    <mergeCell ref="IFL1:IFV1"/>
    <mergeCell ref="IFW1:IGG1"/>
    <mergeCell ref="IGH1:IGR1"/>
    <mergeCell ref="IBQ1:ICA1"/>
    <mergeCell ref="ICB1:ICL1"/>
    <mergeCell ref="ICM1:ICW1"/>
    <mergeCell ref="ICX1:IDH1"/>
    <mergeCell ref="IDI1:IDS1"/>
    <mergeCell ref="IDT1:IED1"/>
    <mergeCell ref="HZC1:HZM1"/>
    <mergeCell ref="HZN1:HZX1"/>
    <mergeCell ref="HZY1:IAI1"/>
    <mergeCell ref="IAJ1:IAT1"/>
    <mergeCell ref="IAU1:IBE1"/>
    <mergeCell ref="IBF1:IBP1"/>
    <mergeCell ref="ILU1:IME1"/>
    <mergeCell ref="IMF1:IMP1"/>
    <mergeCell ref="IMQ1:INA1"/>
    <mergeCell ref="INB1:INL1"/>
    <mergeCell ref="INM1:INW1"/>
    <mergeCell ref="INX1:IOH1"/>
    <mergeCell ref="IJG1:IJQ1"/>
    <mergeCell ref="IJR1:IKB1"/>
    <mergeCell ref="IKC1:IKM1"/>
    <mergeCell ref="IKN1:IKX1"/>
    <mergeCell ref="IKY1:ILI1"/>
    <mergeCell ref="ILJ1:ILT1"/>
    <mergeCell ref="IGS1:IHC1"/>
    <mergeCell ref="IHD1:IHN1"/>
    <mergeCell ref="IHO1:IHY1"/>
    <mergeCell ref="IHZ1:IIJ1"/>
    <mergeCell ref="IIK1:IIU1"/>
    <mergeCell ref="IIV1:IJF1"/>
    <mergeCell ref="ITK1:ITU1"/>
    <mergeCell ref="ITV1:IUF1"/>
    <mergeCell ref="IUG1:IUQ1"/>
    <mergeCell ref="IUR1:IVB1"/>
    <mergeCell ref="IVC1:IVM1"/>
    <mergeCell ref="IVN1:IVX1"/>
    <mergeCell ref="IQW1:IRG1"/>
    <mergeCell ref="IRH1:IRR1"/>
    <mergeCell ref="IRS1:ISC1"/>
    <mergeCell ref="ISD1:ISN1"/>
    <mergeCell ref="ISO1:ISY1"/>
    <mergeCell ref="ISZ1:ITJ1"/>
    <mergeCell ref="IOI1:IOS1"/>
    <mergeCell ref="IOT1:IPD1"/>
    <mergeCell ref="IPE1:IPO1"/>
    <mergeCell ref="IPP1:IPZ1"/>
    <mergeCell ref="IQA1:IQK1"/>
    <mergeCell ref="IQL1:IQV1"/>
    <mergeCell ref="JBA1:JBK1"/>
    <mergeCell ref="JBL1:JBV1"/>
    <mergeCell ref="JBW1:JCG1"/>
    <mergeCell ref="JCH1:JCR1"/>
    <mergeCell ref="JCS1:JDC1"/>
    <mergeCell ref="JDD1:JDN1"/>
    <mergeCell ref="IYM1:IYW1"/>
    <mergeCell ref="IYX1:IZH1"/>
    <mergeCell ref="IZI1:IZS1"/>
    <mergeCell ref="IZT1:JAD1"/>
    <mergeCell ref="JAE1:JAO1"/>
    <mergeCell ref="JAP1:JAZ1"/>
    <mergeCell ref="IVY1:IWI1"/>
    <mergeCell ref="IWJ1:IWT1"/>
    <mergeCell ref="IWU1:IXE1"/>
    <mergeCell ref="IXF1:IXP1"/>
    <mergeCell ref="IXQ1:IYA1"/>
    <mergeCell ref="IYB1:IYL1"/>
    <mergeCell ref="JIQ1:JJA1"/>
    <mergeCell ref="JJB1:JJL1"/>
    <mergeCell ref="JJM1:JJW1"/>
    <mergeCell ref="JJX1:JKH1"/>
    <mergeCell ref="JKI1:JKS1"/>
    <mergeCell ref="JKT1:JLD1"/>
    <mergeCell ref="JGC1:JGM1"/>
    <mergeCell ref="JGN1:JGX1"/>
    <mergeCell ref="JGY1:JHI1"/>
    <mergeCell ref="JHJ1:JHT1"/>
    <mergeCell ref="JHU1:JIE1"/>
    <mergeCell ref="JIF1:JIP1"/>
    <mergeCell ref="JDO1:JDY1"/>
    <mergeCell ref="JDZ1:JEJ1"/>
    <mergeCell ref="JEK1:JEU1"/>
    <mergeCell ref="JEV1:JFF1"/>
    <mergeCell ref="JFG1:JFQ1"/>
    <mergeCell ref="JFR1:JGB1"/>
    <mergeCell ref="JQG1:JQQ1"/>
    <mergeCell ref="JQR1:JRB1"/>
    <mergeCell ref="JRC1:JRM1"/>
    <mergeCell ref="JRN1:JRX1"/>
    <mergeCell ref="JRY1:JSI1"/>
    <mergeCell ref="JSJ1:JST1"/>
    <mergeCell ref="JNS1:JOC1"/>
    <mergeCell ref="JOD1:JON1"/>
    <mergeCell ref="JOO1:JOY1"/>
    <mergeCell ref="JOZ1:JPJ1"/>
    <mergeCell ref="JPK1:JPU1"/>
    <mergeCell ref="JPV1:JQF1"/>
    <mergeCell ref="JLE1:JLO1"/>
    <mergeCell ref="JLP1:JLZ1"/>
    <mergeCell ref="JMA1:JMK1"/>
    <mergeCell ref="JML1:JMV1"/>
    <mergeCell ref="JMW1:JNG1"/>
    <mergeCell ref="JNH1:JNR1"/>
    <mergeCell ref="JXW1:JYG1"/>
    <mergeCell ref="JYH1:JYR1"/>
    <mergeCell ref="JYS1:JZC1"/>
    <mergeCell ref="JZD1:JZN1"/>
    <mergeCell ref="JZO1:JZY1"/>
    <mergeCell ref="JZZ1:KAJ1"/>
    <mergeCell ref="JVI1:JVS1"/>
    <mergeCell ref="JVT1:JWD1"/>
    <mergeCell ref="JWE1:JWO1"/>
    <mergeCell ref="JWP1:JWZ1"/>
    <mergeCell ref="JXA1:JXK1"/>
    <mergeCell ref="JXL1:JXV1"/>
    <mergeCell ref="JSU1:JTE1"/>
    <mergeCell ref="JTF1:JTP1"/>
    <mergeCell ref="JTQ1:JUA1"/>
    <mergeCell ref="JUB1:JUL1"/>
    <mergeCell ref="JUM1:JUW1"/>
    <mergeCell ref="JUX1:JVH1"/>
    <mergeCell ref="KFM1:KFW1"/>
    <mergeCell ref="KFX1:KGH1"/>
    <mergeCell ref="KGI1:KGS1"/>
    <mergeCell ref="KGT1:KHD1"/>
    <mergeCell ref="KHE1:KHO1"/>
    <mergeCell ref="KHP1:KHZ1"/>
    <mergeCell ref="KCY1:KDI1"/>
    <mergeCell ref="KDJ1:KDT1"/>
    <mergeCell ref="KDU1:KEE1"/>
    <mergeCell ref="KEF1:KEP1"/>
    <mergeCell ref="KEQ1:KFA1"/>
    <mergeCell ref="KFB1:KFL1"/>
    <mergeCell ref="KAK1:KAU1"/>
    <mergeCell ref="KAV1:KBF1"/>
    <mergeCell ref="KBG1:KBQ1"/>
    <mergeCell ref="KBR1:KCB1"/>
    <mergeCell ref="KCC1:KCM1"/>
    <mergeCell ref="KCN1:KCX1"/>
    <mergeCell ref="KNC1:KNM1"/>
    <mergeCell ref="KNN1:KNX1"/>
    <mergeCell ref="KNY1:KOI1"/>
    <mergeCell ref="KOJ1:KOT1"/>
    <mergeCell ref="KOU1:KPE1"/>
    <mergeCell ref="KPF1:KPP1"/>
    <mergeCell ref="KKO1:KKY1"/>
    <mergeCell ref="KKZ1:KLJ1"/>
    <mergeCell ref="KLK1:KLU1"/>
    <mergeCell ref="KLV1:KMF1"/>
    <mergeCell ref="KMG1:KMQ1"/>
    <mergeCell ref="KMR1:KNB1"/>
    <mergeCell ref="KIA1:KIK1"/>
    <mergeCell ref="KIL1:KIV1"/>
    <mergeCell ref="KIW1:KJG1"/>
    <mergeCell ref="KJH1:KJR1"/>
    <mergeCell ref="KJS1:KKC1"/>
    <mergeCell ref="KKD1:KKN1"/>
    <mergeCell ref="KUS1:KVC1"/>
    <mergeCell ref="KVD1:KVN1"/>
    <mergeCell ref="KVO1:KVY1"/>
    <mergeCell ref="KVZ1:KWJ1"/>
    <mergeCell ref="KWK1:KWU1"/>
    <mergeCell ref="KWV1:KXF1"/>
    <mergeCell ref="KSE1:KSO1"/>
    <mergeCell ref="KSP1:KSZ1"/>
    <mergeCell ref="KTA1:KTK1"/>
    <mergeCell ref="KTL1:KTV1"/>
    <mergeCell ref="KTW1:KUG1"/>
    <mergeCell ref="KUH1:KUR1"/>
    <mergeCell ref="KPQ1:KQA1"/>
    <mergeCell ref="KQB1:KQL1"/>
    <mergeCell ref="KQM1:KQW1"/>
    <mergeCell ref="KQX1:KRH1"/>
    <mergeCell ref="KRI1:KRS1"/>
    <mergeCell ref="KRT1:KSD1"/>
    <mergeCell ref="LCI1:LCS1"/>
    <mergeCell ref="LCT1:LDD1"/>
    <mergeCell ref="LDE1:LDO1"/>
    <mergeCell ref="LDP1:LDZ1"/>
    <mergeCell ref="LEA1:LEK1"/>
    <mergeCell ref="LEL1:LEV1"/>
    <mergeCell ref="KZU1:LAE1"/>
    <mergeCell ref="LAF1:LAP1"/>
    <mergeCell ref="LAQ1:LBA1"/>
    <mergeCell ref="LBB1:LBL1"/>
    <mergeCell ref="LBM1:LBW1"/>
    <mergeCell ref="LBX1:LCH1"/>
    <mergeCell ref="KXG1:KXQ1"/>
    <mergeCell ref="KXR1:KYB1"/>
    <mergeCell ref="KYC1:KYM1"/>
    <mergeCell ref="KYN1:KYX1"/>
    <mergeCell ref="KYY1:KZI1"/>
    <mergeCell ref="KZJ1:KZT1"/>
    <mergeCell ref="LJY1:LKI1"/>
    <mergeCell ref="LKJ1:LKT1"/>
    <mergeCell ref="LKU1:LLE1"/>
    <mergeCell ref="LLF1:LLP1"/>
    <mergeCell ref="LLQ1:LMA1"/>
    <mergeCell ref="LMB1:LML1"/>
    <mergeCell ref="LHK1:LHU1"/>
    <mergeCell ref="LHV1:LIF1"/>
    <mergeCell ref="LIG1:LIQ1"/>
    <mergeCell ref="LIR1:LJB1"/>
    <mergeCell ref="LJC1:LJM1"/>
    <mergeCell ref="LJN1:LJX1"/>
    <mergeCell ref="LEW1:LFG1"/>
    <mergeCell ref="LFH1:LFR1"/>
    <mergeCell ref="LFS1:LGC1"/>
    <mergeCell ref="LGD1:LGN1"/>
    <mergeCell ref="LGO1:LGY1"/>
    <mergeCell ref="LGZ1:LHJ1"/>
    <mergeCell ref="LRO1:LRY1"/>
    <mergeCell ref="LRZ1:LSJ1"/>
    <mergeCell ref="LSK1:LSU1"/>
    <mergeCell ref="LSV1:LTF1"/>
    <mergeCell ref="LTG1:LTQ1"/>
    <mergeCell ref="LTR1:LUB1"/>
    <mergeCell ref="LPA1:LPK1"/>
    <mergeCell ref="LPL1:LPV1"/>
    <mergeCell ref="LPW1:LQG1"/>
    <mergeCell ref="LQH1:LQR1"/>
    <mergeCell ref="LQS1:LRC1"/>
    <mergeCell ref="LRD1:LRN1"/>
    <mergeCell ref="LMM1:LMW1"/>
    <mergeCell ref="LMX1:LNH1"/>
    <mergeCell ref="LNI1:LNS1"/>
    <mergeCell ref="LNT1:LOD1"/>
    <mergeCell ref="LOE1:LOO1"/>
    <mergeCell ref="LOP1:LOZ1"/>
    <mergeCell ref="LZE1:LZO1"/>
    <mergeCell ref="LZP1:LZZ1"/>
    <mergeCell ref="MAA1:MAK1"/>
    <mergeCell ref="MAL1:MAV1"/>
    <mergeCell ref="MAW1:MBG1"/>
    <mergeCell ref="MBH1:MBR1"/>
    <mergeCell ref="LWQ1:LXA1"/>
    <mergeCell ref="LXB1:LXL1"/>
    <mergeCell ref="LXM1:LXW1"/>
    <mergeCell ref="LXX1:LYH1"/>
    <mergeCell ref="LYI1:LYS1"/>
    <mergeCell ref="LYT1:LZD1"/>
    <mergeCell ref="LUC1:LUM1"/>
    <mergeCell ref="LUN1:LUX1"/>
    <mergeCell ref="LUY1:LVI1"/>
    <mergeCell ref="LVJ1:LVT1"/>
    <mergeCell ref="LVU1:LWE1"/>
    <mergeCell ref="LWF1:LWP1"/>
    <mergeCell ref="MGU1:MHE1"/>
    <mergeCell ref="MHF1:MHP1"/>
    <mergeCell ref="MHQ1:MIA1"/>
    <mergeCell ref="MIB1:MIL1"/>
    <mergeCell ref="MIM1:MIW1"/>
    <mergeCell ref="MIX1:MJH1"/>
    <mergeCell ref="MEG1:MEQ1"/>
    <mergeCell ref="MER1:MFB1"/>
    <mergeCell ref="MFC1:MFM1"/>
    <mergeCell ref="MFN1:MFX1"/>
    <mergeCell ref="MFY1:MGI1"/>
    <mergeCell ref="MGJ1:MGT1"/>
    <mergeCell ref="MBS1:MCC1"/>
    <mergeCell ref="MCD1:MCN1"/>
    <mergeCell ref="MCO1:MCY1"/>
    <mergeCell ref="MCZ1:MDJ1"/>
    <mergeCell ref="MDK1:MDU1"/>
    <mergeCell ref="MDV1:MEF1"/>
    <mergeCell ref="MOK1:MOU1"/>
    <mergeCell ref="MOV1:MPF1"/>
    <mergeCell ref="MPG1:MPQ1"/>
    <mergeCell ref="MPR1:MQB1"/>
    <mergeCell ref="MQC1:MQM1"/>
    <mergeCell ref="MQN1:MQX1"/>
    <mergeCell ref="MLW1:MMG1"/>
    <mergeCell ref="MMH1:MMR1"/>
    <mergeCell ref="MMS1:MNC1"/>
    <mergeCell ref="MND1:MNN1"/>
    <mergeCell ref="MNO1:MNY1"/>
    <mergeCell ref="MNZ1:MOJ1"/>
    <mergeCell ref="MJI1:MJS1"/>
    <mergeCell ref="MJT1:MKD1"/>
    <mergeCell ref="MKE1:MKO1"/>
    <mergeCell ref="MKP1:MKZ1"/>
    <mergeCell ref="MLA1:MLK1"/>
    <mergeCell ref="MLL1:MLV1"/>
    <mergeCell ref="MWA1:MWK1"/>
    <mergeCell ref="MWL1:MWV1"/>
    <mergeCell ref="MWW1:MXG1"/>
    <mergeCell ref="MXH1:MXR1"/>
    <mergeCell ref="MXS1:MYC1"/>
    <mergeCell ref="MYD1:MYN1"/>
    <mergeCell ref="MTM1:MTW1"/>
    <mergeCell ref="MTX1:MUH1"/>
    <mergeCell ref="MUI1:MUS1"/>
    <mergeCell ref="MUT1:MVD1"/>
    <mergeCell ref="MVE1:MVO1"/>
    <mergeCell ref="MVP1:MVZ1"/>
    <mergeCell ref="MQY1:MRI1"/>
    <mergeCell ref="MRJ1:MRT1"/>
    <mergeCell ref="MRU1:MSE1"/>
    <mergeCell ref="MSF1:MSP1"/>
    <mergeCell ref="MSQ1:MTA1"/>
    <mergeCell ref="MTB1:MTL1"/>
    <mergeCell ref="NDQ1:NEA1"/>
    <mergeCell ref="NEB1:NEL1"/>
    <mergeCell ref="NEM1:NEW1"/>
    <mergeCell ref="NEX1:NFH1"/>
    <mergeCell ref="NFI1:NFS1"/>
    <mergeCell ref="NFT1:NGD1"/>
    <mergeCell ref="NBC1:NBM1"/>
    <mergeCell ref="NBN1:NBX1"/>
    <mergeCell ref="NBY1:NCI1"/>
    <mergeCell ref="NCJ1:NCT1"/>
    <mergeCell ref="NCU1:NDE1"/>
    <mergeCell ref="NDF1:NDP1"/>
    <mergeCell ref="MYO1:MYY1"/>
    <mergeCell ref="MYZ1:MZJ1"/>
    <mergeCell ref="MZK1:MZU1"/>
    <mergeCell ref="MZV1:NAF1"/>
    <mergeCell ref="NAG1:NAQ1"/>
    <mergeCell ref="NAR1:NBB1"/>
    <mergeCell ref="NLG1:NLQ1"/>
    <mergeCell ref="NLR1:NMB1"/>
    <mergeCell ref="NMC1:NMM1"/>
    <mergeCell ref="NMN1:NMX1"/>
    <mergeCell ref="NMY1:NNI1"/>
    <mergeCell ref="NNJ1:NNT1"/>
    <mergeCell ref="NIS1:NJC1"/>
    <mergeCell ref="NJD1:NJN1"/>
    <mergeCell ref="NJO1:NJY1"/>
    <mergeCell ref="NJZ1:NKJ1"/>
    <mergeCell ref="NKK1:NKU1"/>
    <mergeCell ref="NKV1:NLF1"/>
    <mergeCell ref="NGE1:NGO1"/>
    <mergeCell ref="NGP1:NGZ1"/>
    <mergeCell ref="NHA1:NHK1"/>
    <mergeCell ref="NHL1:NHV1"/>
    <mergeCell ref="NHW1:NIG1"/>
    <mergeCell ref="NIH1:NIR1"/>
    <mergeCell ref="NSW1:NTG1"/>
    <mergeCell ref="NTH1:NTR1"/>
    <mergeCell ref="NTS1:NUC1"/>
    <mergeCell ref="NUD1:NUN1"/>
    <mergeCell ref="NUO1:NUY1"/>
    <mergeCell ref="NUZ1:NVJ1"/>
    <mergeCell ref="NQI1:NQS1"/>
    <mergeCell ref="NQT1:NRD1"/>
    <mergeCell ref="NRE1:NRO1"/>
    <mergeCell ref="NRP1:NRZ1"/>
    <mergeCell ref="NSA1:NSK1"/>
    <mergeCell ref="NSL1:NSV1"/>
    <mergeCell ref="NNU1:NOE1"/>
    <mergeCell ref="NOF1:NOP1"/>
    <mergeCell ref="NOQ1:NPA1"/>
    <mergeCell ref="NPB1:NPL1"/>
    <mergeCell ref="NPM1:NPW1"/>
    <mergeCell ref="NPX1:NQH1"/>
    <mergeCell ref="OAM1:OAW1"/>
    <mergeCell ref="OAX1:OBH1"/>
    <mergeCell ref="OBI1:OBS1"/>
    <mergeCell ref="OBT1:OCD1"/>
    <mergeCell ref="OCE1:OCO1"/>
    <mergeCell ref="OCP1:OCZ1"/>
    <mergeCell ref="NXY1:NYI1"/>
    <mergeCell ref="NYJ1:NYT1"/>
    <mergeCell ref="NYU1:NZE1"/>
    <mergeCell ref="NZF1:NZP1"/>
    <mergeCell ref="NZQ1:OAA1"/>
    <mergeCell ref="OAB1:OAL1"/>
    <mergeCell ref="NVK1:NVU1"/>
    <mergeCell ref="NVV1:NWF1"/>
    <mergeCell ref="NWG1:NWQ1"/>
    <mergeCell ref="NWR1:NXB1"/>
    <mergeCell ref="NXC1:NXM1"/>
    <mergeCell ref="NXN1:NXX1"/>
    <mergeCell ref="OIC1:OIM1"/>
    <mergeCell ref="OIN1:OIX1"/>
    <mergeCell ref="OIY1:OJI1"/>
    <mergeCell ref="OJJ1:OJT1"/>
    <mergeCell ref="OJU1:OKE1"/>
    <mergeCell ref="OKF1:OKP1"/>
    <mergeCell ref="OFO1:OFY1"/>
    <mergeCell ref="OFZ1:OGJ1"/>
    <mergeCell ref="OGK1:OGU1"/>
    <mergeCell ref="OGV1:OHF1"/>
    <mergeCell ref="OHG1:OHQ1"/>
    <mergeCell ref="OHR1:OIB1"/>
    <mergeCell ref="ODA1:ODK1"/>
    <mergeCell ref="ODL1:ODV1"/>
    <mergeCell ref="ODW1:OEG1"/>
    <mergeCell ref="OEH1:OER1"/>
    <mergeCell ref="OES1:OFC1"/>
    <mergeCell ref="OFD1:OFN1"/>
    <mergeCell ref="OPS1:OQC1"/>
    <mergeCell ref="OQD1:OQN1"/>
    <mergeCell ref="OQO1:OQY1"/>
    <mergeCell ref="OQZ1:ORJ1"/>
    <mergeCell ref="ORK1:ORU1"/>
    <mergeCell ref="ORV1:OSF1"/>
    <mergeCell ref="ONE1:ONO1"/>
    <mergeCell ref="ONP1:ONZ1"/>
    <mergeCell ref="OOA1:OOK1"/>
    <mergeCell ref="OOL1:OOV1"/>
    <mergeCell ref="OOW1:OPG1"/>
    <mergeCell ref="OPH1:OPR1"/>
    <mergeCell ref="OKQ1:OLA1"/>
    <mergeCell ref="OLB1:OLL1"/>
    <mergeCell ref="OLM1:OLW1"/>
    <mergeCell ref="OLX1:OMH1"/>
    <mergeCell ref="OMI1:OMS1"/>
    <mergeCell ref="OMT1:OND1"/>
    <mergeCell ref="OXI1:OXS1"/>
    <mergeCell ref="OXT1:OYD1"/>
    <mergeCell ref="OYE1:OYO1"/>
    <mergeCell ref="OYP1:OYZ1"/>
    <mergeCell ref="OZA1:OZK1"/>
    <mergeCell ref="OZL1:OZV1"/>
    <mergeCell ref="OUU1:OVE1"/>
    <mergeCell ref="OVF1:OVP1"/>
    <mergeCell ref="OVQ1:OWA1"/>
    <mergeCell ref="OWB1:OWL1"/>
    <mergeCell ref="OWM1:OWW1"/>
    <mergeCell ref="OWX1:OXH1"/>
    <mergeCell ref="OSG1:OSQ1"/>
    <mergeCell ref="OSR1:OTB1"/>
    <mergeCell ref="OTC1:OTM1"/>
    <mergeCell ref="OTN1:OTX1"/>
    <mergeCell ref="OTY1:OUI1"/>
    <mergeCell ref="OUJ1:OUT1"/>
    <mergeCell ref="PEY1:PFI1"/>
    <mergeCell ref="PFJ1:PFT1"/>
    <mergeCell ref="PFU1:PGE1"/>
    <mergeCell ref="PGF1:PGP1"/>
    <mergeCell ref="PGQ1:PHA1"/>
    <mergeCell ref="PHB1:PHL1"/>
    <mergeCell ref="PCK1:PCU1"/>
    <mergeCell ref="PCV1:PDF1"/>
    <mergeCell ref="PDG1:PDQ1"/>
    <mergeCell ref="PDR1:PEB1"/>
    <mergeCell ref="PEC1:PEM1"/>
    <mergeCell ref="PEN1:PEX1"/>
    <mergeCell ref="OZW1:PAG1"/>
    <mergeCell ref="PAH1:PAR1"/>
    <mergeCell ref="PAS1:PBC1"/>
    <mergeCell ref="PBD1:PBN1"/>
    <mergeCell ref="PBO1:PBY1"/>
    <mergeCell ref="PBZ1:PCJ1"/>
    <mergeCell ref="PMO1:PMY1"/>
    <mergeCell ref="PMZ1:PNJ1"/>
    <mergeCell ref="PNK1:PNU1"/>
    <mergeCell ref="PNV1:POF1"/>
    <mergeCell ref="POG1:POQ1"/>
    <mergeCell ref="POR1:PPB1"/>
    <mergeCell ref="PKA1:PKK1"/>
    <mergeCell ref="PKL1:PKV1"/>
    <mergeCell ref="PKW1:PLG1"/>
    <mergeCell ref="PLH1:PLR1"/>
    <mergeCell ref="PLS1:PMC1"/>
    <mergeCell ref="PMD1:PMN1"/>
    <mergeCell ref="PHM1:PHW1"/>
    <mergeCell ref="PHX1:PIH1"/>
    <mergeCell ref="PII1:PIS1"/>
    <mergeCell ref="PIT1:PJD1"/>
    <mergeCell ref="PJE1:PJO1"/>
    <mergeCell ref="PJP1:PJZ1"/>
    <mergeCell ref="PUE1:PUO1"/>
    <mergeCell ref="PUP1:PUZ1"/>
    <mergeCell ref="PVA1:PVK1"/>
    <mergeCell ref="PVL1:PVV1"/>
    <mergeCell ref="PVW1:PWG1"/>
    <mergeCell ref="PWH1:PWR1"/>
    <mergeCell ref="PRQ1:PSA1"/>
    <mergeCell ref="PSB1:PSL1"/>
    <mergeCell ref="PSM1:PSW1"/>
    <mergeCell ref="PSX1:PTH1"/>
    <mergeCell ref="PTI1:PTS1"/>
    <mergeCell ref="PTT1:PUD1"/>
    <mergeCell ref="PPC1:PPM1"/>
    <mergeCell ref="PPN1:PPX1"/>
    <mergeCell ref="PPY1:PQI1"/>
    <mergeCell ref="PQJ1:PQT1"/>
    <mergeCell ref="PQU1:PRE1"/>
    <mergeCell ref="PRF1:PRP1"/>
    <mergeCell ref="QBU1:QCE1"/>
    <mergeCell ref="QCF1:QCP1"/>
    <mergeCell ref="QCQ1:QDA1"/>
    <mergeCell ref="QDB1:QDL1"/>
    <mergeCell ref="QDM1:QDW1"/>
    <mergeCell ref="QDX1:QEH1"/>
    <mergeCell ref="PZG1:PZQ1"/>
    <mergeCell ref="PZR1:QAB1"/>
    <mergeCell ref="QAC1:QAM1"/>
    <mergeCell ref="QAN1:QAX1"/>
    <mergeCell ref="QAY1:QBI1"/>
    <mergeCell ref="QBJ1:QBT1"/>
    <mergeCell ref="PWS1:PXC1"/>
    <mergeCell ref="PXD1:PXN1"/>
    <mergeCell ref="PXO1:PXY1"/>
    <mergeCell ref="PXZ1:PYJ1"/>
    <mergeCell ref="PYK1:PYU1"/>
    <mergeCell ref="PYV1:PZF1"/>
    <mergeCell ref="QJK1:QJU1"/>
    <mergeCell ref="QJV1:QKF1"/>
    <mergeCell ref="QKG1:QKQ1"/>
    <mergeCell ref="QKR1:QLB1"/>
    <mergeCell ref="QLC1:QLM1"/>
    <mergeCell ref="QLN1:QLX1"/>
    <mergeCell ref="QGW1:QHG1"/>
    <mergeCell ref="QHH1:QHR1"/>
    <mergeCell ref="QHS1:QIC1"/>
    <mergeCell ref="QID1:QIN1"/>
    <mergeCell ref="QIO1:QIY1"/>
    <mergeCell ref="QIZ1:QJJ1"/>
    <mergeCell ref="QEI1:QES1"/>
    <mergeCell ref="QET1:QFD1"/>
    <mergeCell ref="QFE1:QFO1"/>
    <mergeCell ref="QFP1:QFZ1"/>
    <mergeCell ref="QGA1:QGK1"/>
    <mergeCell ref="QGL1:QGV1"/>
    <mergeCell ref="QRA1:QRK1"/>
    <mergeCell ref="QRL1:QRV1"/>
    <mergeCell ref="QRW1:QSG1"/>
    <mergeCell ref="QSH1:QSR1"/>
    <mergeCell ref="QSS1:QTC1"/>
    <mergeCell ref="QTD1:QTN1"/>
    <mergeCell ref="QOM1:QOW1"/>
    <mergeCell ref="QOX1:QPH1"/>
    <mergeCell ref="QPI1:QPS1"/>
    <mergeCell ref="QPT1:QQD1"/>
    <mergeCell ref="QQE1:QQO1"/>
    <mergeCell ref="QQP1:QQZ1"/>
    <mergeCell ref="QLY1:QMI1"/>
    <mergeCell ref="QMJ1:QMT1"/>
    <mergeCell ref="QMU1:QNE1"/>
    <mergeCell ref="QNF1:QNP1"/>
    <mergeCell ref="QNQ1:QOA1"/>
    <mergeCell ref="QOB1:QOL1"/>
    <mergeCell ref="QYQ1:QZA1"/>
    <mergeCell ref="QZB1:QZL1"/>
    <mergeCell ref="QZM1:QZW1"/>
    <mergeCell ref="QZX1:RAH1"/>
    <mergeCell ref="RAI1:RAS1"/>
    <mergeCell ref="RAT1:RBD1"/>
    <mergeCell ref="QWC1:QWM1"/>
    <mergeCell ref="QWN1:QWX1"/>
    <mergeCell ref="QWY1:QXI1"/>
    <mergeCell ref="QXJ1:QXT1"/>
    <mergeCell ref="QXU1:QYE1"/>
    <mergeCell ref="QYF1:QYP1"/>
    <mergeCell ref="QTO1:QTY1"/>
    <mergeCell ref="QTZ1:QUJ1"/>
    <mergeCell ref="QUK1:QUU1"/>
    <mergeCell ref="QUV1:QVF1"/>
    <mergeCell ref="QVG1:QVQ1"/>
    <mergeCell ref="QVR1:QWB1"/>
    <mergeCell ref="RGG1:RGQ1"/>
    <mergeCell ref="RGR1:RHB1"/>
    <mergeCell ref="RHC1:RHM1"/>
    <mergeCell ref="RHN1:RHX1"/>
    <mergeCell ref="RHY1:RII1"/>
    <mergeCell ref="RIJ1:RIT1"/>
    <mergeCell ref="RDS1:REC1"/>
    <mergeCell ref="RED1:REN1"/>
    <mergeCell ref="REO1:REY1"/>
    <mergeCell ref="REZ1:RFJ1"/>
    <mergeCell ref="RFK1:RFU1"/>
    <mergeCell ref="RFV1:RGF1"/>
    <mergeCell ref="RBE1:RBO1"/>
    <mergeCell ref="RBP1:RBZ1"/>
    <mergeCell ref="RCA1:RCK1"/>
    <mergeCell ref="RCL1:RCV1"/>
    <mergeCell ref="RCW1:RDG1"/>
    <mergeCell ref="RDH1:RDR1"/>
    <mergeCell ref="RNW1:ROG1"/>
    <mergeCell ref="ROH1:ROR1"/>
    <mergeCell ref="ROS1:RPC1"/>
    <mergeCell ref="RPD1:RPN1"/>
    <mergeCell ref="RPO1:RPY1"/>
    <mergeCell ref="RPZ1:RQJ1"/>
    <mergeCell ref="RLI1:RLS1"/>
    <mergeCell ref="RLT1:RMD1"/>
    <mergeCell ref="RME1:RMO1"/>
    <mergeCell ref="RMP1:RMZ1"/>
    <mergeCell ref="RNA1:RNK1"/>
    <mergeCell ref="RNL1:RNV1"/>
    <mergeCell ref="RIU1:RJE1"/>
    <mergeCell ref="RJF1:RJP1"/>
    <mergeCell ref="RJQ1:RKA1"/>
    <mergeCell ref="RKB1:RKL1"/>
    <mergeCell ref="RKM1:RKW1"/>
    <mergeCell ref="RKX1:RLH1"/>
    <mergeCell ref="RVM1:RVW1"/>
    <mergeCell ref="RVX1:RWH1"/>
    <mergeCell ref="RWI1:RWS1"/>
    <mergeCell ref="RWT1:RXD1"/>
    <mergeCell ref="RXE1:RXO1"/>
    <mergeCell ref="RXP1:RXZ1"/>
    <mergeCell ref="RSY1:RTI1"/>
    <mergeCell ref="RTJ1:RTT1"/>
    <mergeCell ref="RTU1:RUE1"/>
    <mergeCell ref="RUF1:RUP1"/>
    <mergeCell ref="RUQ1:RVA1"/>
    <mergeCell ref="RVB1:RVL1"/>
    <mergeCell ref="RQK1:RQU1"/>
    <mergeCell ref="RQV1:RRF1"/>
    <mergeCell ref="RRG1:RRQ1"/>
    <mergeCell ref="RRR1:RSB1"/>
    <mergeCell ref="RSC1:RSM1"/>
    <mergeCell ref="RSN1:RSX1"/>
    <mergeCell ref="SDC1:SDM1"/>
    <mergeCell ref="SDN1:SDX1"/>
    <mergeCell ref="SDY1:SEI1"/>
    <mergeCell ref="SEJ1:SET1"/>
    <mergeCell ref="SEU1:SFE1"/>
    <mergeCell ref="SFF1:SFP1"/>
    <mergeCell ref="SAO1:SAY1"/>
    <mergeCell ref="SAZ1:SBJ1"/>
    <mergeCell ref="SBK1:SBU1"/>
    <mergeCell ref="SBV1:SCF1"/>
    <mergeCell ref="SCG1:SCQ1"/>
    <mergeCell ref="SCR1:SDB1"/>
    <mergeCell ref="RYA1:RYK1"/>
    <mergeCell ref="RYL1:RYV1"/>
    <mergeCell ref="RYW1:RZG1"/>
    <mergeCell ref="RZH1:RZR1"/>
    <mergeCell ref="RZS1:SAC1"/>
    <mergeCell ref="SAD1:SAN1"/>
    <mergeCell ref="SKS1:SLC1"/>
    <mergeCell ref="SLD1:SLN1"/>
    <mergeCell ref="SLO1:SLY1"/>
    <mergeCell ref="SLZ1:SMJ1"/>
    <mergeCell ref="SMK1:SMU1"/>
    <mergeCell ref="SMV1:SNF1"/>
    <mergeCell ref="SIE1:SIO1"/>
    <mergeCell ref="SIP1:SIZ1"/>
    <mergeCell ref="SJA1:SJK1"/>
    <mergeCell ref="SJL1:SJV1"/>
    <mergeCell ref="SJW1:SKG1"/>
    <mergeCell ref="SKH1:SKR1"/>
    <mergeCell ref="SFQ1:SGA1"/>
    <mergeCell ref="SGB1:SGL1"/>
    <mergeCell ref="SGM1:SGW1"/>
    <mergeCell ref="SGX1:SHH1"/>
    <mergeCell ref="SHI1:SHS1"/>
    <mergeCell ref="SHT1:SID1"/>
    <mergeCell ref="SSI1:SSS1"/>
    <mergeCell ref="SST1:STD1"/>
    <mergeCell ref="STE1:STO1"/>
    <mergeCell ref="STP1:STZ1"/>
    <mergeCell ref="SUA1:SUK1"/>
    <mergeCell ref="SUL1:SUV1"/>
    <mergeCell ref="SPU1:SQE1"/>
    <mergeCell ref="SQF1:SQP1"/>
    <mergeCell ref="SQQ1:SRA1"/>
    <mergeCell ref="SRB1:SRL1"/>
    <mergeCell ref="SRM1:SRW1"/>
    <mergeCell ref="SRX1:SSH1"/>
    <mergeCell ref="SNG1:SNQ1"/>
    <mergeCell ref="SNR1:SOB1"/>
    <mergeCell ref="SOC1:SOM1"/>
    <mergeCell ref="SON1:SOX1"/>
    <mergeCell ref="SOY1:SPI1"/>
    <mergeCell ref="SPJ1:SPT1"/>
    <mergeCell ref="SZY1:TAI1"/>
    <mergeCell ref="TAJ1:TAT1"/>
    <mergeCell ref="TAU1:TBE1"/>
    <mergeCell ref="TBF1:TBP1"/>
    <mergeCell ref="TBQ1:TCA1"/>
    <mergeCell ref="TCB1:TCL1"/>
    <mergeCell ref="SXK1:SXU1"/>
    <mergeCell ref="SXV1:SYF1"/>
    <mergeCell ref="SYG1:SYQ1"/>
    <mergeCell ref="SYR1:SZB1"/>
    <mergeCell ref="SZC1:SZM1"/>
    <mergeCell ref="SZN1:SZX1"/>
    <mergeCell ref="SUW1:SVG1"/>
    <mergeCell ref="SVH1:SVR1"/>
    <mergeCell ref="SVS1:SWC1"/>
    <mergeCell ref="SWD1:SWN1"/>
    <mergeCell ref="SWO1:SWY1"/>
    <mergeCell ref="SWZ1:SXJ1"/>
    <mergeCell ref="THO1:THY1"/>
    <mergeCell ref="THZ1:TIJ1"/>
    <mergeCell ref="TIK1:TIU1"/>
    <mergeCell ref="TIV1:TJF1"/>
    <mergeCell ref="TJG1:TJQ1"/>
    <mergeCell ref="TJR1:TKB1"/>
    <mergeCell ref="TFA1:TFK1"/>
    <mergeCell ref="TFL1:TFV1"/>
    <mergeCell ref="TFW1:TGG1"/>
    <mergeCell ref="TGH1:TGR1"/>
    <mergeCell ref="TGS1:THC1"/>
    <mergeCell ref="THD1:THN1"/>
    <mergeCell ref="TCM1:TCW1"/>
    <mergeCell ref="TCX1:TDH1"/>
    <mergeCell ref="TDI1:TDS1"/>
    <mergeCell ref="TDT1:TED1"/>
    <mergeCell ref="TEE1:TEO1"/>
    <mergeCell ref="TEP1:TEZ1"/>
    <mergeCell ref="TPE1:TPO1"/>
    <mergeCell ref="TPP1:TPZ1"/>
    <mergeCell ref="TQA1:TQK1"/>
    <mergeCell ref="TQL1:TQV1"/>
    <mergeCell ref="TQW1:TRG1"/>
    <mergeCell ref="TRH1:TRR1"/>
    <mergeCell ref="TMQ1:TNA1"/>
    <mergeCell ref="TNB1:TNL1"/>
    <mergeCell ref="TNM1:TNW1"/>
    <mergeCell ref="TNX1:TOH1"/>
    <mergeCell ref="TOI1:TOS1"/>
    <mergeCell ref="TOT1:TPD1"/>
    <mergeCell ref="TKC1:TKM1"/>
    <mergeCell ref="TKN1:TKX1"/>
    <mergeCell ref="TKY1:TLI1"/>
    <mergeCell ref="TLJ1:TLT1"/>
    <mergeCell ref="TLU1:TME1"/>
    <mergeCell ref="TMF1:TMP1"/>
    <mergeCell ref="TWU1:TXE1"/>
    <mergeCell ref="TXF1:TXP1"/>
    <mergeCell ref="TXQ1:TYA1"/>
    <mergeCell ref="TYB1:TYL1"/>
    <mergeCell ref="TYM1:TYW1"/>
    <mergeCell ref="TYX1:TZH1"/>
    <mergeCell ref="TUG1:TUQ1"/>
    <mergeCell ref="TUR1:TVB1"/>
    <mergeCell ref="TVC1:TVM1"/>
    <mergeCell ref="TVN1:TVX1"/>
    <mergeCell ref="TVY1:TWI1"/>
    <mergeCell ref="TWJ1:TWT1"/>
    <mergeCell ref="TRS1:TSC1"/>
    <mergeCell ref="TSD1:TSN1"/>
    <mergeCell ref="TSO1:TSY1"/>
    <mergeCell ref="TSZ1:TTJ1"/>
    <mergeCell ref="TTK1:TTU1"/>
    <mergeCell ref="TTV1:TUF1"/>
    <mergeCell ref="UEK1:UEU1"/>
    <mergeCell ref="UEV1:UFF1"/>
    <mergeCell ref="UFG1:UFQ1"/>
    <mergeCell ref="UFR1:UGB1"/>
    <mergeCell ref="UGC1:UGM1"/>
    <mergeCell ref="UGN1:UGX1"/>
    <mergeCell ref="UBW1:UCG1"/>
    <mergeCell ref="UCH1:UCR1"/>
    <mergeCell ref="UCS1:UDC1"/>
    <mergeCell ref="UDD1:UDN1"/>
    <mergeCell ref="UDO1:UDY1"/>
    <mergeCell ref="UDZ1:UEJ1"/>
    <mergeCell ref="TZI1:TZS1"/>
    <mergeCell ref="TZT1:UAD1"/>
    <mergeCell ref="UAE1:UAO1"/>
    <mergeCell ref="UAP1:UAZ1"/>
    <mergeCell ref="UBA1:UBK1"/>
    <mergeCell ref="UBL1:UBV1"/>
    <mergeCell ref="UMA1:UMK1"/>
    <mergeCell ref="UML1:UMV1"/>
    <mergeCell ref="UMW1:UNG1"/>
    <mergeCell ref="UNH1:UNR1"/>
    <mergeCell ref="UNS1:UOC1"/>
    <mergeCell ref="UOD1:UON1"/>
    <mergeCell ref="UJM1:UJW1"/>
    <mergeCell ref="UJX1:UKH1"/>
    <mergeCell ref="UKI1:UKS1"/>
    <mergeCell ref="UKT1:ULD1"/>
    <mergeCell ref="ULE1:ULO1"/>
    <mergeCell ref="ULP1:ULZ1"/>
    <mergeCell ref="UGY1:UHI1"/>
    <mergeCell ref="UHJ1:UHT1"/>
    <mergeCell ref="UHU1:UIE1"/>
    <mergeCell ref="UIF1:UIP1"/>
    <mergeCell ref="UIQ1:UJA1"/>
    <mergeCell ref="UJB1:UJL1"/>
    <mergeCell ref="UTQ1:UUA1"/>
    <mergeCell ref="UUB1:UUL1"/>
    <mergeCell ref="UUM1:UUW1"/>
    <mergeCell ref="UUX1:UVH1"/>
    <mergeCell ref="UVI1:UVS1"/>
    <mergeCell ref="UVT1:UWD1"/>
    <mergeCell ref="URC1:URM1"/>
    <mergeCell ref="URN1:URX1"/>
    <mergeCell ref="URY1:USI1"/>
    <mergeCell ref="USJ1:UST1"/>
    <mergeCell ref="USU1:UTE1"/>
    <mergeCell ref="UTF1:UTP1"/>
    <mergeCell ref="UOO1:UOY1"/>
    <mergeCell ref="UOZ1:UPJ1"/>
    <mergeCell ref="UPK1:UPU1"/>
    <mergeCell ref="UPV1:UQF1"/>
    <mergeCell ref="UQG1:UQQ1"/>
    <mergeCell ref="UQR1:URB1"/>
    <mergeCell ref="VBG1:VBQ1"/>
    <mergeCell ref="VBR1:VCB1"/>
    <mergeCell ref="VCC1:VCM1"/>
    <mergeCell ref="VCN1:VCX1"/>
    <mergeCell ref="VCY1:VDI1"/>
    <mergeCell ref="VDJ1:VDT1"/>
    <mergeCell ref="UYS1:UZC1"/>
    <mergeCell ref="UZD1:UZN1"/>
    <mergeCell ref="UZO1:UZY1"/>
    <mergeCell ref="UZZ1:VAJ1"/>
    <mergeCell ref="VAK1:VAU1"/>
    <mergeCell ref="VAV1:VBF1"/>
    <mergeCell ref="UWE1:UWO1"/>
    <mergeCell ref="UWP1:UWZ1"/>
    <mergeCell ref="UXA1:UXK1"/>
    <mergeCell ref="UXL1:UXV1"/>
    <mergeCell ref="UXW1:UYG1"/>
    <mergeCell ref="UYH1:UYR1"/>
    <mergeCell ref="VIW1:VJG1"/>
    <mergeCell ref="VJH1:VJR1"/>
    <mergeCell ref="VJS1:VKC1"/>
    <mergeCell ref="VKD1:VKN1"/>
    <mergeCell ref="VKO1:VKY1"/>
    <mergeCell ref="VKZ1:VLJ1"/>
    <mergeCell ref="VGI1:VGS1"/>
    <mergeCell ref="VGT1:VHD1"/>
    <mergeCell ref="VHE1:VHO1"/>
    <mergeCell ref="VHP1:VHZ1"/>
    <mergeCell ref="VIA1:VIK1"/>
    <mergeCell ref="VIL1:VIV1"/>
    <mergeCell ref="VDU1:VEE1"/>
    <mergeCell ref="VEF1:VEP1"/>
    <mergeCell ref="VEQ1:VFA1"/>
    <mergeCell ref="VFB1:VFL1"/>
    <mergeCell ref="VFM1:VFW1"/>
    <mergeCell ref="VFX1:VGH1"/>
    <mergeCell ref="VQM1:VQW1"/>
    <mergeCell ref="VQX1:VRH1"/>
    <mergeCell ref="VRI1:VRS1"/>
    <mergeCell ref="VRT1:VSD1"/>
    <mergeCell ref="VSE1:VSO1"/>
    <mergeCell ref="VSP1:VSZ1"/>
    <mergeCell ref="VNY1:VOI1"/>
    <mergeCell ref="VOJ1:VOT1"/>
    <mergeCell ref="VOU1:VPE1"/>
    <mergeCell ref="VPF1:VPP1"/>
    <mergeCell ref="VPQ1:VQA1"/>
    <mergeCell ref="VQB1:VQL1"/>
    <mergeCell ref="VLK1:VLU1"/>
    <mergeCell ref="VLV1:VMF1"/>
    <mergeCell ref="VMG1:VMQ1"/>
    <mergeCell ref="VMR1:VNB1"/>
    <mergeCell ref="VNC1:VNM1"/>
    <mergeCell ref="VNN1:VNX1"/>
    <mergeCell ref="VYC1:VYM1"/>
    <mergeCell ref="VYN1:VYX1"/>
    <mergeCell ref="VYY1:VZI1"/>
    <mergeCell ref="VZJ1:VZT1"/>
    <mergeCell ref="VZU1:WAE1"/>
    <mergeCell ref="WAF1:WAP1"/>
    <mergeCell ref="VVO1:VVY1"/>
    <mergeCell ref="VVZ1:VWJ1"/>
    <mergeCell ref="VWK1:VWU1"/>
    <mergeCell ref="VWV1:VXF1"/>
    <mergeCell ref="VXG1:VXQ1"/>
    <mergeCell ref="VXR1:VYB1"/>
    <mergeCell ref="VTA1:VTK1"/>
    <mergeCell ref="VTL1:VTV1"/>
    <mergeCell ref="VTW1:VUG1"/>
    <mergeCell ref="VUH1:VUR1"/>
    <mergeCell ref="VUS1:VVC1"/>
    <mergeCell ref="VVD1:VVN1"/>
    <mergeCell ref="WFS1:WGC1"/>
    <mergeCell ref="WGD1:WGN1"/>
    <mergeCell ref="WGO1:WGY1"/>
    <mergeCell ref="WGZ1:WHJ1"/>
    <mergeCell ref="WHK1:WHU1"/>
    <mergeCell ref="WHV1:WIF1"/>
    <mergeCell ref="WDE1:WDO1"/>
    <mergeCell ref="WDP1:WDZ1"/>
    <mergeCell ref="WEA1:WEK1"/>
    <mergeCell ref="WEL1:WEV1"/>
    <mergeCell ref="WEW1:WFG1"/>
    <mergeCell ref="WFH1:WFR1"/>
    <mergeCell ref="WAQ1:WBA1"/>
    <mergeCell ref="WBB1:WBL1"/>
    <mergeCell ref="WBM1:WBW1"/>
    <mergeCell ref="WBX1:WCH1"/>
    <mergeCell ref="WCI1:WCS1"/>
    <mergeCell ref="WCT1:WDD1"/>
    <mergeCell ref="WNI1:WNS1"/>
    <mergeCell ref="WNT1:WOD1"/>
    <mergeCell ref="WOE1:WOO1"/>
    <mergeCell ref="WOP1:WOZ1"/>
    <mergeCell ref="WPA1:WPK1"/>
    <mergeCell ref="WPL1:WPV1"/>
    <mergeCell ref="WKU1:WLE1"/>
    <mergeCell ref="WLF1:WLP1"/>
    <mergeCell ref="WLQ1:WMA1"/>
    <mergeCell ref="WMB1:WML1"/>
    <mergeCell ref="WMM1:WMW1"/>
    <mergeCell ref="WMX1:WNH1"/>
    <mergeCell ref="WIG1:WIQ1"/>
    <mergeCell ref="WIR1:WJB1"/>
    <mergeCell ref="WJC1:WJM1"/>
    <mergeCell ref="WJN1:WJX1"/>
    <mergeCell ref="WJY1:WKI1"/>
    <mergeCell ref="WKJ1:WKT1"/>
    <mergeCell ref="WUY1:WVI1"/>
    <mergeCell ref="WVJ1:WVT1"/>
    <mergeCell ref="WVU1:WWE1"/>
    <mergeCell ref="WWF1:WWP1"/>
    <mergeCell ref="WWQ1:WXA1"/>
    <mergeCell ref="WXB1:WXL1"/>
    <mergeCell ref="WSK1:WSU1"/>
    <mergeCell ref="WSV1:WTF1"/>
    <mergeCell ref="WTG1:WTQ1"/>
    <mergeCell ref="WTR1:WUB1"/>
    <mergeCell ref="WUC1:WUM1"/>
    <mergeCell ref="WUN1:WUX1"/>
    <mergeCell ref="WPW1:WQG1"/>
    <mergeCell ref="WQH1:WQR1"/>
    <mergeCell ref="WQS1:WRC1"/>
    <mergeCell ref="WRD1:WRN1"/>
    <mergeCell ref="WRO1:WRY1"/>
    <mergeCell ref="WRZ1:WSJ1"/>
    <mergeCell ref="XCO1:XCY1"/>
    <mergeCell ref="XCZ1:XDJ1"/>
    <mergeCell ref="XDK1:XDU1"/>
    <mergeCell ref="XDV1:XEF1"/>
    <mergeCell ref="XEG1:XEQ1"/>
    <mergeCell ref="XER1:XEV1"/>
    <mergeCell ref="XAA1:XAK1"/>
    <mergeCell ref="XAL1:XAV1"/>
    <mergeCell ref="XAW1:XBG1"/>
    <mergeCell ref="XBH1:XBR1"/>
    <mergeCell ref="XBS1:XCC1"/>
    <mergeCell ref="XCD1:XCN1"/>
    <mergeCell ref="WXM1:WXW1"/>
    <mergeCell ref="WXX1:WYH1"/>
    <mergeCell ref="WYI1:WYS1"/>
    <mergeCell ref="WYT1:WZD1"/>
    <mergeCell ref="WZE1:WZO1"/>
    <mergeCell ref="WZP1:WZZ1"/>
  </mergeCells>
  <pageMargins left="0.25" right="0.25" top="0.75" bottom="0.7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69"/>
  <sheetViews>
    <sheetView showGridLines="0" view="pageBreakPreview" zoomScaleNormal="100" zoomScaleSheetLayoutView="100" workbookViewId="0">
      <selection activeCell="A46" sqref="A46:D46"/>
    </sheetView>
  </sheetViews>
  <sheetFormatPr defaultColWidth="1.125" defaultRowHeight="20.100000000000001" customHeight="1" x14ac:dyDescent="0.25"/>
  <cols>
    <col min="1" max="1" width="61.5" style="132" customWidth="1"/>
    <col min="2" max="2" width="11.75" style="132" customWidth="1"/>
    <col min="3" max="3" width="5.875" style="132" customWidth="1"/>
    <col min="4" max="4" width="3.875" style="132" customWidth="1"/>
    <col min="5" max="5" width="8.625" style="132" customWidth="1"/>
    <col min="6" max="6" width="11.375" style="132" customWidth="1"/>
    <col min="7" max="16378" width="0" style="132" hidden="1" customWidth="1"/>
    <col min="16379" max="16379" width="0.625" style="132" hidden="1" customWidth="1"/>
    <col min="16380" max="16380" width="0" style="132" hidden="1" customWidth="1"/>
    <col min="16381" max="16384" width="2.375" style="132" hidden="1" customWidth="1"/>
  </cols>
  <sheetData>
    <row r="1" spans="1:16381" s="133" customFormat="1" ht="20.100000000000001" customHeight="1" x14ac:dyDescent="0.25">
      <c r="A1" s="347" t="s">
        <v>798</v>
      </c>
      <c r="B1" s="348"/>
      <c r="C1" s="348"/>
      <c r="D1" s="348"/>
      <c r="E1" s="348"/>
      <c r="F1" s="348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536"/>
      <c r="BZ1" s="536"/>
      <c r="CA1" s="536"/>
      <c r="CB1" s="536"/>
      <c r="CC1" s="536"/>
      <c r="CD1" s="536"/>
      <c r="CE1" s="536"/>
      <c r="CF1" s="536"/>
      <c r="CG1" s="536"/>
      <c r="CH1" s="536"/>
      <c r="CI1" s="536"/>
      <c r="CJ1" s="536"/>
      <c r="CK1" s="536"/>
      <c r="CL1" s="536"/>
      <c r="CM1" s="536"/>
      <c r="CN1" s="536"/>
      <c r="CO1" s="536"/>
      <c r="CP1" s="536"/>
      <c r="CQ1" s="536"/>
      <c r="CR1" s="536"/>
      <c r="CS1" s="536"/>
      <c r="CT1" s="536"/>
      <c r="CU1" s="536"/>
      <c r="CV1" s="536"/>
      <c r="CW1" s="536"/>
      <c r="CX1" s="536"/>
      <c r="CY1" s="536"/>
      <c r="CZ1" s="536"/>
      <c r="DA1" s="536"/>
      <c r="DB1" s="536"/>
      <c r="DC1" s="536"/>
      <c r="DD1" s="536"/>
      <c r="DE1" s="536"/>
      <c r="DF1" s="536"/>
      <c r="DG1" s="536"/>
      <c r="DH1" s="536"/>
      <c r="DI1" s="536"/>
      <c r="DJ1" s="536"/>
      <c r="DK1" s="536"/>
      <c r="DL1" s="536"/>
      <c r="DM1" s="536"/>
      <c r="DN1" s="536"/>
      <c r="DO1" s="536"/>
      <c r="DP1" s="536"/>
      <c r="DQ1" s="536"/>
      <c r="DR1" s="536"/>
      <c r="DS1" s="536"/>
      <c r="DT1" s="536"/>
      <c r="DU1" s="536"/>
      <c r="DV1" s="536"/>
      <c r="DW1" s="536"/>
      <c r="DX1" s="536"/>
      <c r="DY1" s="536"/>
      <c r="DZ1" s="536"/>
      <c r="EA1" s="536"/>
      <c r="EB1" s="536"/>
      <c r="EC1" s="536"/>
      <c r="ED1" s="536"/>
      <c r="EE1" s="536"/>
      <c r="EF1" s="536"/>
      <c r="EG1" s="536"/>
      <c r="EH1" s="536"/>
      <c r="EI1" s="536"/>
      <c r="EJ1" s="536"/>
      <c r="EK1" s="536"/>
      <c r="EL1" s="536"/>
      <c r="EM1" s="536"/>
      <c r="EN1" s="536"/>
      <c r="EO1" s="536"/>
      <c r="EP1" s="536"/>
      <c r="EQ1" s="536"/>
      <c r="ER1" s="536"/>
      <c r="ES1" s="536"/>
      <c r="ET1" s="536"/>
      <c r="EU1" s="536"/>
      <c r="EV1" s="536"/>
      <c r="EW1" s="536"/>
      <c r="EX1" s="536"/>
      <c r="EY1" s="536"/>
      <c r="EZ1" s="536"/>
      <c r="FA1" s="536"/>
      <c r="FB1" s="536"/>
      <c r="FC1" s="536"/>
      <c r="FD1" s="536"/>
      <c r="FE1" s="536"/>
      <c r="FF1" s="536"/>
      <c r="FG1" s="536"/>
      <c r="FH1" s="536"/>
      <c r="FI1" s="536"/>
      <c r="FJ1" s="536"/>
      <c r="FK1" s="536"/>
      <c r="FL1" s="536"/>
      <c r="FM1" s="536"/>
      <c r="FN1" s="536"/>
      <c r="FO1" s="536"/>
      <c r="FP1" s="536"/>
      <c r="FQ1" s="536"/>
      <c r="FR1" s="536"/>
      <c r="FS1" s="536"/>
      <c r="FT1" s="536"/>
      <c r="FU1" s="536"/>
      <c r="FV1" s="536"/>
      <c r="FW1" s="536"/>
      <c r="FX1" s="536"/>
      <c r="FY1" s="536"/>
      <c r="FZ1" s="536"/>
      <c r="GA1" s="536"/>
      <c r="GB1" s="536"/>
      <c r="GC1" s="536"/>
      <c r="GD1" s="536"/>
      <c r="GE1" s="536"/>
      <c r="GF1" s="536"/>
      <c r="GG1" s="536"/>
      <c r="GH1" s="536"/>
      <c r="GI1" s="536"/>
      <c r="GJ1" s="536"/>
      <c r="GK1" s="536"/>
      <c r="GL1" s="536"/>
      <c r="GM1" s="536"/>
      <c r="GN1" s="536"/>
      <c r="GO1" s="536"/>
      <c r="GP1" s="536"/>
      <c r="GQ1" s="536"/>
      <c r="GR1" s="536"/>
      <c r="GS1" s="536"/>
      <c r="GT1" s="536"/>
      <c r="GU1" s="536"/>
      <c r="GV1" s="536"/>
      <c r="GW1" s="536"/>
      <c r="GX1" s="536"/>
      <c r="GY1" s="536"/>
      <c r="GZ1" s="536"/>
      <c r="HA1" s="536"/>
      <c r="HB1" s="536"/>
      <c r="HC1" s="536"/>
      <c r="HD1" s="536"/>
      <c r="HE1" s="536"/>
      <c r="HF1" s="536"/>
      <c r="HG1" s="536"/>
      <c r="HH1" s="536"/>
      <c r="HI1" s="536"/>
      <c r="HJ1" s="536"/>
      <c r="HK1" s="536"/>
      <c r="HL1" s="536"/>
      <c r="HM1" s="536"/>
      <c r="HN1" s="536"/>
      <c r="HO1" s="536"/>
      <c r="HP1" s="536"/>
      <c r="HQ1" s="536"/>
      <c r="HR1" s="536"/>
      <c r="HS1" s="536"/>
      <c r="HT1" s="536"/>
      <c r="HU1" s="536"/>
      <c r="HV1" s="536"/>
      <c r="HW1" s="536"/>
      <c r="HX1" s="536"/>
      <c r="HY1" s="536"/>
      <c r="HZ1" s="536"/>
      <c r="IA1" s="536"/>
      <c r="IB1" s="536"/>
      <c r="IC1" s="536"/>
      <c r="ID1" s="536"/>
      <c r="IE1" s="536"/>
      <c r="IF1" s="536"/>
      <c r="IG1" s="536"/>
      <c r="IH1" s="536"/>
      <c r="II1" s="536"/>
      <c r="IJ1" s="536"/>
      <c r="IK1" s="536"/>
      <c r="IL1" s="536"/>
      <c r="IM1" s="536"/>
      <c r="IN1" s="536"/>
      <c r="IO1" s="536"/>
      <c r="IP1" s="536"/>
      <c r="IQ1" s="536"/>
      <c r="IR1" s="536"/>
      <c r="IS1" s="536"/>
      <c r="IT1" s="536"/>
      <c r="IU1" s="536"/>
      <c r="IV1" s="536"/>
      <c r="IW1" s="536"/>
      <c r="IX1" s="536"/>
      <c r="IY1" s="536"/>
      <c r="IZ1" s="536"/>
      <c r="JA1" s="536"/>
      <c r="JB1" s="536"/>
      <c r="JC1" s="536"/>
      <c r="JD1" s="536"/>
      <c r="JE1" s="536"/>
      <c r="JF1" s="536"/>
      <c r="JG1" s="536"/>
      <c r="JH1" s="536"/>
      <c r="JI1" s="536"/>
      <c r="JJ1" s="536"/>
      <c r="JK1" s="536"/>
      <c r="JL1" s="536"/>
      <c r="JM1" s="536"/>
      <c r="JN1" s="536"/>
      <c r="JO1" s="536"/>
      <c r="JP1" s="536"/>
      <c r="JQ1" s="536"/>
      <c r="JR1" s="536"/>
      <c r="JS1" s="536"/>
      <c r="JT1" s="536"/>
      <c r="JU1" s="536"/>
      <c r="JV1" s="536"/>
      <c r="JW1" s="536"/>
      <c r="JX1" s="536"/>
      <c r="JY1" s="536"/>
      <c r="JZ1" s="536"/>
      <c r="KA1" s="536"/>
      <c r="KB1" s="536"/>
      <c r="KC1" s="536"/>
      <c r="KD1" s="536"/>
      <c r="KE1" s="536"/>
      <c r="KF1" s="536"/>
      <c r="KG1" s="536"/>
      <c r="KH1" s="536"/>
      <c r="KI1" s="536"/>
      <c r="KJ1" s="536"/>
      <c r="KK1" s="536"/>
      <c r="KL1" s="536"/>
      <c r="KM1" s="536"/>
      <c r="KN1" s="536"/>
      <c r="KO1" s="536"/>
      <c r="KP1" s="536"/>
      <c r="KQ1" s="536"/>
      <c r="KR1" s="536"/>
      <c r="KS1" s="536"/>
      <c r="KT1" s="536"/>
      <c r="KU1" s="536"/>
      <c r="KV1" s="536"/>
      <c r="KW1" s="536"/>
      <c r="KX1" s="536"/>
      <c r="KY1" s="536"/>
      <c r="KZ1" s="536"/>
      <c r="LA1" s="536"/>
      <c r="LB1" s="536"/>
      <c r="LC1" s="536"/>
      <c r="LD1" s="536"/>
      <c r="LE1" s="536"/>
      <c r="LF1" s="536"/>
      <c r="LG1" s="536"/>
      <c r="LH1" s="536"/>
      <c r="LI1" s="536"/>
      <c r="LJ1" s="536"/>
      <c r="LK1" s="536"/>
      <c r="LL1" s="536"/>
      <c r="LM1" s="536"/>
      <c r="LN1" s="536"/>
      <c r="LO1" s="536"/>
      <c r="LP1" s="536"/>
      <c r="LQ1" s="536"/>
      <c r="LR1" s="536"/>
      <c r="LS1" s="536"/>
      <c r="LT1" s="536"/>
      <c r="LU1" s="536"/>
      <c r="LV1" s="536"/>
      <c r="LW1" s="536"/>
      <c r="LX1" s="536"/>
      <c r="LY1" s="536"/>
      <c r="LZ1" s="536"/>
      <c r="MA1" s="536"/>
      <c r="MB1" s="536"/>
      <c r="MC1" s="536"/>
      <c r="MD1" s="536"/>
      <c r="ME1" s="536"/>
      <c r="MF1" s="536"/>
      <c r="MG1" s="536"/>
      <c r="MH1" s="536"/>
      <c r="MI1" s="536"/>
      <c r="MJ1" s="536"/>
      <c r="MK1" s="536"/>
      <c r="ML1" s="536"/>
      <c r="MM1" s="536"/>
      <c r="MN1" s="536"/>
      <c r="MO1" s="536"/>
      <c r="MP1" s="536"/>
      <c r="MQ1" s="536"/>
      <c r="MR1" s="536"/>
      <c r="MS1" s="536"/>
      <c r="MT1" s="536"/>
      <c r="MU1" s="536"/>
      <c r="MV1" s="536"/>
      <c r="MW1" s="536"/>
      <c r="MX1" s="536"/>
      <c r="MY1" s="536"/>
      <c r="MZ1" s="536"/>
      <c r="NA1" s="536"/>
      <c r="NB1" s="536"/>
      <c r="NC1" s="536"/>
      <c r="ND1" s="536"/>
      <c r="NE1" s="536"/>
      <c r="NF1" s="536"/>
      <c r="NG1" s="536"/>
      <c r="NH1" s="536"/>
      <c r="NI1" s="536"/>
      <c r="NJ1" s="536"/>
      <c r="NK1" s="536"/>
      <c r="NL1" s="536"/>
      <c r="NM1" s="536"/>
      <c r="NN1" s="536"/>
      <c r="NO1" s="536"/>
      <c r="NP1" s="536"/>
      <c r="NQ1" s="536"/>
      <c r="NR1" s="536"/>
      <c r="NS1" s="536"/>
      <c r="NT1" s="536"/>
      <c r="NU1" s="536"/>
      <c r="NV1" s="536"/>
      <c r="NW1" s="536"/>
      <c r="NX1" s="536"/>
      <c r="NY1" s="536"/>
      <c r="NZ1" s="536"/>
      <c r="OA1" s="536"/>
      <c r="OB1" s="536"/>
      <c r="OC1" s="536"/>
      <c r="OD1" s="536"/>
      <c r="OE1" s="536"/>
      <c r="OF1" s="536"/>
      <c r="OG1" s="536"/>
      <c r="OH1" s="536"/>
      <c r="OI1" s="536"/>
      <c r="OJ1" s="536"/>
      <c r="OK1" s="536"/>
      <c r="OL1" s="536"/>
      <c r="OM1" s="536"/>
      <c r="ON1" s="536"/>
      <c r="OO1" s="536"/>
      <c r="OP1" s="536"/>
      <c r="OQ1" s="536"/>
      <c r="OR1" s="536"/>
      <c r="OS1" s="536"/>
      <c r="OT1" s="536"/>
      <c r="OU1" s="536"/>
      <c r="OV1" s="536"/>
      <c r="OW1" s="536"/>
      <c r="OX1" s="536"/>
      <c r="OY1" s="536"/>
      <c r="OZ1" s="536"/>
      <c r="PA1" s="536"/>
      <c r="PB1" s="536"/>
      <c r="PC1" s="536"/>
      <c r="PD1" s="536"/>
      <c r="PE1" s="536"/>
      <c r="PF1" s="536"/>
      <c r="PG1" s="536"/>
      <c r="PH1" s="536"/>
      <c r="PI1" s="536"/>
      <c r="PJ1" s="536"/>
      <c r="PK1" s="536"/>
      <c r="PL1" s="536"/>
      <c r="PM1" s="536"/>
      <c r="PN1" s="536"/>
      <c r="PO1" s="536"/>
      <c r="PP1" s="536"/>
      <c r="PQ1" s="536"/>
      <c r="PR1" s="536"/>
      <c r="PS1" s="536"/>
      <c r="PT1" s="536"/>
      <c r="PU1" s="536"/>
      <c r="PV1" s="536"/>
      <c r="PW1" s="536"/>
      <c r="PX1" s="536"/>
      <c r="PY1" s="536"/>
      <c r="PZ1" s="536"/>
      <c r="QA1" s="536"/>
      <c r="QB1" s="536"/>
      <c r="QC1" s="536"/>
      <c r="QD1" s="536"/>
      <c r="QE1" s="536"/>
      <c r="QF1" s="536"/>
      <c r="QG1" s="536"/>
      <c r="QH1" s="536"/>
      <c r="QI1" s="536"/>
      <c r="QJ1" s="536"/>
      <c r="QK1" s="536"/>
      <c r="QL1" s="536"/>
      <c r="QM1" s="536"/>
      <c r="QN1" s="536"/>
      <c r="QO1" s="536"/>
      <c r="QP1" s="536"/>
      <c r="QQ1" s="536"/>
      <c r="QR1" s="536"/>
      <c r="QS1" s="536"/>
      <c r="QT1" s="536"/>
      <c r="QU1" s="536"/>
      <c r="QV1" s="536"/>
      <c r="QW1" s="536"/>
      <c r="QX1" s="536"/>
      <c r="QY1" s="536"/>
      <c r="QZ1" s="536"/>
      <c r="RA1" s="536"/>
      <c r="RB1" s="536"/>
      <c r="RC1" s="536"/>
      <c r="RD1" s="536"/>
      <c r="RE1" s="536"/>
      <c r="RF1" s="536"/>
      <c r="RG1" s="536"/>
      <c r="RH1" s="536"/>
      <c r="RI1" s="536"/>
      <c r="RJ1" s="536"/>
      <c r="RK1" s="536"/>
      <c r="RL1" s="536"/>
      <c r="RM1" s="536"/>
      <c r="RN1" s="536"/>
      <c r="RO1" s="536"/>
      <c r="RP1" s="536"/>
      <c r="RQ1" s="536"/>
      <c r="RR1" s="536"/>
      <c r="RS1" s="536"/>
      <c r="RT1" s="536"/>
      <c r="RU1" s="536"/>
      <c r="RV1" s="536"/>
      <c r="RW1" s="536"/>
      <c r="RX1" s="536"/>
      <c r="RY1" s="536"/>
      <c r="RZ1" s="536"/>
      <c r="SA1" s="536"/>
      <c r="SB1" s="536"/>
      <c r="SC1" s="536"/>
      <c r="SD1" s="536"/>
      <c r="SE1" s="536"/>
      <c r="SF1" s="536"/>
      <c r="SG1" s="536"/>
      <c r="SH1" s="536"/>
      <c r="SI1" s="536"/>
      <c r="SJ1" s="536"/>
      <c r="SK1" s="536"/>
      <c r="SL1" s="536"/>
      <c r="SM1" s="536"/>
      <c r="SN1" s="536"/>
      <c r="SO1" s="536"/>
      <c r="SP1" s="536"/>
      <c r="SQ1" s="536"/>
      <c r="SR1" s="536"/>
      <c r="SS1" s="536"/>
      <c r="ST1" s="536"/>
      <c r="SU1" s="536"/>
      <c r="SV1" s="536"/>
      <c r="SW1" s="536"/>
      <c r="SX1" s="536"/>
      <c r="SY1" s="536"/>
      <c r="SZ1" s="536"/>
      <c r="TA1" s="536"/>
      <c r="TB1" s="536"/>
      <c r="TC1" s="536"/>
      <c r="TD1" s="536"/>
      <c r="TE1" s="536"/>
      <c r="TF1" s="536"/>
      <c r="TG1" s="536"/>
      <c r="TH1" s="536"/>
      <c r="TI1" s="536"/>
      <c r="TJ1" s="536"/>
      <c r="TK1" s="536"/>
      <c r="TL1" s="536"/>
      <c r="TM1" s="536"/>
      <c r="TN1" s="536"/>
      <c r="TO1" s="536"/>
      <c r="TP1" s="536"/>
      <c r="TQ1" s="536"/>
      <c r="TR1" s="536"/>
      <c r="TS1" s="536"/>
      <c r="TT1" s="536"/>
      <c r="TU1" s="536"/>
      <c r="TV1" s="536"/>
      <c r="TW1" s="536"/>
      <c r="TX1" s="536"/>
      <c r="TY1" s="536"/>
      <c r="TZ1" s="536"/>
      <c r="UA1" s="536"/>
      <c r="UB1" s="536"/>
      <c r="UC1" s="536"/>
      <c r="UD1" s="536"/>
      <c r="UE1" s="536"/>
      <c r="UF1" s="536"/>
      <c r="UG1" s="536"/>
      <c r="UH1" s="536"/>
      <c r="UI1" s="536"/>
      <c r="UJ1" s="536"/>
      <c r="UK1" s="536"/>
      <c r="UL1" s="536"/>
      <c r="UM1" s="536"/>
      <c r="UN1" s="536"/>
      <c r="UO1" s="536"/>
      <c r="UP1" s="536"/>
      <c r="UQ1" s="536"/>
      <c r="UR1" s="536"/>
      <c r="US1" s="536"/>
      <c r="UT1" s="536"/>
      <c r="UU1" s="536"/>
      <c r="UV1" s="536"/>
      <c r="UW1" s="536"/>
      <c r="UX1" s="536"/>
      <c r="UY1" s="536"/>
      <c r="UZ1" s="536"/>
      <c r="VA1" s="536"/>
      <c r="VB1" s="536"/>
      <c r="VC1" s="536"/>
      <c r="VD1" s="536"/>
      <c r="VE1" s="536"/>
      <c r="VF1" s="536"/>
      <c r="VG1" s="536"/>
      <c r="VH1" s="536"/>
      <c r="VI1" s="536"/>
      <c r="VJ1" s="536"/>
      <c r="VK1" s="536"/>
      <c r="VL1" s="536"/>
      <c r="VM1" s="536"/>
      <c r="VN1" s="536"/>
      <c r="VO1" s="536"/>
      <c r="VP1" s="536"/>
      <c r="VQ1" s="536"/>
      <c r="VR1" s="536"/>
      <c r="VS1" s="536"/>
      <c r="VT1" s="536"/>
      <c r="VU1" s="536"/>
      <c r="VV1" s="536"/>
      <c r="VW1" s="536"/>
      <c r="VX1" s="536"/>
      <c r="VY1" s="536"/>
      <c r="VZ1" s="536"/>
      <c r="WA1" s="536"/>
      <c r="WB1" s="536"/>
      <c r="WC1" s="536"/>
      <c r="WD1" s="536"/>
      <c r="WE1" s="536"/>
      <c r="WF1" s="536"/>
      <c r="WG1" s="536"/>
      <c r="WH1" s="536"/>
      <c r="WI1" s="536"/>
      <c r="WJ1" s="536"/>
      <c r="WK1" s="536"/>
      <c r="WL1" s="536"/>
      <c r="WM1" s="536"/>
      <c r="WN1" s="536"/>
      <c r="WO1" s="536"/>
      <c r="WP1" s="536"/>
      <c r="WQ1" s="536"/>
      <c r="WR1" s="536"/>
      <c r="WS1" s="536"/>
      <c r="WT1" s="536"/>
      <c r="WU1" s="536"/>
      <c r="WV1" s="536"/>
      <c r="WW1" s="536"/>
      <c r="WX1" s="536"/>
      <c r="WY1" s="536"/>
      <c r="WZ1" s="536"/>
      <c r="XA1" s="536"/>
      <c r="XB1" s="536"/>
      <c r="XC1" s="536"/>
      <c r="XD1" s="536"/>
      <c r="XE1" s="536"/>
      <c r="XF1" s="536"/>
      <c r="XG1" s="536"/>
      <c r="XH1" s="536"/>
      <c r="XI1" s="536"/>
      <c r="XJ1" s="536"/>
      <c r="XK1" s="536"/>
      <c r="XL1" s="536"/>
      <c r="XM1" s="536"/>
      <c r="XN1" s="536"/>
      <c r="XO1" s="536"/>
      <c r="XP1" s="536"/>
      <c r="XQ1" s="536"/>
      <c r="XR1" s="536"/>
      <c r="XS1" s="536"/>
      <c r="XT1" s="536"/>
      <c r="XU1" s="536"/>
      <c r="XV1" s="536"/>
      <c r="XW1" s="536"/>
      <c r="XX1" s="536"/>
      <c r="XY1" s="536"/>
      <c r="XZ1" s="536"/>
      <c r="YA1" s="536"/>
      <c r="YB1" s="536"/>
      <c r="YC1" s="536"/>
      <c r="YD1" s="536"/>
      <c r="YE1" s="536"/>
      <c r="YF1" s="536"/>
      <c r="YG1" s="536"/>
      <c r="YH1" s="536"/>
      <c r="YI1" s="536"/>
      <c r="YJ1" s="536"/>
      <c r="YK1" s="536"/>
      <c r="YL1" s="536"/>
      <c r="YM1" s="536"/>
      <c r="YN1" s="536"/>
      <c r="YO1" s="536"/>
      <c r="YP1" s="536"/>
      <c r="YQ1" s="536"/>
      <c r="YR1" s="536"/>
      <c r="YS1" s="536"/>
      <c r="YT1" s="536"/>
      <c r="YU1" s="536"/>
      <c r="YV1" s="536"/>
      <c r="YW1" s="536"/>
      <c r="YX1" s="536"/>
      <c r="YY1" s="536"/>
      <c r="YZ1" s="536"/>
      <c r="ZA1" s="536"/>
      <c r="ZB1" s="536"/>
      <c r="ZC1" s="536"/>
      <c r="ZD1" s="536"/>
      <c r="ZE1" s="536"/>
      <c r="ZF1" s="536"/>
      <c r="ZG1" s="536"/>
      <c r="ZH1" s="536"/>
      <c r="ZI1" s="536"/>
      <c r="ZJ1" s="536"/>
      <c r="ZK1" s="536"/>
      <c r="ZL1" s="536"/>
      <c r="ZM1" s="536"/>
      <c r="ZN1" s="536"/>
      <c r="ZO1" s="536"/>
      <c r="ZP1" s="536"/>
      <c r="ZQ1" s="536"/>
      <c r="ZR1" s="536"/>
      <c r="ZS1" s="536"/>
      <c r="ZT1" s="536"/>
      <c r="ZU1" s="536"/>
      <c r="ZV1" s="536"/>
      <c r="ZW1" s="536"/>
      <c r="ZX1" s="536"/>
      <c r="ZY1" s="536"/>
      <c r="ZZ1" s="536"/>
      <c r="AAA1" s="536"/>
      <c r="AAB1" s="536"/>
      <c r="AAC1" s="536"/>
      <c r="AAD1" s="536"/>
      <c r="AAE1" s="536"/>
      <c r="AAF1" s="536"/>
      <c r="AAG1" s="536"/>
      <c r="AAH1" s="536"/>
      <c r="AAI1" s="536"/>
      <c r="AAJ1" s="536"/>
      <c r="AAK1" s="536"/>
      <c r="AAL1" s="536"/>
      <c r="AAM1" s="536"/>
      <c r="AAN1" s="536"/>
      <c r="AAO1" s="536"/>
      <c r="AAP1" s="536"/>
      <c r="AAQ1" s="536"/>
      <c r="AAR1" s="536"/>
      <c r="AAS1" s="536"/>
      <c r="AAT1" s="536"/>
      <c r="AAU1" s="536"/>
      <c r="AAV1" s="536"/>
      <c r="AAW1" s="536"/>
      <c r="AAX1" s="536"/>
      <c r="AAY1" s="536"/>
      <c r="AAZ1" s="536"/>
      <c r="ABA1" s="536"/>
      <c r="ABB1" s="536"/>
      <c r="ABC1" s="536"/>
      <c r="ABD1" s="536"/>
      <c r="ABE1" s="536"/>
      <c r="ABF1" s="536"/>
      <c r="ABG1" s="536"/>
      <c r="ABH1" s="536"/>
      <c r="ABI1" s="536"/>
      <c r="ABJ1" s="536"/>
      <c r="ABK1" s="536"/>
      <c r="ABL1" s="536"/>
      <c r="ABM1" s="536"/>
      <c r="ABN1" s="536"/>
      <c r="ABO1" s="536"/>
      <c r="ABP1" s="536"/>
      <c r="ABQ1" s="536"/>
      <c r="ABR1" s="536"/>
      <c r="ABS1" s="536"/>
      <c r="ABT1" s="536"/>
      <c r="ABU1" s="536"/>
      <c r="ABV1" s="536"/>
      <c r="ABW1" s="536"/>
      <c r="ABX1" s="536"/>
      <c r="ABY1" s="536"/>
      <c r="ABZ1" s="536"/>
      <c r="ACA1" s="536"/>
      <c r="ACB1" s="536"/>
      <c r="ACC1" s="536"/>
      <c r="ACD1" s="536"/>
      <c r="ACE1" s="536"/>
      <c r="ACF1" s="536"/>
      <c r="ACG1" s="536"/>
      <c r="ACH1" s="536"/>
      <c r="ACI1" s="536"/>
      <c r="ACJ1" s="536"/>
      <c r="ACK1" s="536"/>
      <c r="ACL1" s="536"/>
      <c r="ACM1" s="536"/>
      <c r="ACN1" s="536"/>
      <c r="ACO1" s="536"/>
      <c r="ACP1" s="536"/>
      <c r="ACQ1" s="536"/>
      <c r="ACR1" s="536"/>
      <c r="ACS1" s="536"/>
      <c r="ACT1" s="536"/>
      <c r="ACU1" s="536"/>
      <c r="ACV1" s="536"/>
      <c r="ACW1" s="536"/>
      <c r="ACX1" s="536"/>
      <c r="ACY1" s="536"/>
      <c r="ACZ1" s="536"/>
      <c r="ADA1" s="536"/>
      <c r="ADB1" s="536"/>
      <c r="ADC1" s="536"/>
      <c r="ADD1" s="536"/>
      <c r="ADE1" s="536"/>
      <c r="ADF1" s="536"/>
      <c r="ADG1" s="536"/>
      <c r="ADH1" s="536"/>
      <c r="ADI1" s="536"/>
      <c r="ADJ1" s="536"/>
      <c r="ADK1" s="536"/>
      <c r="ADL1" s="536"/>
      <c r="ADM1" s="536"/>
      <c r="ADN1" s="536"/>
      <c r="ADO1" s="536"/>
      <c r="ADP1" s="536"/>
      <c r="ADQ1" s="536"/>
      <c r="ADR1" s="536"/>
      <c r="ADS1" s="536"/>
      <c r="ADT1" s="536"/>
      <c r="ADU1" s="536"/>
      <c r="ADV1" s="536"/>
      <c r="ADW1" s="536"/>
      <c r="ADX1" s="536"/>
      <c r="ADY1" s="536"/>
      <c r="ADZ1" s="536"/>
      <c r="AEA1" s="536"/>
      <c r="AEB1" s="536"/>
      <c r="AEC1" s="536"/>
      <c r="AED1" s="536"/>
      <c r="AEE1" s="536"/>
      <c r="AEF1" s="536"/>
      <c r="AEG1" s="536"/>
      <c r="AEH1" s="536"/>
      <c r="AEI1" s="536"/>
      <c r="AEJ1" s="536"/>
      <c r="AEK1" s="536"/>
      <c r="AEL1" s="536"/>
      <c r="AEM1" s="536"/>
      <c r="AEN1" s="536"/>
      <c r="AEO1" s="536"/>
      <c r="AEP1" s="536"/>
      <c r="AEQ1" s="536"/>
      <c r="AER1" s="536"/>
      <c r="AES1" s="536"/>
      <c r="AET1" s="536"/>
      <c r="AEU1" s="536"/>
      <c r="AEV1" s="536"/>
      <c r="AEW1" s="536"/>
      <c r="AEX1" s="536"/>
      <c r="AEY1" s="536"/>
      <c r="AEZ1" s="536"/>
      <c r="AFA1" s="536"/>
      <c r="AFB1" s="536"/>
      <c r="AFC1" s="536"/>
      <c r="AFD1" s="536"/>
      <c r="AFE1" s="536"/>
      <c r="AFF1" s="536"/>
      <c r="AFG1" s="536"/>
      <c r="AFH1" s="536"/>
      <c r="AFI1" s="536"/>
      <c r="AFJ1" s="536"/>
      <c r="AFK1" s="536"/>
      <c r="AFL1" s="536"/>
      <c r="AFM1" s="536"/>
      <c r="AFN1" s="536"/>
      <c r="AFO1" s="536"/>
      <c r="AFP1" s="536"/>
      <c r="AFQ1" s="536"/>
      <c r="AFR1" s="536"/>
      <c r="AFS1" s="536"/>
      <c r="AFT1" s="536"/>
      <c r="AFU1" s="536"/>
      <c r="AFV1" s="536"/>
      <c r="AFW1" s="536"/>
      <c r="AFX1" s="536"/>
      <c r="AFY1" s="536"/>
      <c r="AFZ1" s="536"/>
      <c r="AGA1" s="536"/>
      <c r="AGB1" s="536"/>
      <c r="AGC1" s="536"/>
      <c r="AGD1" s="536"/>
      <c r="AGE1" s="536"/>
      <c r="AGF1" s="536"/>
      <c r="AGG1" s="536"/>
      <c r="AGH1" s="536"/>
      <c r="AGI1" s="536"/>
      <c r="AGJ1" s="536"/>
      <c r="AGK1" s="536"/>
      <c r="AGL1" s="536"/>
      <c r="AGM1" s="536"/>
      <c r="AGN1" s="536"/>
      <c r="AGO1" s="536"/>
      <c r="AGP1" s="536"/>
      <c r="AGQ1" s="536"/>
      <c r="AGR1" s="536"/>
      <c r="AGS1" s="536"/>
      <c r="AGT1" s="536"/>
      <c r="AGU1" s="536"/>
      <c r="AGV1" s="536"/>
      <c r="AGW1" s="536"/>
      <c r="AGX1" s="536"/>
      <c r="AGY1" s="536"/>
      <c r="AGZ1" s="536"/>
      <c r="AHA1" s="536"/>
      <c r="AHB1" s="536"/>
      <c r="AHC1" s="536"/>
      <c r="AHD1" s="536"/>
      <c r="AHE1" s="536"/>
      <c r="AHF1" s="536"/>
      <c r="AHG1" s="536"/>
      <c r="AHH1" s="536"/>
      <c r="AHI1" s="536"/>
      <c r="AHJ1" s="536"/>
      <c r="AHK1" s="536"/>
      <c r="AHL1" s="536"/>
      <c r="AHM1" s="536"/>
      <c r="AHN1" s="536"/>
      <c r="AHO1" s="536"/>
      <c r="AHP1" s="536"/>
      <c r="AHQ1" s="536"/>
      <c r="AHR1" s="536"/>
      <c r="AHS1" s="536"/>
      <c r="AHT1" s="536"/>
      <c r="AHU1" s="536"/>
      <c r="AHV1" s="536"/>
      <c r="AHW1" s="536"/>
      <c r="AHX1" s="536"/>
      <c r="AHY1" s="536"/>
      <c r="AHZ1" s="536"/>
      <c r="AIA1" s="536"/>
      <c r="AIB1" s="536"/>
      <c r="AIC1" s="536"/>
      <c r="AID1" s="536"/>
      <c r="AIE1" s="536"/>
      <c r="AIF1" s="536"/>
      <c r="AIG1" s="536"/>
      <c r="AIH1" s="536"/>
      <c r="AII1" s="536"/>
      <c r="AIJ1" s="536"/>
      <c r="AIK1" s="536"/>
      <c r="AIL1" s="536"/>
      <c r="AIM1" s="536"/>
      <c r="AIN1" s="536"/>
      <c r="AIO1" s="536"/>
      <c r="AIP1" s="536"/>
      <c r="AIQ1" s="536"/>
      <c r="AIR1" s="536"/>
      <c r="AIS1" s="536"/>
      <c r="AIT1" s="536"/>
      <c r="AIU1" s="536"/>
      <c r="AIV1" s="536"/>
      <c r="AIW1" s="536"/>
      <c r="AIX1" s="536"/>
      <c r="AIY1" s="536"/>
      <c r="AIZ1" s="536"/>
      <c r="AJA1" s="536"/>
      <c r="AJB1" s="536"/>
      <c r="AJC1" s="536"/>
      <c r="AJD1" s="536"/>
      <c r="AJE1" s="536"/>
      <c r="AJF1" s="536"/>
      <c r="AJG1" s="536"/>
      <c r="AJH1" s="536"/>
      <c r="AJI1" s="536"/>
      <c r="AJJ1" s="536"/>
      <c r="AJK1" s="536"/>
      <c r="AJL1" s="536"/>
      <c r="AJM1" s="536"/>
      <c r="AJN1" s="536"/>
      <c r="AJO1" s="536"/>
      <c r="AJP1" s="536"/>
      <c r="AJQ1" s="536"/>
      <c r="AJR1" s="536"/>
      <c r="AJS1" s="536"/>
      <c r="AJT1" s="536"/>
      <c r="AJU1" s="536"/>
      <c r="AJV1" s="536"/>
      <c r="AJW1" s="536"/>
      <c r="AJX1" s="536"/>
      <c r="AJY1" s="536"/>
      <c r="AJZ1" s="536"/>
      <c r="AKA1" s="536"/>
      <c r="AKB1" s="536"/>
      <c r="AKC1" s="536"/>
      <c r="AKD1" s="536"/>
      <c r="AKE1" s="536"/>
      <c r="AKF1" s="536"/>
      <c r="AKG1" s="536"/>
      <c r="AKH1" s="536"/>
      <c r="AKI1" s="536"/>
      <c r="AKJ1" s="536"/>
      <c r="AKK1" s="536"/>
      <c r="AKL1" s="536"/>
      <c r="AKM1" s="536"/>
      <c r="AKN1" s="536"/>
      <c r="AKO1" s="536"/>
      <c r="AKP1" s="536"/>
      <c r="AKQ1" s="536"/>
      <c r="AKR1" s="536"/>
      <c r="AKS1" s="536"/>
      <c r="AKT1" s="536"/>
      <c r="AKU1" s="536"/>
      <c r="AKV1" s="536"/>
      <c r="AKW1" s="536"/>
      <c r="AKX1" s="536"/>
      <c r="AKY1" s="536"/>
      <c r="AKZ1" s="536"/>
      <c r="ALA1" s="536"/>
      <c r="ALB1" s="536"/>
      <c r="ALC1" s="536"/>
      <c r="ALD1" s="536"/>
      <c r="ALE1" s="536"/>
      <c r="ALF1" s="536"/>
      <c r="ALG1" s="536"/>
      <c r="ALH1" s="536"/>
      <c r="ALI1" s="536"/>
      <c r="ALJ1" s="536"/>
      <c r="ALK1" s="536"/>
      <c r="ALL1" s="536"/>
      <c r="ALM1" s="536"/>
      <c r="ALN1" s="536"/>
      <c r="ALO1" s="536"/>
      <c r="ALP1" s="536"/>
      <c r="ALQ1" s="536"/>
      <c r="ALR1" s="536"/>
      <c r="ALS1" s="536"/>
      <c r="ALT1" s="536"/>
      <c r="ALU1" s="536"/>
      <c r="ALV1" s="536"/>
      <c r="ALW1" s="536"/>
      <c r="ALX1" s="536"/>
      <c r="ALY1" s="536"/>
      <c r="ALZ1" s="536"/>
      <c r="AMA1" s="536"/>
      <c r="AMB1" s="536"/>
      <c r="AMC1" s="536"/>
      <c r="AMD1" s="536"/>
      <c r="AME1" s="536"/>
      <c r="AMF1" s="536"/>
      <c r="AMG1" s="536"/>
      <c r="AMH1" s="536"/>
      <c r="AMI1" s="536"/>
      <c r="AMJ1" s="536"/>
      <c r="AMK1" s="536"/>
      <c r="AML1" s="536"/>
      <c r="AMM1" s="536"/>
      <c r="AMN1" s="536"/>
      <c r="AMO1" s="536"/>
      <c r="AMP1" s="536"/>
      <c r="AMQ1" s="536"/>
      <c r="AMR1" s="536"/>
      <c r="AMS1" s="536"/>
      <c r="AMT1" s="536"/>
      <c r="AMU1" s="536"/>
      <c r="AMV1" s="536"/>
      <c r="AMW1" s="536"/>
      <c r="AMX1" s="536"/>
      <c r="AMY1" s="536"/>
      <c r="AMZ1" s="536"/>
      <c r="ANA1" s="536"/>
      <c r="ANB1" s="536"/>
      <c r="ANC1" s="536"/>
      <c r="AND1" s="536"/>
      <c r="ANE1" s="536"/>
      <c r="ANF1" s="536"/>
      <c r="ANG1" s="536"/>
      <c r="ANH1" s="536"/>
      <c r="ANI1" s="536"/>
      <c r="ANJ1" s="536"/>
      <c r="ANK1" s="536"/>
      <c r="ANL1" s="536"/>
      <c r="ANM1" s="536"/>
      <c r="ANN1" s="536"/>
      <c r="ANO1" s="536"/>
      <c r="ANP1" s="536"/>
      <c r="ANQ1" s="536"/>
      <c r="ANR1" s="536"/>
      <c r="ANS1" s="536"/>
      <c r="ANT1" s="536"/>
      <c r="ANU1" s="536"/>
      <c r="ANV1" s="536"/>
      <c r="ANW1" s="536"/>
      <c r="ANX1" s="536"/>
      <c r="ANY1" s="536"/>
      <c r="ANZ1" s="536"/>
      <c r="AOA1" s="536"/>
      <c r="AOB1" s="536"/>
      <c r="AOC1" s="536"/>
      <c r="AOD1" s="536"/>
      <c r="AOE1" s="536"/>
      <c r="AOF1" s="536"/>
      <c r="AOG1" s="536"/>
      <c r="AOH1" s="536"/>
      <c r="AOI1" s="536"/>
      <c r="AOJ1" s="536"/>
      <c r="AOK1" s="536"/>
      <c r="AOL1" s="536"/>
      <c r="AOM1" s="536"/>
      <c r="AON1" s="536"/>
      <c r="AOO1" s="536"/>
      <c r="AOP1" s="536"/>
      <c r="AOQ1" s="536"/>
      <c r="AOR1" s="536"/>
      <c r="AOS1" s="536"/>
      <c r="AOT1" s="536"/>
      <c r="AOU1" s="536"/>
      <c r="AOV1" s="536"/>
      <c r="AOW1" s="536"/>
      <c r="AOX1" s="536"/>
      <c r="AOY1" s="536"/>
      <c r="AOZ1" s="536"/>
      <c r="APA1" s="536"/>
      <c r="APB1" s="536"/>
      <c r="APC1" s="536"/>
      <c r="APD1" s="536"/>
      <c r="APE1" s="536"/>
      <c r="APF1" s="536"/>
      <c r="APG1" s="536"/>
      <c r="APH1" s="536"/>
      <c r="API1" s="536"/>
      <c r="APJ1" s="536"/>
      <c r="APK1" s="536"/>
      <c r="APL1" s="536"/>
      <c r="APM1" s="536"/>
      <c r="APN1" s="536"/>
      <c r="APO1" s="536"/>
      <c r="APP1" s="536"/>
      <c r="APQ1" s="536"/>
      <c r="APR1" s="536"/>
      <c r="APS1" s="536"/>
      <c r="APT1" s="536"/>
      <c r="APU1" s="536"/>
      <c r="APV1" s="536"/>
      <c r="APW1" s="536"/>
      <c r="APX1" s="536"/>
      <c r="APY1" s="536"/>
      <c r="APZ1" s="536"/>
      <c r="AQA1" s="536"/>
      <c r="AQB1" s="536"/>
      <c r="AQC1" s="536"/>
      <c r="AQD1" s="536"/>
      <c r="AQE1" s="536"/>
      <c r="AQF1" s="536"/>
      <c r="AQG1" s="536"/>
      <c r="AQH1" s="536"/>
      <c r="AQI1" s="536"/>
      <c r="AQJ1" s="536"/>
      <c r="AQK1" s="536"/>
      <c r="AQL1" s="536"/>
      <c r="AQM1" s="536"/>
      <c r="AQN1" s="536"/>
      <c r="AQO1" s="536"/>
      <c r="AQP1" s="536"/>
      <c r="AQQ1" s="536"/>
      <c r="AQR1" s="536"/>
      <c r="AQS1" s="536"/>
      <c r="AQT1" s="536"/>
      <c r="AQU1" s="536"/>
      <c r="AQV1" s="536"/>
      <c r="AQW1" s="536"/>
      <c r="AQX1" s="536"/>
      <c r="AQY1" s="536"/>
      <c r="AQZ1" s="536"/>
      <c r="ARA1" s="536"/>
      <c r="ARB1" s="536"/>
      <c r="ARC1" s="536"/>
      <c r="ARD1" s="536"/>
      <c r="ARE1" s="536"/>
      <c r="ARF1" s="536"/>
      <c r="ARG1" s="536"/>
      <c r="ARH1" s="536"/>
      <c r="ARI1" s="536"/>
      <c r="ARJ1" s="536"/>
      <c r="ARK1" s="536"/>
      <c r="ARL1" s="536"/>
      <c r="ARM1" s="536"/>
      <c r="ARN1" s="536"/>
      <c r="ARO1" s="536"/>
      <c r="ARP1" s="536"/>
      <c r="ARQ1" s="536"/>
      <c r="ARR1" s="536"/>
      <c r="ARS1" s="536"/>
      <c r="ART1" s="536"/>
      <c r="ARU1" s="536"/>
      <c r="ARV1" s="536"/>
      <c r="ARW1" s="536"/>
      <c r="ARX1" s="536"/>
      <c r="ARY1" s="536"/>
      <c r="ARZ1" s="536"/>
      <c r="ASA1" s="536"/>
      <c r="ASB1" s="536"/>
      <c r="ASC1" s="536"/>
      <c r="ASD1" s="536"/>
      <c r="ASE1" s="536"/>
      <c r="ASF1" s="536"/>
      <c r="ASG1" s="536"/>
      <c r="ASH1" s="536"/>
      <c r="ASI1" s="536"/>
      <c r="ASJ1" s="536"/>
      <c r="ASK1" s="536"/>
      <c r="ASL1" s="536"/>
      <c r="ASM1" s="536"/>
      <c r="ASN1" s="536"/>
      <c r="ASO1" s="536"/>
      <c r="ASP1" s="536"/>
      <c r="ASQ1" s="536"/>
      <c r="ASR1" s="536"/>
      <c r="ASS1" s="536"/>
      <c r="AST1" s="536"/>
      <c r="ASU1" s="536"/>
      <c r="ASV1" s="536"/>
      <c r="ASW1" s="536"/>
      <c r="ASX1" s="536"/>
      <c r="ASY1" s="536"/>
      <c r="ASZ1" s="536"/>
      <c r="ATA1" s="536"/>
      <c r="ATB1" s="536"/>
      <c r="ATC1" s="536"/>
      <c r="ATD1" s="536"/>
      <c r="ATE1" s="536"/>
      <c r="ATF1" s="536"/>
      <c r="ATG1" s="536"/>
      <c r="ATH1" s="536"/>
      <c r="ATI1" s="536"/>
      <c r="ATJ1" s="536"/>
      <c r="ATK1" s="536"/>
      <c r="ATL1" s="536"/>
      <c r="ATM1" s="536"/>
      <c r="ATN1" s="536"/>
      <c r="ATO1" s="536"/>
      <c r="ATP1" s="536"/>
      <c r="ATQ1" s="536"/>
      <c r="ATR1" s="536"/>
      <c r="ATS1" s="536"/>
      <c r="ATT1" s="536"/>
      <c r="ATU1" s="536"/>
      <c r="ATV1" s="536"/>
      <c r="ATW1" s="536"/>
      <c r="ATX1" s="536"/>
      <c r="ATY1" s="536"/>
      <c r="ATZ1" s="536"/>
      <c r="AUA1" s="536"/>
      <c r="AUB1" s="536"/>
      <c r="AUC1" s="536"/>
      <c r="AUD1" s="536"/>
      <c r="AUE1" s="536"/>
      <c r="AUF1" s="536"/>
      <c r="AUG1" s="536"/>
      <c r="AUH1" s="536"/>
      <c r="AUI1" s="536"/>
      <c r="AUJ1" s="536"/>
      <c r="AUK1" s="536"/>
      <c r="AUL1" s="536"/>
      <c r="AUM1" s="536"/>
      <c r="AUN1" s="536"/>
      <c r="AUO1" s="536"/>
      <c r="AUP1" s="536"/>
      <c r="AUQ1" s="536"/>
      <c r="AUR1" s="536"/>
      <c r="AUS1" s="536"/>
      <c r="AUT1" s="536"/>
      <c r="AUU1" s="536"/>
      <c r="AUV1" s="536"/>
      <c r="AUW1" s="536"/>
      <c r="AUX1" s="536"/>
      <c r="AUY1" s="536"/>
      <c r="AUZ1" s="536"/>
      <c r="AVA1" s="536"/>
      <c r="AVB1" s="536"/>
      <c r="AVC1" s="536"/>
      <c r="AVD1" s="536"/>
      <c r="AVE1" s="536"/>
      <c r="AVF1" s="536"/>
      <c r="AVG1" s="536"/>
      <c r="AVH1" s="536"/>
      <c r="AVI1" s="536"/>
      <c r="AVJ1" s="536"/>
      <c r="AVK1" s="536"/>
      <c r="AVL1" s="536"/>
      <c r="AVM1" s="536"/>
      <c r="AVN1" s="536"/>
      <c r="AVO1" s="536"/>
      <c r="AVP1" s="536"/>
      <c r="AVQ1" s="536"/>
      <c r="AVR1" s="536"/>
      <c r="AVS1" s="536"/>
      <c r="AVT1" s="536"/>
      <c r="AVU1" s="536"/>
      <c r="AVV1" s="536"/>
      <c r="AVW1" s="536"/>
      <c r="AVX1" s="536"/>
      <c r="AVY1" s="536"/>
      <c r="AVZ1" s="536"/>
      <c r="AWA1" s="536"/>
      <c r="AWB1" s="536"/>
      <c r="AWC1" s="536"/>
      <c r="AWD1" s="536"/>
      <c r="AWE1" s="536"/>
      <c r="AWF1" s="536"/>
      <c r="AWG1" s="536"/>
      <c r="AWH1" s="536"/>
      <c r="AWI1" s="536"/>
      <c r="AWJ1" s="536"/>
      <c r="AWK1" s="536"/>
      <c r="AWL1" s="536"/>
      <c r="AWM1" s="536"/>
      <c r="AWN1" s="536"/>
      <c r="AWO1" s="536"/>
      <c r="AWP1" s="536"/>
      <c r="AWQ1" s="536"/>
      <c r="AWR1" s="536"/>
      <c r="AWS1" s="536"/>
      <c r="AWT1" s="536"/>
      <c r="AWU1" s="536"/>
      <c r="AWV1" s="536"/>
      <c r="AWW1" s="536"/>
      <c r="AWX1" s="536"/>
      <c r="AWY1" s="536"/>
      <c r="AWZ1" s="536"/>
      <c r="AXA1" s="536"/>
      <c r="AXB1" s="536"/>
      <c r="AXC1" s="536"/>
      <c r="AXD1" s="536"/>
      <c r="AXE1" s="536"/>
      <c r="AXF1" s="536"/>
      <c r="AXG1" s="536"/>
      <c r="AXH1" s="536"/>
      <c r="AXI1" s="536"/>
      <c r="AXJ1" s="536"/>
      <c r="AXK1" s="536"/>
      <c r="AXL1" s="536"/>
      <c r="AXM1" s="536"/>
      <c r="AXN1" s="536"/>
      <c r="AXO1" s="536"/>
      <c r="AXP1" s="536"/>
      <c r="AXQ1" s="536"/>
      <c r="AXR1" s="536"/>
      <c r="AXS1" s="536"/>
      <c r="AXT1" s="536"/>
      <c r="AXU1" s="536"/>
      <c r="AXV1" s="536"/>
      <c r="AXW1" s="536"/>
      <c r="AXX1" s="536"/>
      <c r="AXY1" s="536"/>
      <c r="AXZ1" s="536"/>
      <c r="AYA1" s="536"/>
      <c r="AYB1" s="536"/>
      <c r="AYC1" s="536"/>
      <c r="AYD1" s="536"/>
      <c r="AYE1" s="536"/>
      <c r="AYF1" s="536"/>
      <c r="AYG1" s="536"/>
      <c r="AYH1" s="536"/>
      <c r="AYI1" s="536"/>
      <c r="AYJ1" s="536"/>
      <c r="AYK1" s="536"/>
      <c r="AYL1" s="536"/>
      <c r="AYM1" s="536"/>
      <c r="AYN1" s="536"/>
      <c r="AYO1" s="536"/>
      <c r="AYP1" s="536"/>
      <c r="AYQ1" s="536"/>
      <c r="AYR1" s="536"/>
      <c r="AYS1" s="536"/>
      <c r="AYT1" s="536"/>
      <c r="AYU1" s="536"/>
      <c r="AYV1" s="536"/>
      <c r="AYW1" s="536"/>
      <c r="AYX1" s="536"/>
      <c r="AYY1" s="536"/>
      <c r="AYZ1" s="536"/>
      <c r="AZA1" s="536"/>
      <c r="AZB1" s="536"/>
      <c r="AZC1" s="536"/>
      <c r="AZD1" s="536"/>
      <c r="AZE1" s="536"/>
      <c r="AZF1" s="536"/>
      <c r="AZG1" s="536"/>
      <c r="AZH1" s="536"/>
      <c r="AZI1" s="536"/>
      <c r="AZJ1" s="536"/>
      <c r="AZK1" s="536"/>
      <c r="AZL1" s="536"/>
      <c r="AZM1" s="536"/>
      <c r="AZN1" s="536"/>
      <c r="AZO1" s="536"/>
      <c r="AZP1" s="536"/>
      <c r="AZQ1" s="536"/>
      <c r="AZR1" s="536"/>
      <c r="AZS1" s="536"/>
      <c r="AZT1" s="536"/>
      <c r="AZU1" s="536"/>
      <c r="AZV1" s="536"/>
      <c r="AZW1" s="536"/>
      <c r="AZX1" s="536"/>
      <c r="AZY1" s="536"/>
      <c r="AZZ1" s="536"/>
      <c r="BAA1" s="536"/>
      <c r="BAB1" s="536"/>
      <c r="BAC1" s="536"/>
      <c r="BAD1" s="536"/>
      <c r="BAE1" s="536"/>
      <c r="BAF1" s="536"/>
      <c r="BAG1" s="536"/>
      <c r="BAH1" s="536"/>
      <c r="BAI1" s="536"/>
      <c r="BAJ1" s="536"/>
      <c r="BAK1" s="536"/>
      <c r="BAL1" s="536"/>
      <c r="BAM1" s="536"/>
      <c r="BAN1" s="536"/>
      <c r="BAO1" s="536"/>
      <c r="BAP1" s="536"/>
      <c r="BAQ1" s="536"/>
      <c r="BAR1" s="536"/>
      <c r="BAS1" s="536"/>
      <c r="BAT1" s="536"/>
      <c r="BAU1" s="536"/>
      <c r="BAV1" s="536"/>
      <c r="BAW1" s="536"/>
      <c r="BAX1" s="536"/>
      <c r="BAY1" s="536"/>
      <c r="BAZ1" s="536"/>
      <c r="BBA1" s="536"/>
      <c r="BBB1" s="536"/>
      <c r="BBC1" s="536"/>
      <c r="BBD1" s="536"/>
      <c r="BBE1" s="536"/>
      <c r="BBF1" s="536"/>
      <c r="BBG1" s="536"/>
      <c r="BBH1" s="536"/>
      <c r="BBI1" s="536"/>
      <c r="BBJ1" s="536"/>
      <c r="BBK1" s="536"/>
      <c r="BBL1" s="536"/>
      <c r="BBM1" s="536"/>
      <c r="BBN1" s="536"/>
      <c r="BBO1" s="536"/>
      <c r="BBP1" s="536"/>
      <c r="BBQ1" s="536"/>
      <c r="BBR1" s="536"/>
      <c r="BBS1" s="536"/>
      <c r="BBT1" s="536"/>
      <c r="BBU1" s="536"/>
      <c r="BBV1" s="536"/>
      <c r="BBW1" s="536"/>
      <c r="BBX1" s="536"/>
      <c r="BBY1" s="536"/>
      <c r="BBZ1" s="536"/>
      <c r="BCA1" s="536"/>
      <c r="BCB1" s="536"/>
      <c r="BCC1" s="536"/>
      <c r="BCD1" s="536"/>
      <c r="BCE1" s="536"/>
      <c r="BCF1" s="536"/>
      <c r="BCG1" s="536"/>
      <c r="BCH1" s="536"/>
      <c r="BCI1" s="536"/>
      <c r="BCJ1" s="536"/>
      <c r="BCK1" s="536"/>
      <c r="BCL1" s="536"/>
      <c r="BCM1" s="536"/>
      <c r="BCN1" s="536"/>
      <c r="BCO1" s="536"/>
      <c r="BCP1" s="536"/>
      <c r="BCQ1" s="536"/>
      <c r="BCR1" s="536"/>
      <c r="BCS1" s="536"/>
      <c r="BCT1" s="536"/>
      <c r="BCU1" s="536"/>
      <c r="BCV1" s="536"/>
      <c r="BCW1" s="536"/>
      <c r="BCX1" s="536"/>
      <c r="BCY1" s="536"/>
      <c r="BCZ1" s="536"/>
      <c r="BDA1" s="536"/>
      <c r="BDB1" s="536"/>
      <c r="BDC1" s="536"/>
      <c r="BDD1" s="536"/>
      <c r="BDE1" s="536"/>
      <c r="BDF1" s="536"/>
      <c r="BDG1" s="536"/>
      <c r="BDH1" s="536"/>
      <c r="BDI1" s="536"/>
      <c r="BDJ1" s="536"/>
      <c r="BDK1" s="536"/>
      <c r="BDL1" s="536"/>
      <c r="BDM1" s="536"/>
      <c r="BDN1" s="536"/>
      <c r="BDO1" s="536"/>
      <c r="BDP1" s="536"/>
      <c r="BDQ1" s="536"/>
      <c r="BDR1" s="536"/>
      <c r="BDS1" s="536"/>
      <c r="BDT1" s="536"/>
      <c r="BDU1" s="536"/>
      <c r="BDV1" s="536"/>
      <c r="BDW1" s="536"/>
      <c r="BDX1" s="536"/>
      <c r="BDY1" s="536"/>
      <c r="BDZ1" s="536"/>
      <c r="BEA1" s="536"/>
      <c r="BEB1" s="536"/>
      <c r="BEC1" s="536"/>
      <c r="BED1" s="536"/>
      <c r="BEE1" s="536"/>
      <c r="BEF1" s="536"/>
      <c r="BEG1" s="536"/>
      <c r="BEH1" s="536"/>
      <c r="BEI1" s="536"/>
      <c r="BEJ1" s="536"/>
      <c r="BEK1" s="536"/>
      <c r="BEL1" s="536"/>
      <c r="BEM1" s="536"/>
      <c r="BEN1" s="536"/>
      <c r="BEO1" s="536"/>
      <c r="BEP1" s="536"/>
      <c r="BEQ1" s="536"/>
      <c r="BER1" s="536"/>
      <c r="BES1" s="536"/>
      <c r="BET1" s="536"/>
      <c r="BEU1" s="536"/>
      <c r="BEV1" s="536"/>
      <c r="BEW1" s="536"/>
      <c r="BEX1" s="536"/>
      <c r="BEY1" s="536"/>
      <c r="BEZ1" s="536"/>
      <c r="BFA1" s="536"/>
      <c r="BFB1" s="536"/>
      <c r="BFC1" s="536"/>
      <c r="BFD1" s="536"/>
      <c r="BFE1" s="536"/>
      <c r="BFF1" s="536"/>
      <c r="BFG1" s="536"/>
      <c r="BFH1" s="536"/>
      <c r="BFI1" s="536"/>
      <c r="BFJ1" s="536"/>
      <c r="BFK1" s="536"/>
      <c r="BFL1" s="536"/>
      <c r="BFM1" s="536"/>
      <c r="BFN1" s="536"/>
      <c r="BFO1" s="536"/>
      <c r="BFP1" s="536"/>
      <c r="BFQ1" s="536"/>
      <c r="BFR1" s="536"/>
      <c r="BFS1" s="536"/>
      <c r="BFT1" s="536"/>
      <c r="BFU1" s="536"/>
      <c r="BFV1" s="536"/>
      <c r="BFW1" s="536"/>
      <c r="BFX1" s="536"/>
      <c r="BFY1" s="536"/>
      <c r="BFZ1" s="536"/>
      <c r="BGA1" s="536"/>
      <c r="BGB1" s="536"/>
      <c r="BGC1" s="536"/>
      <c r="BGD1" s="536"/>
      <c r="BGE1" s="536"/>
      <c r="BGF1" s="536"/>
      <c r="BGG1" s="536"/>
      <c r="BGH1" s="536"/>
      <c r="BGI1" s="536"/>
      <c r="BGJ1" s="536"/>
      <c r="BGK1" s="536"/>
      <c r="BGL1" s="536"/>
      <c r="BGM1" s="536"/>
      <c r="BGN1" s="536"/>
      <c r="BGO1" s="536"/>
      <c r="BGP1" s="536"/>
      <c r="BGQ1" s="536"/>
      <c r="BGR1" s="536"/>
      <c r="BGS1" s="536"/>
      <c r="BGT1" s="536"/>
      <c r="BGU1" s="536"/>
      <c r="BGV1" s="536"/>
      <c r="BGW1" s="536"/>
      <c r="BGX1" s="536"/>
      <c r="BGY1" s="536"/>
      <c r="BGZ1" s="536"/>
      <c r="BHA1" s="536"/>
      <c r="BHB1" s="536"/>
      <c r="BHC1" s="536"/>
      <c r="BHD1" s="536"/>
      <c r="BHE1" s="536"/>
      <c r="BHF1" s="536"/>
      <c r="BHG1" s="536"/>
      <c r="BHH1" s="536"/>
      <c r="BHI1" s="536"/>
      <c r="BHJ1" s="536"/>
      <c r="BHK1" s="536"/>
      <c r="BHL1" s="536"/>
      <c r="BHM1" s="536"/>
      <c r="BHN1" s="536"/>
      <c r="BHO1" s="536"/>
      <c r="BHP1" s="536"/>
      <c r="BHQ1" s="536"/>
      <c r="BHR1" s="536"/>
      <c r="BHS1" s="536"/>
      <c r="BHT1" s="536"/>
      <c r="BHU1" s="536"/>
      <c r="BHV1" s="536"/>
      <c r="BHW1" s="536"/>
      <c r="BHX1" s="536"/>
      <c r="BHY1" s="536"/>
      <c r="BHZ1" s="536"/>
      <c r="BIA1" s="536"/>
      <c r="BIB1" s="536"/>
      <c r="BIC1" s="536"/>
      <c r="BID1" s="536"/>
      <c r="BIE1" s="536"/>
      <c r="BIF1" s="536"/>
      <c r="BIG1" s="536"/>
      <c r="BIH1" s="536"/>
      <c r="BII1" s="536"/>
      <c r="BIJ1" s="536"/>
      <c r="BIK1" s="536"/>
      <c r="BIL1" s="536"/>
      <c r="BIM1" s="536"/>
      <c r="BIN1" s="536"/>
      <c r="BIO1" s="536"/>
      <c r="BIP1" s="536"/>
      <c r="BIQ1" s="536"/>
      <c r="BIR1" s="536"/>
      <c r="BIS1" s="536"/>
      <c r="BIT1" s="536"/>
      <c r="BIU1" s="536"/>
      <c r="BIV1" s="536"/>
      <c r="BIW1" s="536"/>
      <c r="BIX1" s="536"/>
      <c r="BIY1" s="536"/>
      <c r="BIZ1" s="536"/>
      <c r="BJA1" s="536"/>
      <c r="BJB1" s="536"/>
      <c r="BJC1" s="536"/>
      <c r="BJD1" s="536"/>
      <c r="BJE1" s="536"/>
      <c r="BJF1" s="536"/>
      <c r="BJG1" s="536"/>
      <c r="BJH1" s="536"/>
      <c r="BJI1" s="536"/>
      <c r="BJJ1" s="536"/>
      <c r="BJK1" s="536"/>
      <c r="BJL1" s="536"/>
      <c r="BJM1" s="536"/>
      <c r="BJN1" s="536"/>
      <c r="BJO1" s="536"/>
      <c r="BJP1" s="536"/>
      <c r="BJQ1" s="536"/>
      <c r="BJR1" s="536"/>
      <c r="BJS1" s="536"/>
      <c r="BJT1" s="536"/>
      <c r="BJU1" s="536"/>
      <c r="BJV1" s="536"/>
      <c r="BJW1" s="536"/>
      <c r="BJX1" s="536"/>
      <c r="BJY1" s="536"/>
      <c r="BJZ1" s="536"/>
      <c r="BKA1" s="536"/>
      <c r="BKB1" s="536"/>
      <c r="BKC1" s="536"/>
      <c r="BKD1" s="536"/>
      <c r="BKE1" s="536"/>
      <c r="BKF1" s="536"/>
      <c r="BKG1" s="536"/>
      <c r="BKH1" s="536"/>
      <c r="BKI1" s="536"/>
      <c r="BKJ1" s="536"/>
      <c r="BKK1" s="536"/>
      <c r="BKL1" s="536"/>
      <c r="BKM1" s="536"/>
      <c r="BKN1" s="536"/>
      <c r="BKO1" s="536"/>
      <c r="BKP1" s="536"/>
      <c r="BKQ1" s="536"/>
      <c r="BKR1" s="536"/>
      <c r="BKS1" s="536"/>
      <c r="BKT1" s="536"/>
      <c r="BKU1" s="536"/>
      <c r="BKV1" s="536"/>
      <c r="BKW1" s="536"/>
      <c r="BKX1" s="536"/>
      <c r="BKY1" s="536"/>
      <c r="BKZ1" s="536"/>
      <c r="BLA1" s="536"/>
      <c r="BLB1" s="536"/>
      <c r="BLC1" s="536"/>
      <c r="BLD1" s="536"/>
      <c r="BLE1" s="536"/>
      <c r="BLF1" s="536"/>
      <c r="BLG1" s="536"/>
      <c r="BLH1" s="536"/>
      <c r="BLI1" s="536"/>
      <c r="BLJ1" s="536"/>
      <c r="BLK1" s="536"/>
      <c r="BLL1" s="536"/>
      <c r="BLM1" s="536"/>
      <c r="BLN1" s="536"/>
      <c r="BLO1" s="536"/>
      <c r="BLP1" s="536"/>
      <c r="BLQ1" s="536"/>
      <c r="BLR1" s="536"/>
      <c r="BLS1" s="536"/>
      <c r="BLT1" s="536"/>
      <c r="BLU1" s="536"/>
      <c r="BLV1" s="536"/>
      <c r="BLW1" s="536"/>
      <c r="BLX1" s="536"/>
      <c r="BLY1" s="536"/>
      <c r="BLZ1" s="536"/>
      <c r="BMA1" s="536"/>
      <c r="BMB1" s="536"/>
      <c r="BMC1" s="536"/>
      <c r="BMD1" s="536"/>
      <c r="BME1" s="536"/>
      <c r="BMF1" s="536"/>
      <c r="BMG1" s="536"/>
      <c r="BMH1" s="536"/>
      <c r="BMI1" s="536"/>
      <c r="BMJ1" s="536"/>
      <c r="BMK1" s="536"/>
      <c r="BML1" s="536"/>
      <c r="BMM1" s="536"/>
      <c r="BMN1" s="536"/>
      <c r="BMO1" s="536"/>
      <c r="BMP1" s="536"/>
      <c r="BMQ1" s="536"/>
      <c r="BMR1" s="536"/>
      <c r="BMS1" s="536"/>
      <c r="BMT1" s="536"/>
      <c r="BMU1" s="536"/>
      <c r="BMV1" s="536"/>
      <c r="BMW1" s="536"/>
      <c r="BMX1" s="536"/>
      <c r="BMY1" s="536"/>
      <c r="BMZ1" s="536"/>
      <c r="BNA1" s="536"/>
      <c r="BNB1" s="536"/>
      <c r="BNC1" s="536"/>
      <c r="BND1" s="536"/>
      <c r="BNE1" s="536"/>
      <c r="BNF1" s="536"/>
      <c r="BNG1" s="536"/>
      <c r="BNH1" s="536"/>
      <c r="BNI1" s="536"/>
      <c r="BNJ1" s="536"/>
      <c r="BNK1" s="536"/>
      <c r="BNL1" s="536"/>
      <c r="BNM1" s="536"/>
      <c r="BNN1" s="536"/>
      <c r="BNO1" s="536"/>
      <c r="BNP1" s="536"/>
      <c r="BNQ1" s="536"/>
      <c r="BNR1" s="536"/>
      <c r="BNS1" s="536"/>
      <c r="BNT1" s="536"/>
      <c r="BNU1" s="536"/>
      <c r="BNV1" s="536"/>
      <c r="BNW1" s="536"/>
      <c r="BNX1" s="536"/>
      <c r="BNY1" s="536"/>
      <c r="BNZ1" s="536"/>
      <c r="BOA1" s="536"/>
      <c r="BOB1" s="536"/>
      <c r="BOC1" s="536"/>
      <c r="BOD1" s="536"/>
      <c r="BOE1" s="536"/>
      <c r="BOF1" s="536"/>
      <c r="BOG1" s="536"/>
      <c r="BOH1" s="536"/>
      <c r="BOI1" s="536"/>
      <c r="BOJ1" s="536"/>
      <c r="BOK1" s="536"/>
      <c r="BOL1" s="536"/>
      <c r="BOM1" s="536"/>
      <c r="BON1" s="536"/>
      <c r="BOO1" s="536"/>
      <c r="BOP1" s="536"/>
      <c r="BOQ1" s="536"/>
      <c r="BOR1" s="536"/>
      <c r="BOS1" s="536"/>
      <c r="BOT1" s="536"/>
      <c r="BOU1" s="536"/>
      <c r="BOV1" s="536"/>
      <c r="BOW1" s="536"/>
      <c r="BOX1" s="536"/>
      <c r="BOY1" s="536"/>
      <c r="BOZ1" s="536"/>
      <c r="BPA1" s="536"/>
      <c r="BPB1" s="536"/>
      <c r="BPC1" s="536"/>
      <c r="BPD1" s="536"/>
      <c r="BPE1" s="536"/>
      <c r="BPF1" s="536"/>
      <c r="BPG1" s="536"/>
      <c r="BPH1" s="536"/>
      <c r="BPI1" s="536"/>
      <c r="BPJ1" s="536"/>
      <c r="BPK1" s="536"/>
      <c r="BPL1" s="536"/>
      <c r="BPM1" s="536"/>
      <c r="BPN1" s="536"/>
      <c r="BPO1" s="536"/>
      <c r="BPP1" s="536"/>
      <c r="BPQ1" s="536"/>
      <c r="BPR1" s="536"/>
      <c r="BPS1" s="536"/>
      <c r="BPT1" s="536"/>
      <c r="BPU1" s="536"/>
      <c r="BPV1" s="536"/>
      <c r="BPW1" s="536"/>
      <c r="BPX1" s="536"/>
      <c r="BPY1" s="536"/>
      <c r="BPZ1" s="536"/>
      <c r="BQA1" s="536"/>
      <c r="BQB1" s="536"/>
      <c r="BQC1" s="536"/>
      <c r="BQD1" s="536"/>
      <c r="BQE1" s="536"/>
      <c r="BQF1" s="536"/>
      <c r="BQG1" s="536"/>
      <c r="BQH1" s="536"/>
      <c r="BQI1" s="536"/>
      <c r="BQJ1" s="536"/>
      <c r="BQK1" s="536"/>
      <c r="BQL1" s="536"/>
      <c r="BQM1" s="536"/>
      <c r="BQN1" s="536"/>
      <c r="BQO1" s="536"/>
      <c r="BQP1" s="536"/>
      <c r="BQQ1" s="536"/>
      <c r="BQR1" s="536"/>
      <c r="BQS1" s="536"/>
      <c r="BQT1" s="536"/>
      <c r="BQU1" s="536"/>
      <c r="BQV1" s="536"/>
      <c r="BQW1" s="536"/>
      <c r="BQX1" s="536"/>
      <c r="BQY1" s="536"/>
      <c r="BQZ1" s="536"/>
      <c r="BRA1" s="536"/>
      <c r="BRB1" s="536"/>
      <c r="BRC1" s="536"/>
      <c r="BRD1" s="536"/>
      <c r="BRE1" s="536"/>
      <c r="BRF1" s="536"/>
      <c r="BRG1" s="536"/>
      <c r="BRH1" s="536"/>
      <c r="BRI1" s="536"/>
      <c r="BRJ1" s="536"/>
      <c r="BRK1" s="536"/>
      <c r="BRL1" s="536"/>
      <c r="BRM1" s="536"/>
      <c r="BRN1" s="536"/>
      <c r="BRO1" s="536"/>
      <c r="BRP1" s="536"/>
      <c r="BRQ1" s="536"/>
      <c r="BRR1" s="536"/>
      <c r="BRS1" s="536"/>
      <c r="BRT1" s="536"/>
      <c r="BRU1" s="536"/>
      <c r="BRV1" s="536"/>
      <c r="BRW1" s="536"/>
      <c r="BRX1" s="536"/>
      <c r="BRY1" s="536"/>
      <c r="BRZ1" s="536"/>
      <c r="BSA1" s="536"/>
      <c r="BSB1" s="536"/>
      <c r="BSC1" s="536"/>
      <c r="BSD1" s="536"/>
      <c r="BSE1" s="536"/>
      <c r="BSF1" s="536"/>
      <c r="BSG1" s="536"/>
      <c r="BSH1" s="536"/>
      <c r="BSI1" s="536"/>
      <c r="BSJ1" s="536"/>
      <c r="BSK1" s="536"/>
      <c r="BSL1" s="536"/>
      <c r="BSM1" s="536"/>
      <c r="BSN1" s="536"/>
      <c r="BSO1" s="536"/>
      <c r="BSP1" s="536"/>
      <c r="BSQ1" s="536"/>
      <c r="BSR1" s="536"/>
      <c r="BSS1" s="536"/>
      <c r="BST1" s="536"/>
      <c r="BSU1" s="536"/>
      <c r="BSV1" s="536"/>
      <c r="BSW1" s="536"/>
      <c r="BSX1" s="536"/>
      <c r="BSY1" s="536"/>
      <c r="BSZ1" s="536"/>
      <c r="BTA1" s="536"/>
      <c r="BTB1" s="536"/>
      <c r="BTC1" s="536"/>
      <c r="BTD1" s="536"/>
      <c r="BTE1" s="536"/>
      <c r="BTF1" s="536"/>
      <c r="BTG1" s="536"/>
      <c r="BTH1" s="536"/>
      <c r="BTI1" s="536"/>
      <c r="BTJ1" s="536"/>
      <c r="BTK1" s="536"/>
      <c r="BTL1" s="536"/>
      <c r="BTM1" s="536"/>
      <c r="BTN1" s="536"/>
      <c r="BTO1" s="536"/>
      <c r="BTP1" s="536"/>
      <c r="BTQ1" s="536"/>
      <c r="BTR1" s="536"/>
      <c r="BTS1" s="536"/>
      <c r="BTT1" s="536"/>
      <c r="BTU1" s="536"/>
      <c r="BTV1" s="536"/>
      <c r="BTW1" s="536"/>
      <c r="BTX1" s="536"/>
      <c r="BTY1" s="536"/>
      <c r="BTZ1" s="536"/>
      <c r="BUA1" s="536"/>
      <c r="BUB1" s="536"/>
      <c r="BUC1" s="536"/>
      <c r="BUD1" s="536"/>
      <c r="BUE1" s="536"/>
      <c r="BUF1" s="536"/>
      <c r="BUG1" s="536"/>
      <c r="BUH1" s="536"/>
      <c r="BUI1" s="536"/>
      <c r="BUJ1" s="536"/>
      <c r="BUK1" s="536"/>
      <c r="BUL1" s="536"/>
      <c r="BUM1" s="536"/>
      <c r="BUN1" s="536"/>
      <c r="BUO1" s="536"/>
      <c r="BUP1" s="536"/>
      <c r="BUQ1" s="536"/>
      <c r="BUR1" s="536"/>
      <c r="BUS1" s="536"/>
      <c r="BUT1" s="536"/>
      <c r="BUU1" s="536"/>
      <c r="BUV1" s="536"/>
      <c r="BUW1" s="536"/>
      <c r="BUX1" s="536"/>
      <c r="BUY1" s="536"/>
      <c r="BUZ1" s="536"/>
      <c r="BVA1" s="536"/>
      <c r="BVB1" s="536"/>
      <c r="BVC1" s="536"/>
      <c r="BVD1" s="536"/>
      <c r="BVE1" s="536"/>
      <c r="BVF1" s="536"/>
      <c r="BVG1" s="536"/>
      <c r="BVH1" s="536"/>
      <c r="BVI1" s="536"/>
      <c r="BVJ1" s="536"/>
      <c r="BVK1" s="536"/>
      <c r="BVL1" s="536"/>
      <c r="BVM1" s="536"/>
      <c r="BVN1" s="536"/>
      <c r="BVO1" s="536"/>
      <c r="BVP1" s="536"/>
      <c r="BVQ1" s="536"/>
      <c r="BVR1" s="536"/>
      <c r="BVS1" s="536"/>
      <c r="BVT1" s="536"/>
      <c r="BVU1" s="536"/>
      <c r="BVV1" s="536"/>
      <c r="BVW1" s="536"/>
      <c r="BVX1" s="536"/>
      <c r="BVY1" s="536"/>
      <c r="BVZ1" s="536"/>
      <c r="BWA1" s="536"/>
      <c r="BWB1" s="536"/>
      <c r="BWC1" s="536"/>
      <c r="BWD1" s="536"/>
      <c r="BWE1" s="536"/>
      <c r="BWF1" s="536"/>
      <c r="BWG1" s="536"/>
      <c r="BWH1" s="536"/>
      <c r="BWI1" s="536"/>
      <c r="BWJ1" s="536"/>
      <c r="BWK1" s="536"/>
      <c r="BWL1" s="536"/>
      <c r="BWM1" s="536"/>
      <c r="BWN1" s="536"/>
      <c r="BWO1" s="536"/>
      <c r="BWP1" s="536"/>
      <c r="BWQ1" s="536"/>
      <c r="BWR1" s="536"/>
      <c r="BWS1" s="536"/>
      <c r="BWT1" s="536"/>
      <c r="BWU1" s="536"/>
      <c r="BWV1" s="536"/>
      <c r="BWW1" s="536"/>
      <c r="BWX1" s="536"/>
      <c r="BWY1" s="536"/>
      <c r="BWZ1" s="536"/>
      <c r="BXA1" s="536"/>
      <c r="BXB1" s="536"/>
      <c r="BXC1" s="536"/>
      <c r="BXD1" s="536"/>
      <c r="BXE1" s="536"/>
      <c r="BXF1" s="536"/>
      <c r="BXG1" s="536"/>
      <c r="BXH1" s="536"/>
      <c r="BXI1" s="536"/>
      <c r="BXJ1" s="536"/>
      <c r="BXK1" s="536"/>
      <c r="BXL1" s="536"/>
      <c r="BXM1" s="536"/>
      <c r="BXN1" s="536"/>
      <c r="BXO1" s="536"/>
      <c r="BXP1" s="536"/>
      <c r="BXQ1" s="536"/>
      <c r="BXR1" s="536"/>
      <c r="BXS1" s="536"/>
      <c r="BXT1" s="536"/>
      <c r="BXU1" s="536"/>
      <c r="BXV1" s="536"/>
      <c r="BXW1" s="536"/>
      <c r="BXX1" s="536"/>
      <c r="BXY1" s="536"/>
      <c r="BXZ1" s="536"/>
      <c r="BYA1" s="536"/>
      <c r="BYB1" s="536"/>
      <c r="BYC1" s="536"/>
      <c r="BYD1" s="536"/>
      <c r="BYE1" s="536"/>
      <c r="BYF1" s="536"/>
      <c r="BYG1" s="536"/>
      <c r="BYH1" s="536"/>
      <c r="BYI1" s="536"/>
      <c r="BYJ1" s="536"/>
      <c r="BYK1" s="536"/>
      <c r="BYL1" s="536"/>
      <c r="BYM1" s="536"/>
      <c r="BYN1" s="536"/>
      <c r="BYO1" s="536"/>
      <c r="BYP1" s="536"/>
      <c r="BYQ1" s="536"/>
      <c r="BYR1" s="536"/>
      <c r="BYS1" s="536"/>
      <c r="BYT1" s="536"/>
      <c r="BYU1" s="536"/>
      <c r="BYV1" s="536"/>
      <c r="BYW1" s="536"/>
      <c r="BYX1" s="536"/>
      <c r="BYY1" s="536"/>
      <c r="BYZ1" s="536"/>
      <c r="BZA1" s="536"/>
      <c r="BZB1" s="536"/>
      <c r="BZC1" s="536"/>
      <c r="BZD1" s="536"/>
      <c r="BZE1" s="536"/>
      <c r="BZF1" s="536"/>
      <c r="BZG1" s="536"/>
      <c r="BZH1" s="536"/>
      <c r="BZI1" s="536"/>
      <c r="BZJ1" s="536"/>
      <c r="BZK1" s="536"/>
      <c r="BZL1" s="536"/>
      <c r="BZM1" s="536"/>
      <c r="BZN1" s="536"/>
      <c r="BZO1" s="536"/>
      <c r="BZP1" s="536"/>
      <c r="BZQ1" s="536"/>
      <c r="BZR1" s="536"/>
      <c r="BZS1" s="536"/>
      <c r="BZT1" s="536"/>
      <c r="BZU1" s="536"/>
      <c r="BZV1" s="536"/>
      <c r="BZW1" s="536"/>
      <c r="BZX1" s="536"/>
      <c r="BZY1" s="536"/>
      <c r="BZZ1" s="536"/>
      <c r="CAA1" s="536"/>
      <c r="CAB1" s="536"/>
      <c r="CAC1" s="536"/>
      <c r="CAD1" s="536"/>
      <c r="CAE1" s="536"/>
      <c r="CAF1" s="536"/>
      <c r="CAG1" s="536"/>
      <c r="CAH1" s="536"/>
      <c r="CAI1" s="536"/>
      <c r="CAJ1" s="536"/>
      <c r="CAK1" s="536"/>
      <c r="CAL1" s="536"/>
      <c r="CAM1" s="536"/>
      <c r="CAN1" s="536"/>
      <c r="CAO1" s="536"/>
      <c r="CAP1" s="536"/>
      <c r="CAQ1" s="536"/>
      <c r="CAR1" s="536"/>
      <c r="CAS1" s="536"/>
      <c r="CAT1" s="536"/>
      <c r="CAU1" s="536"/>
      <c r="CAV1" s="536"/>
      <c r="CAW1" s="536"/>
      <c r="CAX1" s="536"/>
      <c r="CAY1" s="536"/>
      <c r="CAZ1" s="536"/>
      <c r="CBA1" s="536"/>
      <c r="CBB1" s="536"/>
      <c r="CBC1" s="536"/>
      <c r="CBD1" s="536"/>
      <c r="CBE1" s="536"/>
      <c r="CBF1" s="536"/>
      <c r="CBG1" s="536"/>
      <c r="CBH1" s="536"/>
      <c r="CBI1" s="536"/>
      <c r="CBJ1" s="536"/>
      <c r="CBK1" s="536"/>
      <c r="CBL1" s="536"/>
      <c r="CBM1" s="536"/>
      <c r="CBN1" s="536"/>
      <c r="CBO1" s="536"/>
      <c r="CBP1" s="536"/>
      <c r="CBQ1" s="536"/>
      <c r="CBR1" s="536"/>
      <c r="CBS1" s="536"/>
      <c r="CBT1" s="536"/>
      <c r="CBU1" s="536"/>
      <c r="CBV1" s="536"/>
      <c r="CBW1" s="536"/>
      <c r="CBX1" s="536"/>
      <c r="CBY1" s="536"/>
      <c r="CBZ1" s="536"/>
      <c r="CCA1" s="536"/>
      <c r="CCB1" s="536"/>
      <c r="CCC1" s="536"/>
      <c r="CCD1" s="536"/>
      <c r="CCE1" s="536"/>
      <c r="CCF1" s="536"/>
      <c r="CCG1" s="536"/>
      <c r="CCH1" s="536"/>
      <c r="CCI1" s="536"/>
      <c r="CCJ1" s="536"/>
      <c r="CCK1" s="536"/>
      <c r="CCL1" s="536"/>
      <c r="CCM1" s="536"/>
      <c r="CCN1" s="536"/>
      <c r="CCO1" s="536"/>
      <c r="CCP1" s="536"/>
      <c r="CCQ1" s="536"/>
      <c r="CCR1" s="536"/>
      <c r="CCS1" s="536"/>
      <c r="CCT1" s="536"/>
      <c r="CCU1" s="536"/>
      <c r="CCV1" s="536"/>
      <c r="CCW1" s="536"/>
      <c r="CCX1" s="536"/>
      <c r="CCY1" s="536"/>
      <c r="CCZ1" s="536"/>
      <c r="CDA1" s="536"/>
      <c r="CDB1" s="536"/>
      <c r="CDC1" s="536"/>
      <c r="CDD1" s="536"/>
      <c r="CDE1" s="536"/>
      <c r="CDF1" s="536"/>
      <c r="CDG1" s="536"/>
      <c r="CDH1" s="536"/>
      <c r="CDI1" s="536"/>
      <c r="CDJ1" s="536"/>
      <c r="CDK1" s="536"/>
      <c r="CDL1" s="536"/>
      <c r="CDM1" s="536"/>
      <c r="CDN1" s="536"/>
      <c r="CDO1" s="536"/>
      <c r="CDP1" s="536"/>
      <c r="CDQ1" s="536"/>
      <c r="CDR1" s="536"/>
      <c r="CDS1" s="536"/>
      <c r="CDT1" s="536"/>
      <c r="CDU1" s="536"/>
      <c r="CDV1" s="536"/>
      <c r="CDW1" s="536"/>
      <c r="CDX1" s="536"/>
      <c r="CDY1" s="536"/>
      <c r="CDZ1" s="536"/>
      <c r="CEA1" s="536"/>
      <c r="CEB1" s="536"/>
      <c r="CEC1" s="536"/>
      <c r="CED1" s="536"/>
      <c r="CEE1" s="536"/>
      <c r="CEF1" s="536"/>
      <c r="CEG1" s="536"/>
      <c r="CEH1" s="536"/>
      <c r="CEI1" s="536"/>
      <c r="CEJ1" s="536"/>
      <c r="CEK1" s="536"/>
      <c r="CEL1" s="536"/>
      <c r="CEM1" s="536"/>
      <c r="CEN1" s="536"/>
      <c r="CEO1" s="536"/>
      <c r="CEP1" s="536"/>
      <c r="CEQ1" s="536"/>
      <c r="CER1" s="536"/>
      <c r="CES1" s="536"/>
      <c r="CET1" s="536"/>
      <c r="CEU1" s="536"/>
      <c r="CEV1" s="536"/>
      <c r="CEW1" s="536"/>
      <c r="CEX1" s="536"/>
      <c r="CEY1" s="536"/>
      <c r="CEZ1" s="536"/>
      <c r="CFA1" s="536"/>
      <c r="CFB1" s="536"/>
      <c r="CFC1" s="536"/>
      <c r="CFD1" s="536"/>
      <c r="CFE1" s="536"/>
      <c r="CFF1" s="536"/>
      <c r="CFG1" s="536"/>
      <c r="CFH1" s="536"/>
      <c r="CFI1" s="536"/>
      <c r="CFJ1" s="536"/>
      <c r="CFK1" s="536"/>
      <c r="CFL1" s="536"/>
      <c r="CFM1" s="536"/>
      <c r="CFN1" s="536"/>
      <c r="CFO1" s="536"/>
      <c r="CFP1" s="536"/>
      <c r="CFQ1" s="536"/>
      <c r="CFR1" s="536"/>
      <c r="CFS1" s="536"/>
      <c r="CFT1" s="536"/>
      <c r="CFU1" s="536"/>
      <c r="CFV1" s="536"/>
      <c r="CFW1" s="536"/>
      <c r="CFX1" s="536"/>
      <c r="CFY1" s="536"/>
      <c r="CFZ1" s="536"/>
      <c r="CGA1" s="536"/>
      <c r="CGB1" s="536"/>
      <c r="CGC1" s="536"/>
      <c r="CGD1" s="536"/>
      <c r="CGE1" s="536"/>
      <c r="CGF1" s="536"/>
      <c r="CGG1" s="536"/>
      <c r="CGH1" s="536"/>
      <c r="CGI1" s="536"/>
      <c r="CGJ1" s="536"/>
      <c r="CGK1" s="536"/>
      <c r="CGL1" s="536"/>
      <c r="CGM1" s="536"/>
      <c r="CGN1" s="536"/>
      <c r="CGO1" s="536"/>
      <c r="CGP1" s="536"/>
      <c r="CGQ1" s="536"/>
      <c r="CGR1" s="536"/>
      <c r="CGS1" s="536"/>
      <c r="CGT1" s="536"/>
      <c r="CGU1" s="536"/>
      <c r="CGV1" s="536"/>
      <c r="CGW1" s="536"/>
      <c r="CGX1" s="536"/>
      <c r="CGY1" s="536"/>
      <c r="CGZ1" s="536"/>
      <c r="CHA1" s="536"/>
      <c r="CHB1" s="536"/>
      <c r="CHC1" s="536"/>
      <c r="CHD1" s="536"/>
      <c r="CHE1" s="536"/>
      <c r="CHF1" s="536"/>
      <c r="CHG1" s="536"/>
      <c r="CHH1" s="536"/>
      <c r="CHI1" s="536"/>
      <c r="CHJ1" s="536"/>
      <c r="CHK1" s="536"/>
      <c r="CHL1" s="536"/>
      <c r="CHM1" s="536"/>
      <c r="CHN1" s="536"/>
      <c r="CHO1" s="536"/>
      <c r="CHP1" s="536"/>
      <c r="CHQ1" s="536"/>
      <c r="CHR1" s="536"/>
      <c r="CHS1" s="536"/>
      <c r="CHT1" s="536"/>
      <c r="CHU1" s="536"/>
      <c r="CHV1" s="536"/>
      <c r="CHW1" s="536"/>
      <c r="CHX1" s="536"/>
      <c r="CHY1" s="536"/>
      <c r="CHZ1" s="536"/>
      <c r="CIA1" s="536"/>
      <c r="CIB1" s="536"/>
      <c r="CIC1" s="536"/>
      <c r="CID1" s="536"/>
      <c r="CIE1" s="536"/>
      <c r="CIF1" s="536"/>
      <c r="CIG1" s="536"/>
      <c r="CIH1" s="536"/>
      <c r="CII1" s="536"/>
      <c r="CIJ1" s="536"/>
      <c r="CIK1" s="536"/>
      <c r="CIL1" s="536"/>
      <c r="CIM1" s="536"/>
      <c r="CIN1" s="536"/>
      <c r="CIO1" s="536"/>
      <c r="CIP1" s="536"/>
      <c r="CIQ1" s="536"/>
      <c r="CIR1" s="536"/>
      <c r="CIS1" s="536"/>
      <c r="CIT1" s="536"/>
      <c r="CIU1" s="536"/>
      <c r="CIV1" s="536"/>
      <c r="CIW1" s="536"/>
      <c r="CIX1" s="536"/>
      <c r="CIY1" s="536"/>
      <c r="CIZ1" s="536"/>
      <c r="CJA1" s="536"/>
      <c r="CJB1" s="536"/>
      <c r="CJC1" s="536"/>
      <c r="CJD1" s="536"/>
      <c r="CJE1" s="536"/>
      <c r="CJF1" s="536"/>
      <c r="CJG1" s="536"/>
      <c r="CJH1" s="536"/>
      <c r="CJI1" s="536"/>
      <c r="CJJ1" s="536"/>
      <c r="CJK1" s="536"/>
      <c r="CJL1" s="536"/>
      <c r="CJM1" s="536"/>
      <c r="CJN1" s="536"/>
      <c r="CJO1" s="536"/>
      <c r="CJP1" s="536"/>
      <c r="CJQ1" s="536"/>
      <c r="CJR1" s="536"/>
      <c r="CJS1" s="536"/>
      <c r="CJT1" s="536"/>
      <c r="CJU1" s="536"/>
      <c r="CJV1" s="536"/>
      <c r="CJW1" s="536"/>
      <c r="CJX1" s="536"/>
      <c r="CJY1" s="536"/>
      <c r="CJZ1" s="536"/>
      <c r="CKA1" s="536"/>
      <c r="CKB1" s="536"/>
      <c r="CKC1" s="536"/>
      <c r="CKD1" s="536"/>
      <c r="CKE1" s="536"/>
      <c r="CKF1" s="536"/>
      <c r="CKG1" s="536"/>
      <c r="CKH1" s="536"/>
      <c r="CKI1" s="536"/>
      <c r="CKJ1" s="536"/>
      <c r="CKK1" s="536"/>
      <c r="CKL1" s="536"/>
      <c r="CKM1" s="536"/>
      <c r="CKN1" s="536"/>
      <c r="CKO1" s="536"/>
      <c r="CKP1" s="536"/>
      <c r="CKQ1" s="536"/>
      <c r="CKR1" s="536"/>
      <c r="CKS1" s="536"/>
      <c r="CKT1" s="536"/>
      <c r="CKU1" s="536"/>
      <c r="CKV1" s="536"/>
      <c r="CKW1" s="536"/>
      <c r="CKX1" s="536"/>
      <c r="CKY1" s="536"/>
      <c r="CKZ1" s="536"/>
      <c r="CLA1" s="536"/>
      <c r="CLB1" s="536"/>
      <c r="CLC1" s="536"/>
      <c r="CLD1" s="536"/>
      <c r="CLE1" s="536"/>
      <c r="CLF1" s="536"/>
      <c r="CLG1" s="536"/>
      <c r="CLH1" s="536"/>
      <c r="CLI1" s="536"/>
      <c r="CLJ1" s="536"/>
      <c r="CLK1" s="536"/>
      <c r="CLL1" s="536"/>
      <c r="CLM1" s="536"/>
      <c r="CLN1" s="536"/>
      <c r="CLO1" s="536"/>
      <c r="CLP1" s="536"/>
      <c r="CLQ1" s="536"/>
      <c r="CLR1" s="536"/>
      <c r="CLS1" s="536"/>
      <c r="CLT1" s="536"/>
      <c r="CLU1" s="536"/>
      <c r="CLV1" s="536"/>
      <c r="CLW1" s="536"/>
      <c r="CLX1" s="536"/>
      <c r="CLY1" s="536"/>
      <c r="CLZ1" s="536"/>
      <c r="CMA1" s="536"/>
      <c r="CMB1" s="536"/>
      <c r="CMC1" s="536"/>
      <c r="CMD1" s="536"/>
      <c r="CME1" s="536"/>
      <c r="CMF1" s="536"/>
      <c r="CMG1" s="536"/>
      <c r="CMH1" s="536"/>
      <c r="CMI1" s="536"/>
      <c r="CMJ1" s="536"/>
      <c r="CMK1" s="536"/>
      <c r="CML1" s="536"/>
      <c r="CMM1" s="536"/>
      <c r="CMN1" s="536"/>
      <c r="CMO1" s="536"/>
      <c r="CMP1" s="536"/>
      <c r="CMQ1" s="536"/>
      <c r="CMR1" s="536"/>
      <c r="CMS1" s="536"/>
      <c r="CMT1" s="536"/>
      <c r="CMU1" s="536"/>
      <c r="CMV1" s="536"/>
      <c r="CMW1" s="536"/>
      <c r="CMX1" s="536"/>
      <c r="CMY1" s="536"/>
      <c r="CMZ1" s="536"/>
      <c r="CNA1" s="536"/>
      <c r="CNB1" s="536"/>
      <c r="CNC1" s="536"/>
      <c r="CND1" s="536"/>
      <c r="CNE1" s="536"/>
      <c r="CNF1" s="536"/>
      <c r="CNG1" s="536"/>
      <c r="CNH1" s="536"/>
      <c r="CNI1" s="536"/>
      <c r="CNJ1" s="536"/>
      <c r="CNK1" s="536"/>
      <c r="CNL1" s="536"/>
      <c r="CNM1" s="536"/>
      <c r="CNN1" s="536"/>
      <c r="CNO1" s="536"/>
      <c r="CNP1" s="536"/>
      <c r="CNQ1" s="536"/>
      <c r="CNR1" s="536"/>
      <c r="CNS1" s="536"/>
      <c r="CNT1" s="536"/>
      <c r="CNU1" s="536"/>
      <c r="CNV1" s="536"/>
      <c r="CNW1" s="536"/>
      <c r="CNX1" s="536"/>
      <c r="CNY1" s="536"/>
      <c r="CNZ1" s="536"/>
      <c r="COA1" s="536"/>
      <c r="COB1" s="536"/>
      <c r="COC1" s="536"/>
      <c r="COD1" s="536"/>
      <c r="COE1" s="536"/>
      <c r="COF1" s="536"/>
      <c r="COG1" s="536"/>
      <c r="COH1" s="536"/>
      <c r="COI1" s="536"/>
      <c r="COJ1" s="536"/>
      <c r="COK1" s="536"/>
      <c r="COL1" s="536"/>
      <c r="COM1" s="536"/>
      <c r="CON1" s="536"/>
      <c r="COO1" s="536"/>
      <c r="COP1" s="536"/>
      <c r="COQ1" s="536"/>
      <c r="COR1" s="536"/>
      <c r="COS1" s="536"/>
      <c r="COT1" s="536"/>
      <c r="COU1" s="536"/>
      <c r="COV1" s="536"/>
      <c r="COW1" s="536"/>
      <c r="COX1" s="536"/>
      <c r="COY1" s="536"/>
      <c r="COZ1" s="536"/>
      <c r="CPA1" s="536"/>
      <c r="CPB1" s="536"/>
      <c r="CPC1" s="536"/>
      <c r="CPD1" s="536"/>
      <c r="CPE1" s="536"/>
      <c r="CPF1" s="536"/>
      <c r="CPG1" s="536"/>
      <c r="CPH1" s="536"/>
      <c r="CPI1" s="536"/>
      <c r="CPJ1" s="536"/>
      <c r="CPK1" s="536"/>
      <c r="CPL1" s="536"/>
      <c r="CPM1" s="536"/>
      <c r="CPN1" s="536"/>
      <c r="CPO1" s="536"/>
      <c r="CPP1" s="536"/>
      <c r="CPQ1" s="536"/>
      <c r="CPR1" s="536"/>
      <c r="CPS1" s="536"/>
      <c r="CPT1" s="536"/>
      <c r="CPU1" s="536"/>
      <c r="CPV1" s="536"/>
      <c r="CPW1" s="536"/>
      <c r="CPX1" s="536"/>
      <c r="CPY1" s="536"/>
      <c r="CPZ1" s="536"/>
      <c r="CQA1" s="536"/>
      <c r="CQB1" s="536"/>
      <c r="CQC1" s="536"/>
      <c r="CQD1" s="536"/>
      <c r="CQE1" s="536"/>
      <c r="CQF1" s="536"/>
      <c r="CQG1" s="536"/>
      <c r="CQH1" s="536"/>
      <c r="CQI1" s="536"/>
      <c r="CQJ1" s="536"/>
      <c r="CQK1" s="536"/>
      <c r="CQL1" s="536"/>
      <c r="CQM1" s="536"/>
      <c r="CQN1" s="536"/>
      <c r="CQO1" s="536"/>
      <c r="CQP1" s="536"/>
      <c r="CQQ1" s="536"/>
      <c r="CQR1" s="536"/>
      <c r="CQS1" s="536"/>
      <c r="CQT1" s="536"/>
      <c r="CQU1" s="536"/>
      <c r="CQV1" s="536"/>
      <c r="CQW1" s="536"/>
      <c r="CQX1" s="536"/>
      <c r="CQY1" s="536"/>
      <c r="CQZ1" s="536"/>
      <c r="CRA1" s="536"/>
      <c r="CRB1" s="536"/>
      <c r="CRC1" s="536"/>
      <c r="CRD1" s="536"/>
      <c r="CRE1" s="536"/>
      <c r="CRF1" s="536"/>
      <c r="CRG1" s="536"/>
      <c r="CRH1" s="536"/>
      <c r="CRI1" s="536"/>
      <c r="CRJ1" s="536"/>
      <c r="CRK1" s="536"/>
      <c r="CRL1" s="536"/>
      <c r="CRM1" s="536"/>
      <c r="CRN1" s="536"/>
      <c r="CRO1" s="536"/>
      <c r="CRP1" s="536"/>
      <c r="CRQ1" s="536"/>
      <c r="CRR1" s="536"/>
      <c r="CRS1" s="536"/>
      <c r="CRT1" s="536"/>
      <c r="CRU1" s="536"/>
      <c r="CRV1" s="536"/>
      <c r="CRW1" s="536"/>
      <c r="CRX1" s="536"/>
      <c r="CRY1" s="536"/>
      <c r="CRZ1" s="536"/>
      <c r="CSA1" s="536"/>
      <c r="CSB1" s="536"/>
      <c r="CSC1" s="536"/>
      <c r="CSD1" s="536"/>
      <c r="CSE1" s="536"/>
      <c r="CSF1" s="536"/>
      <c r="CSG1" s="536"/>
      <c r="CSH1" s="536"/>
      <c r="CSI1" s="536"/>
      <c r="CSJ1" s="536"/>
      <c r="CSK1" s="536"/>
      <c r="CSL1" s="536"/>
      <c r="CSM1" s="536"/>
      <c r="CSN1" s="536"/>
      <c r="CSO1" s="536"/>
      <c r="CSP1" s="536"/>
      <c r="CSQ1" s="536"/>
      <c r="CSR1" s="536"/>
      <c r="CSS1" s="536"/>
      <c r="CST1" s="536"/>
      <c r="CSU1" s="536"/>
      <c r="CSV1" s="536"/>
      <c r="CSW1" s="536"/>
      <c r="CSX1" s="536"/>
      <c r="CSY1" s="536"/>
      <c r="CSZ1" s="536"/>
      <c r="CTA1" s="536"/>
      <c r="CTB1" s="536"/>
      <c r="CTC1" s="536"/>
      <c r="CTD1" s="536"/>
      <c r="CTE1" s="536"/>
      <c r="CTF1" s="536"/>
      <c r="CTG1" s="536"/>
      <c r="CTH1" s="536"/>
      <c r="CTI1" s="536"/>
      <c r="CTJ1" s="536"/>
      <c r="CTK1" s="536"/>
      <c r="CTL1" s="536"/>
      <c r="CTM1" s="536"/>
      <c r="CTN1" s="536"/>
      <c r="CTO1" s="536"/>
      <c r="CTP1" s="536"/>
      <c r="CTQ1" s="536"/>
      <c r="CTR1" s="536"/>
      <c r="CTS1" s="536"/>
      <c r="CTT1" s="536"/>
      <c r="CTU1" s="536"/>
      <c r="CTV1" s="536"/>
      <c r="CTW1" s="536"/>
      <c r="CTX1" s="536"/>
      <c r="CTY1" s="536"/>
      <c r="CTZ1" s="536"/>
      <c r="CUA1" s="536"/>
      <c r="CUB1" s="536"/>
      <c r="CUC1" s="536"/>
      <c r="CUD1" s="536"/>
      <c r="CUE1" s="536"/>
      <c r="CUF1" s="536"/>
      <c r="CUG1" s="536"/>
      <c r="CUH1" s="536"/>
      <c r="CUI1" s="536"/>
      <c r="CUJ1" s="536"/>
      <c r="CUK1" s="536"/>
      <c r="CUL1" s="536"/>
      <c r="CUM1" s="536"/>
      <c r="CUN1" s="536"/>
      <c r="CUO1" s="536"/>
      <c r="CUP1" s="536"/>
      <c r="CUQ1" s="536"/>
      <c r="CUR1" s="536"/>
      <c r="CUS1" s="536"/>
      <c r="CUT1" s="536"/>
      <c r="CUU1" s="536"/>
      <c r="CUV1" s="536"/>
      <c r="CUW1" s="536"/>
      <c r="CUX1" s="536"/>
      <c r="CUY1" s="536"/>
      <c r="CUZ1" s="536"/>
      <c r="CVA1" s="536"/>
      <c r="CVB1" s="536"/>
      <c r="CVC1" s="536"/>
      <c r="CVD1" s="536"/>
      <c r="CVE1" s="536"/>
      <c r="CVF1" s="536"/>
      <c r="CVG1" s="536"/>
      <c r="CVH1" s="536"/>
      <c r="CVI1" s="536"/>
      <c r="CVJ1" s="536"/>
      <c r="CVK1" s="536"/>
      <c r="CVL1" s="536"/>
      <c r="CVM1" s="536"/>
      <c r="CVN1" s="536"/>
      <c r="CVO1" s="536"/>
      <c r="CVP1" s="536"/>
      <c r="CVQ1" s="536"/>
      <c r="CVR1" s="536"/>
      <c r="CVS1" s="536"/>
      <c r="CVT1" s="536"/>
      <c r="CVU1" s="536"/>
      <c r="CVV1" s="536"/>
      <c r="CVW1" s="536"/>
      <c r="CVX1" s="536"/>
      <c r="CVY1" s="536"/>
      <c r="CVZ1" s="536"/>
      <c r="CWA1" s="536"/>
      <c r="CWB1" s="536"/>
      <c r="CWC1" s="536"/>
      <c r="CWD1" s="536"/>
      <c r="CWE1" s="536"/>
      <c r="CWF1" s="536"/>
      <c r="CWG1" s="536"/>
      <c r="CWH1" s="536"/>
      <c r="CWI1" s="536"/>
      <c r="CWJ1" s="536"/>
      <c r="CWK1" s="536"/>
      <c r="CWL1" s="536"/>
      <c r="CWM1" s="536"/>
      <c r="CWN1" s="536"/>
      <c r="CWO1" s="536"/>
      <c r="CWP1" s="536"/>
      <c r="CWQ1" s="536"/>
      <c r="CWR1" s="536"/>
      <c r="CWS1" s="536"/>
      <c r="CWT1" s="536"/>
      <c r="CWU1" s="536"/>
      <c r="CWV1" s="536"/>
      <c r="CWW1" s="536"/>
      <c r="CWX1" s="536"/>
      <c r="CWY1" s="536"/>
      <c r="CWZ1" s="536"/>
      <c r="CXA1" s="536"/>
      <c r="CXB1" s="536"/>
      <c r="CXC1" s="536"/>
      <c r="CXD1" s="536"/>
      <c r="CXE1" s="536"/>
      <c r="CXF1" s="536"/>
      <c r="CXG1" s="536"/>
      <c r="CXH1" s="536"/>
      <c r="CXI1" s="536"/>
      <c r="CXJ1" s="536"/>
      <c r="CXK1" s="536"/>
      <c r="CXL1" s="536"/>
      <c r="CXM1" s="536"/>
      <c r="CXN1" s="536"/>
      <c r="CXO1" s="536"/>
      <c r="CXP1" s="536"/>
      <c r="CXQ1" s="536"/>
      <c r="CXR1" s="536"/>
      <c r="CXS1" s="536"/>
      <c r="CXT1" s="536"/>
      <c r="CXU1" s="536"/>
      <c r="CXV1" s="536"/>
      <c r="CXW1" s="536"/>
      <c r="CXX1" s="536"/>
      <c r="CXY1" s="536"/>
      <c r="CXZ1" s="536"/>
      <c r="CYA1" s="536"/>
      <c r="CYB1" s="536"/>
      <c r="CYC1" s="536"/>
      <c r="CYD1" s="536"/>
      <c r="CYE1" s="536"/>
      <c r="CYF1" s="536"/>
      <c r="CYG1" s="536"/>
      <c r="CYH1" s="536"/>
      <c r="CYI1" s="536"/>
      <c r="CYJ1" s="536"/>
      <c r="CYK1" s="536"/>
      <c r="CYL1" s="536"/>
      <c r="CYM1" s="536"/>
      <c r="CYN1" s="536"/>
      <c r="CYO1" s="536"/>
      <c r="CYP1" s="536"/>
      <c r="CYQ1" s="536"/>
      <c r="CYR1" s="536"/>
      <c r="CYS1" s="536"/>
      <c r="CYT1" s="536"/>
      <c r="CYU1" s="536"/>
      <c r="CYV1" s="536"/>
      <c r="CYW1" s="536"/>
      <c r="CYX1" s="536"/>
      <c r="CYY1" s="536"/>
      <c r="CYZ1" s="536"/>
      <c r="CZA1" s="536"/>
      <c r="CZB1" s="536"/>
      <c r="CZC1" s="536"/>
      <c r="CZD1" s="536"/>
      <c r="CZE1" s="536"/>
      <c r="CZF1" s="536"/>
      <c r="CZG1" s="536"/>
      <c r="CZH1" s="536"/>
      <c r="CZI1" s="536"/>
      <c r="CZJ1" s="536"/>
      <c r="CZK1" s="536"/>
      <c r="CZL1" s="536"/>
      <c r="CZM1" s="536"/>
      <c r="CZN1" s="536"/>
      <c r="CZO1" s="536"/>
      <c r="CZP1" s="536"/>
      <c r="CZQ1" s="536"/>
      <c r="CZR1" s="536"/>
      <c r="CZS1" s="536"/>
      <c r="CZT1" s="536"/>
      <c r="CZU1" s="536"/>
      <c r="CZV1" s="536"/>
      <c r="CZW1" s="536"/>
      <c r="CZX1" s="536"/>
      <c r="CZY1" s="536"/>
      <c r="CZZ1" s="536"/>
      <c r="DAA1" s="536"/>
      <c r="DAB1" s="536"/>
      <c r="DAC1" s="536"/>
      <c r="DAD1" s="536"/>
      <c r="DAE1" s="536"/>
      <c r="DAF1" s="536"/>
      <c r="DAG1" s="536"/>
      <c r="DAH1" s="536"/>
      <c r="DAI1" s="536"/>
      <c r="DAJ1" s="536"/>
      <c r="DAK1" s="536"/>
      <c r="DAL1" s="536"/>
      <c r="DAM1" s="536"/>
      <c r="DAN1" s="536"/>
      <c r="DAO1" s="536"/>
      <c r="DAP1" s="536"/>
      <c r="DAQ1" s="536"/>
      <c r="DAR1" s="536"/>
      <c r="DAS1" s="536"/>
      <c r="DAT1" s="536"/>
      <c r="DAU1" s="536"/>
      <c r="DAV1" s="536"/>
      <c r="DAW1" s="536"/>
      <c r="DAX1" s="536"/>
      <c r="DAY1" s="536"/>
      <c r="DAZ1" s="536"/>
      <c r="DBA1" s="536"/>
      <c r="DBB1" s="536"/>
      <c r="DBC1" s="536"/>
      <c r="DBD1" s="536"/>
      <c r="DBE1" s="536"/>
      <c r="DBF1" s="536"/>
      <c r="DBG1" s="536"/>
      <c r="DBH1" s="536"/>
      <c r="DBI1" s="536"/>
      <c r="DBJ1" s="536"/>
      <c r="DBK1" s="536"/>
      <c r="DBL1" s="536"/>
      <c r="DBM1" s="536"/>
      <c r="DBN1" s="536"/>
      <c r="DBO1" s="536"/>
      <c r="DBP1" s="536"/>
      <c r="DBQ1" s="536"/>
      <c r="DBR1" s="536"/>
      <c r="DBS1" s="536"/>
      <c r="DBT1" s="536"/>
      <c r="DBU1" s="536"/>
      <c r="DBV1" s="536"/>
      <c r="DBW1" s="536"/>
      <c r="DBX1" s="536"/>
      <c r="DBY1" s="536"/>
      <c r="DBZ1" s="536"/>
      <c r="DCA1" s="536"/>
      <c r="DCB1" s="536"/>
      <c r="DCC1" s="536"/>
      <c r="DCD1" s="536"/>
      <c r="DCE1" s="536"/>
      <c r="DCF1" s="536"/>
      <c r="DCG1" s="536"/>
      <c r="DCH1" s="536"/>
      <c r="DCI1" s="536"/>
      <c r="DCJ1" s="536"/>
      <c r="DCK1" s="536"/>
      <c r="DCL1" s="536"/>
      <c r="DCM1" s="536"/>
      <c r="DCN1" s="536"/>
      <c r="DCO1" s="536"/>
      <c r="DCP1" s="536"/>
      <c r="DCQ1" s="536"/>
      <c r="DCR1" s="536"/>
      <c r="DCS1" s="536"/>
      <c r="DCT1" s="536"/>
      <c r="DCU1" s="536"/>
      <c r="DCV1" s="536"/>
      <c r="DCW1" s="536"/>
      <c r="DCX1" s="536"/>
      <c r="DCY1" s="536"/>
      <c r="DCZ1" s="536"/>
      <c r="DDA1" s="536"/>
      <c r="DDB1" s="536"/>
      <c r="DDC1" s="536"/>
      <c r="DDD1" s="536"/>
      <c r="DDE1" s="536"/>
      <c r="DDF1" s="536"/>
      <c r="DDG1" s="536"/>
      <c r="DDH1" s="536"/>
      <c r="DDI1" s="536"/>
      <c r="DDJ1" s="536"/>
      <c r="DDK1" s="536"/>
      <c r="DDL1" s="536"/>
      <c r="DDM1" s="536"/>
      <c r="DDN1" s="536"/>
      <c r="DDO1" s="536"/>
      <c r="DDP1" s="536"/>
      <c r="DDQ1" s="536"/>
      <c r="DDR1" s="536"/>
      <c r="DDS1" s="536"/>
      <c r="DDT1" s="536"/>
      <c r="DDU1" s="536"/>
      <c r="DDV1" s="536"/>
      <c r="DDW1" s="536"/>
      <c r="DDX1" s="536"/>
      <c r="DDY1" s="536"/>
      <c r="DDZ1" s="536"/>
      <c r="DEA1" s="536"/>
      <c r="DEB1" s="536"/>
      <c r="DEC1" s="536"/>
      <c r="DED1" s="536"/>
      <c r="DEE1" s="536"/>
      <c r="DEF1" s="536"/>
      <c r="DEG1" s="536"/>
      <c r="DEH1" s="536"/>
      <c r="DEI1" s="536"/>
      <c r="DEJ1" s="536"/>
      <c r="DEK1" s="536"/>
      <c r="DEL1" s="536"/>
      <c r="DEM1" s="536"/>
      <c r="DEN1" s="536"/>
      <c r="DEO1" s="536"/>
      <c r="DEP1" s="536"/>
      <c r="DEQ1" s="536"/>
      <c r="DER1" s="536"/>
      <c r="DES1" s="536"/>
      <c r="DET1" s="536"/>
      <c r="DEU1" s="536"/>
      <c r="DEV1" s="536"/>
      <c r="DEW1" s="536"/>
      <c r="DEX1" s="536"/>
      <c r="DEY1" s="536"/>
      <c r="DEZ1" s="536"/>
      <c r="DFA1" s="536"/>
      <c r="DFB1" s="536"/>
      <c r="DFC1" s="536"/>
      <c r="DFD1" s="536"/>
      <c r="DFE1" s="536"/>
      <c r="DFF1" s="536"/>
      <c r="DFG1" s="536"/>
      <c r="DFH1" s="536"/>
      <c r="DFI1" s="536"/>
      <c r="DFJ1" s="536"/>
      <c r="DFK1" s="536"/>
      <c r="DFL1" s="536"/>
      <c r="DFM1" s="536"/>
      <c r="DFN1" s="536"/>
      <c r="DFO1" s="536"/>
      <c r="DFP1" s="536"/>
      <c r="DFQ1" s="536"/>
      <c r="DFR1" s="536"/>
      <c r="DFS1" s="536"/>
      <c r="DFT1" s="536"/>
      <c r="DFU1" s="536"/>
      <c r="DFV1" s="536"/>
      <c r="DFW1" s="536"/>
      <c r="DFX1" s="536"/>
      <c r="DFY1" s="536"/>
      <c r="DFZ1" s="536"/>
      <c r="DGA1" s="536"/>
      <c r="DGB1" s="536"/>
      <c r="DGC1" s="536"/>
      <c r="DGD1" s="536"/>
      <c r="DGE1" s="536"/>
      <c r="DGF1" s="536"/>
      <c r="DGG1" s="536"/>
      <c r="DGH1" s="536"/>
      <c r="DGI1" s="536"/>
      <c r="DGJ1" s="536"/>
      <c r="DGK1" s="536"/>
      <c r="DGL1" s="536"/>
      <c r="DGM1" s="536"/>
      <c r="DGN1" s="536"/>
      <c r="DGO1" s="536"/>
      <c r="DGP1" s="536"/>
      <c r="DGQ1" s="536"/>
      <c r="DGR1" s="536"/>
      <c r="DGS1" s="536"/>
      <c r="DGT1" s="536"/>
      <c r="DGU1" s="536"/>
      <c r="DGV1" s="536"/>
      <c r="DGW1" s="536"/>
      <c r="DGX1" s="536"/>
      <c r="DGY1" s="536"/>
      <c r="DGZ1" s="536"/>
      <c r="DHA1" s="536"/>
      <c r="DHB1" s="536"/>
      <c r="DHC1" s="536"/>
      <c r="DHD1" s="536"/>
      <c r="DHE1" s="536"/>
      <c r="DHF1" s="536"/>
      <c r="DHG1" s="536"/>
      <c r="DHH1" s="536"/>
      <c r="DHI1" s="536"/>
      <c r="DHJ1" s="536"/>
      <c r="DHK1" s="536"/>
      <c r="DHL1" s="536"/>
      <c r="DHM1" s="536"/>
      <c r="DHN1" s="536"/>
      <c r="DHO1" s="536"/>
      <c r="DHP1" s="536"/>
      <c r="DHQ1" s="536"/>
      <c r="DHR1" s="536"/>
      <c r="DHS1" s="536"/>
      <c r="DHT1" s="536"/>
      <c r="DHU1" s="536"/>
      <c r="DHV1" s="536"/>
      <c r="DHW1" s="536"/>
      <c r="DHX1" s="536"/>
      <c r="DHY1" s="536"/>
      <c r="DHZ1" s="536"/>
      <c r="DIA1" s="536"/>
      <c r="DIB1" s="536"/>
      <c r="DIC1" s="536"/>
      <c r="DID1" s="536"/>
      <c r="DIE1" s="536"/>
      <c r="DIF1" s="536"/>
      <c r="DIG1" s="536"/>
      <c r="DIH1" s="536"/>
      <c r="DII1" s="536"/>
      <c r="DIJ1" s="536"/>
      <c r="DIK1" s="536"/>
      <c r="DIL1" s="536"/>
      <c r="DIM1" s="536"/>
      <c r="DIN1" s="536"/>
      <c r="DIO1" s="536"/>
      <c r="DIP1" s="536"/>
      <c r="DIQ1" s="536"/>
      <c r="DIR1" s="536"/>
      <c r="DIS1" s="536"/>
      <c r="DIT1" s="536"/>
      <c r="DIU1" s="536"/>
      <c r="DIV1" s="536"/>
      <c r="DIW1" s="536"/>
      <c r="DIX1" s="536"/>
      <c r="DIY1" s="536"/>
      <c r="DIZ1" s="536"/>
      <c r="DJA1" s="536"/>
      <c r="DJB1" s="536"/>
      <c r="DJC1" s="536"/>
      <c r="DJD1" s="536"/>
      <c r="DJE1" s="536"/>
      <c r="DJF1" s="536"/>
      <c r="DJG1" s="536"/>
      <c r="DJH1" s="536"/>
      <c r="DJI1" s="536"/>
      <c r="DJJ1" s="536"/>
      <c r="DJK1" s="536"/>
      <c r="DJL1" s="536"/>
      <c r="DJM1" s="536"/>
      <c r="DJN1" s="536"/>
      <c r="DJO1" s="536"/>
      <c r="DJP1" s="536"/>
      <c r="DJQ1" s="536"/>
      <c r="DJR1" s="536"/>
      <c r="DJS1" s="536"/>
      <c r="DJT1" s="536"/>
      <c r="DJU1" s="536"/>
      <c r="DJV1" s="536"/>
      <c r="DJW1" s="536"/>
      <c r="DJX1" s="536"/>
      <c r="DJY1" s="536"/>
      <c r="DJZ1" s="536"/>
      <c r="DKA1" s="536"/>
      <c r="DKB1" s="536"/>
      <c r="DKC1" s="536"/>
      <c r="DKD1" s="536"/>
      <c r="DKE1" s="536"/>
      <c r="DKF1" s="536"/>
      <c r="DKG1" s="536"/>
      <c r="DKH1" s="536"/>
      <c r="DKI1" s="536"/>
      <c r="DKJ1" s="536"/>
      <c r="DKK1" s="536"/>
      <c r="DKL1" s="536"/>
      <c r="DKM1" s="536"/>
      <c r="DKN1" s="536"/>
      <c r="DKO1" s="536"/>
      <c r="DKP1" s="536"/>
      <c r="DKQ1" s="536"/>
      <c r="DKR1" s="536"/>
      <c r="DKS1" s="536"/>
      <c r="DKT1" s="536"/>
      <c r="DKU1" s="536"/>
      <c r="DKV1" s="536"/>
      <c r="DKW1" s="536"/>
      <c r="DKX1" s="536"/>
      <c r="DKY1" s="536"/>
      <c r="DKZ1" s="536"/>
      <c r="DLA1" s="536"/>
      <c r="DLB1" s="536"/>
      <c r="DLC1" s="536"/>
      <c r="DLD1" s="536"/>
      <c r="DLE1" s="536"/>
      <c r="DLF1" s="536"/>
      <c r="DLG1" s="536"/>
      <c r="DLH1" s="536"/>
      <c r="DLI1" s="536"/>
      <c r="DLJ1" s="536"/>
      <c r="DLK1" s="536"/>
      <c r="DLL1" s="536"/>
      <c r="DLM1" s="536"/>
      <c r="DLN1" s="536"/>
      <c r="DLO1" s="536"/>
      <c r="DLP1" s="536"/>
      <c r="DLQ1" s="536"/>
      <c r="DLR1" s="536"/>
      <c r="DLS1" s="536"/>
      <c r="DLT1" s="536"/>
      <c r="DLU1" s="536"/>
      <c r="DLV1" s="536"/>
      <c r="DLW1" s="536"/>
      <c r="DLX1" s="536"/>
      <c r="DLY1" s="536"/>
      <c r="DLZ1" s="536"/>
      <c r="DMA1" s="536"/>
      <c r="DMB1" s="536"/>
      <c r="DMC1" s="536"/>
      <c r="DMD1" s="536"/>
      <c r="DME1" s="536"/>
      <c r="DMF1" s="536"/>
      <c r="DMG1" s="536"/>
      <c r="DMH1" s="536"/>
      <c r="DMI1" s="536"/>
      <c r="DMJ1" s="536"/>
      <c r="DMK1" s="536"/>
      <c r="DML1" s="536"/>
      <c r="DMM1" s="536"/>
      <c r="DMN1" s="536"/>
      <c r="DMO1" s="536"/>
      <c r="DMP1" s="536"/>
      <c r="DMQ1" s="536"/>
      <c r="DMR1" s="536"/>
      <c r="DMS1" s="536"/>
      <c r="DMT1" s="536"/>
      <c r="DMU1" s="536"/>
      <c r="DMV1" s="536"/>
      <c r="DMW1" s="536"/>
      <c r="DMX1" s="536"/>
      <c r="DMY1" s="536"/>
      <c r="DMZ1" s="536"/>
      <c r="DNA1" s="536"/>
      <c r="DNB1" s="536"/>
      <c r="DNC1" s="536"/>
      <c r="DND1" s="536"/>
      <c r="DNE1" s="536"/>
      <c r="DNF1" s="536"/>
      <c r="DNG1" s="536"/>
      <c r="DNH1" s="536"/>
      <c r="DNI1" s="536"/>
      <c r="DNJ1" s="536"/>
      <c r="DNK1" s="536"/>
      <c r="DNL1" s="536"/>
      <c r="DNM1" s="536"/>
      <c r="DNN1" s="536"/>
      <c r="DNO1" s="536"/>
      <c r="DNP1" s="536"/>
      <c r="DNQ1" s="536"/>
      <c r="DNR1" s="536"/>
      <c r="DNS1" s="536"/>
      <c r="DNT1" s="536"/>
      <c r="DNU1" s="536"/>
      <c r="DNV1" s="536"/>
      <c r="DNW1" s="536"/>
      <c r="DNX1" s="536"/>
      <c r="DNY1" s="536"/>
      <c r="DNZ1" s="536"/>
      <c r="DOA1" s="536"/>
      <c r="DOB1" s="536"/>
      <c r="DOC1" s="536"/>
      <c r="DOD1" s="536"/>
      <c r="DOE1" s="536"/>
      <c r="DOF1" s="536"/>
      <c r="DOG1" s="536"/>
      <c r="DOH1" s="536"/>
      <c r="DOI1" s="536"/>
      <c r="DOJ1" s="536"/>
      <c r="DOK1" s="536"/>
      <c r="DOL1" s="536"/>
      <c r="DOM1" s="536"/>
      <c r="DON1" s="536"/>
      <c r="DOO1" s="536"/>
      <c r="DOP1" s="536"/>
      <c r="DOQ1" s="536"/>
      <c r="DOR1" s="536"/>
      <c r="DOS1" s="536"/>
      <c r="DOT1" s="536"/>
      <c r="DOU1" s="536"/>
      <c r="DOV1" s="536"/>
      <c r="DOW1" s="536"/>
      <c r="DOX1" s="536"/>
      <c r="DOY1" s="536"/>
      <c r="DOZ1" s="536"/>
      <c r="DPA1" s="536"/>
      <c r="DPB1" s="536"/>
      <c r="DPC1" s="536"/>
      <c r="DPD1" s="536"/>
      <c r="DPE1" s="536"/>
      <c r="DPF1" s="536"/>
      <c r="DPG1" s="536"/>
      <c r="DPH1" s="536"/>
      <c r="DPI1" s="536"/>
      <c r="DPJ1" s="536"/>
      <c r="DPK1" s="536"/>
      <c r="DPL1" s="536"/>
      <c r="DPM1" s="536"/>
      <c r="DPN1" s="536"/>
      <c r="DPO1" s="536"/>
      <c r="DPP1" s="536"/>
      <c r="DPQ1" s="536"/>
      <c r="DPR1" s="536"/>
      <c r="DPS1" s="536"/>
      <c r="DPT1" s="536"/>
      <c r="DPU1" s="536"/>
      <c r="DPV1" s="536"/>
      <c r="DPW1" s="536"/>
      <c r="DPX1" s="536"/>
      <c r="DPY1" s="536"/>
      <c r="DPZ1" s="536"/>
      <c r="DQA1" s="536"/>
      <c r="DQB1" s="536"/>
      <c r="DQC1" s="536"/>
      <c r="DQD1" s="536"/>
      <c r="DQE1" s="536"/>
      <c r="DQF1" s="536"/>
      <c r="DQG1" s="536"/>
      <c r="DQH1" s="536"/>
      <c r="DQI1" s="536"/>
      <c r="DQJ1" s="536"/>
      <c r="DQK1" s="536"/>
      <c r="DQL1" s="536"/>
      <c r="DQM1" s="536"/>
      <c r="DQN1" s="536"/>
      <c r="DQO1" s="536"/>
      <c r="DQP1" s="536"/>
      <c r="DQQ1" s="536"/>
      <c r="DQR1" s="536"/>
      <c r="DQS1" s="536"/>
      <c r="DQT1" s="536"/>
      <c r="DQU1" s="536"/>
      <c r="DQV1" s="536"/>
      <c r="DQW1" s="536"/>
      <c r="DQX1" s="536"/>
      <c r="DQY1" s="536"/>
      <c r="DQZ1" s="536"/>
      <c r="DRA1" s="536"/>
      <c r="DRB1" s="536"/>
      <c r="DRC1" s="536"/>
      <c r="DRD1" s="536"/>
      <c r="DRE1" s="536"/>
      <c r="DRF1" s="536"/>
      <c r="DRG1" s="536"/>
      <c r="DRH1" s="536"/>
      <c r="DRI1" s="536"/>
      <c r="DRJ1" s="536"/>
      <c r="DRK1" s="536"/>
      <c r="DRL1" s="536"/>
      <c r="DRM1" s="536"/>
      <c r="DRN1" s="536"/>
      <c r="DRO1" s="536"/>
      <c r="DRP1" s="536"/>
      <c r="DRQ1" s="536"/>
      <c r="DRR1" s="536"/>
      <c r="DRS1" s="536"/>
      <c r="DRT1" s="536"/>
      <c r="DRU1" s="536"/>
      <c r="DRV1" s="536"/>
      <c r="DRW1" s="536"/>
      <c r="DRX1" s="536"/>
      <c r="DRY1" s="536"/>
      <c r="DRZ1" s="536"/>
      <c r="DSA1" s="536"/>
      <c r="DSB1" s="536"/>
      <c r="DSC1" s="536"/>
      <c r="DSD1" s="536"/>
      <c r="DSE1" s="536"/>
      <c r="DSF1" s="536"/>
      <c r="DSG1" s="536"/>
      <c r="DSH1" s="536"/>
      <c r="DSI1" s="536"/>
      <c r="DSJ1" s="536"/>
      <c r="DSK1" s="536"/>
      <c r="DSL1" s="536"/>
      <c r="DSM1" s="536"/>
      <c r="DSN1" s="536"/>
      <c r="DSO1" s="536"/>
      <c r="DSP1" s="536"/>
      <c r="DSQ1" s="536"/>
      <c r="DSR1" s="536"/>
      <c r="DSS1" s="536"/>
      <c r="DST1" s="536"/>
      <c r="DSU1" s="536"/>
      <c r="DSV1" s="536"/>
      <c r="DSW1" s="536"/>
      <c r="DSX1" s="536"/>
      <c r="DSY1" s="536"/>
      <c r="DSZ1" s="536"/>
      <c r="DTA1" s="536"/>
      <c r="DTB1" s="536"/>
      <c r="DTC1" s="536"/>
      <c r="DTD1" s="536"/>
      <c r="DTE1" s="536"/>
      <c r="DTF1" s="536"/>
      <c r="DTG1" s="536"/>
      <c r="DTH1" s="536"/>
      <c r="DTI1" s="536"/>
      <c r="DTJ1" s="536"/>
      <c r="DTK1" s="536"/>
      <c r="DTL1" s="536"/>
      <c r="DTM1" s="536"/>
      <c r="DTN1" s="536"/>
      <c r="DTO1" s="536"/>
      <c r="DTP1" s="536"/>
      <c r="DTQ1" s="536"/>
      <c r="DTR1" s="536"/>
      <c r="DTS1" s="536"/>
      <c r="DTT1" s="536"/>
      <c r="DTU1" s="536"/>
      <c r="DTV1" s="536"/>
      <c r="DTW1" s="536"/>
      <c r="DTX1" s="536"/>
      <c r="DTY1" s="536"/>
      <c r="DTZ1" s="536"/>
      <c r="DUA1" s="536"/>
      <c r="DUB1" s="536"/>
      <c r="DUC1" s="536"/>
      <c r="DUD1" s="536"/>
      <c r="DUE1" s="536"/>
      <c r="DUF1" s="536"/>
      <c r="DUG1" s="536"/>
      <c r="DUH1" s="536"/>
      <c r="DUI1" s="536"/>
      <c r="DUJ1" s="536"/>
      <c r="DUK1" s="536"/>
      <c r="DUL1" s="536"/>
      <c r="DUM1" s="536"/>
      <c r="DUN1" s="536"/>
      <c r="DUO1" s="536"/>
      <c r="DUP1" s="536"/>
      <c r="DUQ1" s="536"/>
      <c r="DUR1" s="536"/>
      <c r="DUS1" s="536"/>
      <c r="DUT1" s="536"/>
      <c r="DUU1" s="536"/>
      <c r="DUV1" s="536"/>
      <c r="DUW1" s="536"/>
      <c r="DUX1" s="536"/>
      <c r="DUY1" s="536"/>
      <c r="DUZ1" s="536"/>
      <c r="DVA1" s="536"/>
      <c r="DVB1" s="536"/>
      <c r="DVC1" s="536"/>
      <c r="DVD1" s="536"/>
      <c r="DVE1" s="536"/>
      <c r="DVF1" s="536"/>
      <c r="DVG1" s="536"/>
      <c r="DVH1" s="536"/>
      <c r="DVI1" s="536"/>
      <c r="DVJ1" s="536"/>
      <c r="DVK1" s="536"/>
      <c r="DVL1" s="536"/>
      <c r="DVM1" s="536"/>
      <c r="DVN1" s="536"/>
      <c r="DVO1" s="536"/>
      <c r="DVP1" s="536"/>
      <c r="DVQ1" s="536"/>
      <c r="DVR1" s="536"/>
      <c r="DVS1" s="536"/>
      <c r="DVT1" s="536"/>
      <c r="DVU1" s="536"/>
      <c r="DVV1" s="536"/>
      <c r="DVW1" s="536"/>
      <c r="DVX1" s="536"/>
      <c r="DVY1" s="536"/>
      <c r="DVZ1" s="536"/>
      <c r="DWA1" s="536"/>
      <c r="DWB1" s="536"/>
      <c r="DWC1" s="536"/>
      <c r="DWD1" s="536"/>
      <c r="DWE1" s="536"/>
      <c r="DWF1" s="536"/>
      <c r="DWG1" s="536"/>
      <c r="DWH1" s="536"/>
      <c r="DWI1" s="536"/>
      <c r="DWJ1" s="536"/>
      <c r="DWK1" s="536"/>
      <c r="DWL1" s="536"/>
      <c r="DWM1" s="536"/>
      <c r="DWN1" s="536"/>
      <c r="DWO1" s="536"/>
      <c r="DWP1" s="536"/>
      <c r="DWQ1" s="536"/>
      <c r="DWR1" s="536"/>
      <c r="DWS1" s="536"/>
      <c r="DWT1" s="536"/>
      <c r="DWU1" s="536"/>
      <c r="DWV1" s="536"/>
      <c r="DWW1" s="536"/>
      <c r="DWX1" s="536"/>
      <c r="DWY1" s="536"/>
      <c r="DWZ1" s="536"/>
      <c r="DXA1" s="536"/>
      <c r="DXB1" s="536"/>
      <c r="DXC1" s="536"/>
      <c r="DXD1" s="536"/>
      <c r="DXE1" s="536"/>
      <c r="DXF1" s="536"/>
      <c r="DXG1" s="536"/>
      <c r="DXH1" s="536"/>
      <c r="DXI1" s="536"/>
      <c r="DXJ1" s="536"/>
      <c r="DXK1" s="536"/>
      <c r="DXL1" s="536"/>
      <c r="DXM1" s="536"/>
      <c r="DXN1" s="536"/>
      <c r="DXO1" s="536"/>
      <c r="DXP1" s="536"/>
      <c r="DXQ1" s="536"/>
      <c r="DXR1" s="536"/>
      <c r="DXS1" s="536"/>
      <c r="DXT1" s="536"/>
      <c r="DXU1" s="536"/>
      <c r="DXV1" s="536"/>
      <c r="DXW1" s="536"/>
      <c r="DXX1" s="536"/>
      <c r="DXY1" s="536"/>
      <c r="DXZ1" s="536"/>
      <c r="DYA1" s="536"/>
      <c r="DYB1" s="536"/>
      <c r="DYC1" s="536"/>
      <c r="DYD1" s="536"/>
      <c r="DYE1" s="536"/>
      <c r="DYF1" s="536"/>
      <c r="DYG1" s="536"/>
      <c r="DYH1" s="536"/>
      <c r="DYI1" s="536"/>
      <c r="DYJ1" s="536"/>
      <c r="DYK1" s="536"/>
      <c r="DYL1" s="536"/>
      <c r="DYM1" s="536"/>
      <c r="DYN1" s="536"/>
      <c r="DYO1" s="536"/>
      <c r="DYP1" s="536"/>
      <c r="DYQ1" s="536"/>
      <c r="DYR1" s="536"/>
      <c r="DYS1" s="536"/>
      <c r="DYT1" s="536"/>
      <c r="DYU1" s="536"/>
      <c r="DYV1" s="536"/>
      <c r="DYW1" s="536"/>
      <c r="DYX1" s="536"/>
      <c r="DYY1" s="536"/>
      <c r="DYZ1" s="536"/>
      <c r="DZA1" s="536"/>
      <c r="DZB1" s="536"/>
      <c r="DZC1" s="536"/>
      <c r="DZD1" s="536"/>
      <c r="DZE1" s="536"/>
      <c r="DZF1" s="536"/>
      <c r="DZG1" s="536"/>
      <c r="DZH1" s="536"/>
      <c r="DZI1" s="536"/>
      <c r="DZJ1" s="536"/>
      <c r="DZK1" s="536"/>
      <c r="DZL1" s="536"/>
      <c r="DZM1" s="536"/>
      <c r="DZN1" s="536"/>
      <c r="DZO1" s="536"/>
      <c r="DZP1" s="536"/>
      <c r="DZQ1" s="536"/>
      <c r="DZR1" s="536"/>
      <c r="DZS1" s="536"/>
      <c r="DZT1" s="536"/>
      <c r="DZU1" s="536"/>
      <c r="DZV1" s="536"/>
      <c r="DZW1" s="536"/>
      <c r="DZX1" s="536"/>
      <c r="DZY1" s="536"/>
      <c r="DZZ1" s="536"/>
      <c r="EAA1" s="536"/>
      <c r="EAB1" s="536"/>
      <c r="EAC1" s="536"/>
      <c r="EAD1" s="536"/>
      <c r="EAE1" s="536"/>
      <c r="EAF1" s="536"/>
      <c r="EAG1" s="536"/>
      <c r="EAH1" s="536"/>
      <c r="EAI1" s="536"/>
      <c r="EAJ1" s="536"/>
      <c r="EAK1" s="536"/>
      <c r="EAL1" s="536"/>
      <c r="EAM1" s="536"/>
      <c r="EAN1" s="536"/>
      <c r="EAO1" s="536"/>
      <c r="EAP1" s="536"/>
      <c r="EAQ1" s="536"/>
      <c r="EAR1" s="536"/>
      <c r="EAS1" s="536"/>
      <c r="EAT1" s="536"/>
      <c r="EAU1" s="536"/>
      <c r="EAV1" s="536"/>
      <c r="EAW1" s="536"/>
      <c r="EAX1" s="536"/>
      <c r="EAY1" s="536"/>
      <c r="EAZ1" s="536"/>
      <c r="EBA1" s="536"/>
      <c r="EBB1" s="536"/>
      <c r="EBC1" s="536"/>
      <c r="EBD1" s="536"/>
      <c r="EBE1" s="536"/>
      <c r="EBF1" s="536"/>
      <c r="EBG1" s="536"/>
      <c r="EBH1" s="536"/>
      <c r="EBI1" s="536"/>
      <c r="EBJ1" s="536"/>
      <c r="EBK1" s="536"/>
      <c r="EBL1" s="536"/>
      <c r="EBM1" s="536"/>
      <c r="EBN1" s="536"/>
      <c r="EBO1" s="536"/>
      <c r="EBP1" s="536"/>
      <c r="EBQ1" s="536"/>
      <c r="EBR1" s="536"/>
      <c r="EBS1" s="536"/>
      <c r="EBT1" s="536"/>
      <c r="EBU1" s="536"/>
      <c r="EBV1" s="536"/>
      <c r="EBW1" s="536"/>
      <c r="EBX1" s="536"/>
      <c r="EBY1" s="536"/>
      <c r="EBZ1" s="536"/>
      <c r="ECA1" s="536"/>
      <c r="ECB1" s="536"/>
      <c r="ECC1" s="536"/>
      <c r="ECD1" s="536"/>
      <c r="ECE1" s="536"/>
      <c r="ECF1" s="536"/>
      <c r="ECG1" s="536"/>
      <c r="ECH1" s="536"/>
      <c r="ECI1" s="536"/>
      <c r="ECJ1" s="536"/>
      <c r="ECK1" s="536"/>
      <c r="ECL1" s="536"/>
      <c r="ECM1" s="536"/>
      <c r="ECN1" s="536"/>
      <c r="ECO1" s="536"/>
      <c r="ECP1" s="536"/>
      <c r="ECQ1" s="536"/>
      <c r="ECR1" s="536"/>
      <c r="ECS1" s="536"/>
      <c r="ECT1" s="536"/>
      <c r="ECU1" s="536"/>
      <c r="ECV1" s="536"/>
      <c r="ECW1" s="536"/>
      <c r="ECX1" s="536"/>
      <c r="ECY1" s="536"/>
      <c r="ECZ1" s="536"/>
      <c r="EDA1" s="536"/>
      <c r="EDB1" s="536"/>
      <c r="EDC1" s="536"/>
      <c r="EDD1" s="536"/>
      <c r="EDE1" s="536"/>
      <c r="EDF1" s="536"/>
      <c r="EDG1" s="536"/>
      <c r="EDH1" s="536"/>
      <c r="EDI1" s="536"/>
      <c r="EDJ1" s="536"/>
      <c r="EDK1" s="536"/>
      <c r="EDL1" s="536"/>
      <c r="EDM1" s="536"/>
      <c r="EDN1" s="536"/>
      <c r="EDO1" s="536"/>
      <c r="EDP1" s="536"/>
      <c r="EDQ1" s="536"/>
      <c r="EDR1" s="536"/>
      <c r="EDS1" s="536"/>
      <c r="EDT1" s="536"/>
      <c r="EDU1" s="536"/>
      <c r="EDV1" s="536"/>
      <c r="EDW1" s="536"/>
      <c r="EDX1" s="536"/>
      <c r="EDY1" s="536"/>
      <c r="EDZ1" s="536"/>
      <c r="EEA1" s="536"/>
      <c r="EEB1" s="536"/>
      <c r="EEC1" s="536"/>
      <c r="EED1" s="536"/>
      <c r="EEE1" s="536"/>
      <c r="EEF1" s="536"/>
      <c r="EEG1" s="536"/>
      <c r="EEH1" s="536"/>
      <c r="EEI1" s="536"/>
      <c r="EEJ1" s="536"/>
      <c r="EEK1" s="536"/>
      <c r="EEL1" s="536"/>
      <c r="EEM1" s="536"/>
      <c r="EEN1" s="536"/>
      <c r="EEO1" s="536"/>
      <c r="EEP1" s="536"/>
      <c r="EEQ1" s="536"/>
      <c r="EER1" s="536"/>
      <c r="EES1" s="536"/>
      <c r="EET1" s="536"/>
      <c r="EEU1" s="536"/>
      <c r="EEV1" s="536"/>
      <c r="EEW1" s="536"/>
      <c r="EEX1" s="536"/>
      <c r="EEY1" s="536"/>
      <c r="EEZ1" s="536"/>
      <c r="EFA1" s="536"/>
      <c r="EFB1" s="536"/>
      <c r="EFC1" s="536"/>
      <c r="EFD1" s="536"/>
      <c r="EFE1" s="536"/>
      <c r="EFF1" s="536"/>
      <c r="EFG1" s="536"/>
      <c r="EFH1" s="536"/>
      <c r="EFI1" s="536"/>
      <c r="EFJ1" s="536"/>
      <c r="EFK1" s="536"/>
      <c r="EFL1" s="536"/>
      <c r="EFM1" s="536"/>
      <c r="EFN1" s="536"/>
      <c r="EFO1" s="536"/>
      <c r="EFP1" s="536"/>
      <c r="EFQ1" s="536"/>
      <c r="EFR1" s="536"/>
      <c r="EFS1" s="536"/>
      <c r="EFT1" s="536"/>
      <c r="EFU1" s="536"/>
      <c r="EFV1" s="536"/>
      <c r="EFW1" s="536"/>
      <c r="EFX1" s="536"/>
      <c r="EFY1" s="536"/>
      <c r="EFZ1" s="536"/>
      <c r="EGA1" s="536"/>
      <c r="EGB1" s="536"/>
      <c r="EGC1" s="536"/>
      <c r="EGD1" s="536"/>
      <c r="EGE1" s="536"/>
      <c r="EGF1" s="536"/>
      <c r="EGG1" s="536"/>
      <c r="EGH1" s="536"/>
      <c r="EGI1" s="536"/>
      <c r="EGJ1" s="536"/>
      <c r="EGK1" s="536"/>
      <c r="EGL1" s="536"/>
      <c r="EGM1" s="536"/>
      <c r="EGN1" s="536"/>
      <c r="EGO1" s="536"/>
      <c r="EGP1" s="536"/>
      <c r="EGQ1" s="536"/>
      <c r="EGR1" s="536"/>
      <c r="EGS1" s="536"/>
      <c r="EGT1" s="536"/>
      <c r="EGU1" s="536"/>
      <c r="EGV1" s="536"/>
      <c r="EGW1" s="536"/>
      <c r="EGX1" s="536"/>
      <c r="EGY1" s="536"/>
      <c r="EGZ1" s="536"/>
      <c r="EHA1" s="536"/>
      <c r="EHB1" s="536"/>
      <c r="EHC1" s="536"/>
      <c r="EHD1" s="536"/>
      <c r="EHE1" s="536"/>
      <c r="EHF1" s="536"/>
      <c r="EHG1" s="536"/>
      <c r="EHH1" s="536"/>
      <c r="EHI1" s="536"/>
      <c r="EHJ1" s="536"/>
      <c r="EHK1" s="536"/>
      <c r="EHL1" s="536"/>
      <c r="EHM1" s="536"/>
      <c r="EHN1" s="536"/>
      <c r="EHO1" s="536"/>
      <c r="EHP1" s="536"/>
      <c r="EHQ1" s="536"/>
      <c r="EHR1" s="536"/>
      <c r="EHS1" s="536"/>
      <c r="EHT1" s="536"/>
      <c r="EHU1" s="536"/>
      <c r="EHV1" s="536"/>
      <c r="EHW1" s="536"/>
      <c r="EHX1" s="536"/>
      <c r="EHY1" s="536"/>
      <c r="EHZ1" s="536"/>
      <c r="EIA1" s="536"/>
      <c r="EIB1" s="536"/>
      <c r="EIC1" s="536"/>
      <c r="EID1" s="536"/>
      <c r="EIE1" s="536"/>
      <c r="EIF1" s="536"/>
      <c r="EIG1" s="536"/>
      <c r="EIH1" s="536"/>
      <c r="EII1" s="536"/>
      <c r="EIJ1" s="536"/>
      <c r="EIK1" s="536"/>
      <c r="EIL1" s="536"/>
      <c r="EIM1" s="536"/>
      <c r="EIN1" s="536"/>
      <c r="EIO1" s="536"/>
      <c r="EIP1" s="536"/>
      <c r="EIQ1" s="536"/>
      <c r="EIR1" s="536"/>
      <c r="EIS1" s="536"/>
      <c r="EIT1" s="536"/>
      <c r="EIU1" s="536"/>
      <c r="EIV1" s="536"/>
      <c r="EIW1" s="536"/>
      <c r="EIX1" s="536"/>
      <c r="EIY1" s="536"/>
      <c r="EIZ1" s="536"/>
      <c r="EJA1" s="536"/>
      <c r="EJB1" s="536"/>
      <c r="EJC1" s="536"/>
      <c r="EJD1" s="536"/>
      <c r="EJE1" s="536"/>
      <c r="EJF1" s="536"/>
      <c r="EJG1" s="536"/>
      <c r="EJH1" s="536"/>
      <c r="EJI1" s="536"/>
      <c r="EJJ1" s="536"/>
      <c r="EJK1" s="536"/>
      <c r="EJL1" s="536"/>
      <c r="EJM1" s="536"/>
      <c r="EJN1" s="536"/>
      <c r="EJO1" s="536"/>
      <c r="EJP1" s="536"/>
      <c r="EJQ1" s="536"/>
      <c r="EJR1" s="536"/>
      <c r="EJS1" s="536"/>
      <c r="EJT1" s="536"/>
      <c r="EJU1" s="536"/>
      <c r="EJV1" s="536"/>
      <c r="EJW1" s="536"/>
      <c r="EJX1" s="536"/>
      <c r="EJY1" s="536"/>
      <c r="EJZ1" s="536"/>
      <c r="EKA1" s="536"/>
      <c r="EKB1" s="536"/>
      <c r="EKC1" s="536"/>
      <c r="EKD1" s="536"/>
      <c r="EKE1" s="536"/>
      <c r="EKF1" s="536"/>
      <c r="EKG1" s="536"/>
      <c r="EKH1" s="536"/>
      <c r="EKI1" s="536"/>
      <c r="EKJ1" s="536"/>
      <c r="EKK1" s="536"/>
      <c r="EKL1" s="536"/>
      <c r="EKM1" s="536"/>
      <c r="EKN1" s="536"/>
      <c r="EKO1" s="536"/>
      <c r="EKP1" s="536"/>
      <c r="EKQ1" s="536"/>
      <c r="EKR1" s="536"/>
      <c r="EKS1" s="536"/>
      <c r="EKT1" s="536"/>
      <c r="EKU1" s="536"/>
      <c r="EKV1" s="536"/>
      <c r="EKW1" s="536"/>
      <c r="EKX1" s="536"/>
      <c r="EKY1" s="536"/>
      <c r="EKZ1" s="536"/>
      <c r="ELA1" s="536"/>
      <c r="ELB1" s="536"/>
      <c r="ELC1" s="536"/>
      <c r="ELD1" s="536"/>
      <c r="ELE1" s="536"/>
      <c r="ELF1" s="536"/>
      <c r="ELG1" s="536"/>
      <c r="ELH1" s="536"/>
      <c r="ELI1" s="536"/>
      <c r="ELJ1" s="536"/>
      <c r="ELK1" s="536"/>
      <c r="ELL1" s="536"/>
      <c r="ELM1" s="536"/>
      <c r="ELN1" s="536"/>
      <c r="ELO1" s="536"/>
      <c r="ELP1" s="536"/>
      <c r="ELQ1" s="536"/>
      <c r="ELR1" s="536"/>
      <c r="ELS1" s="536"/>
      <c r="ELT1" s="536"/>
      <c r="ELU1" s="536"/>
      <c r="ELV1" s="536"/>
      <c r="ELW1" s="536"/>
      <c r="ELX1" s="536"/>
      <c r="ELY1" s="536"/>
      <c r="ELZ1" s="536"/>
      <c r="EMA1" s="536"/>
      <c r="EMB1" s="536"/>
      <c r="EMC1" s="536"/>
      <c r="EMD1" s="536"/>
      <c r="EME1" s="536"/>
      <c r="EMF1" s="536"/>
      <c r="EMG1" s="536"/>
      <c r="EMH1" s="536"/>
      <c r="EMI1" s="536"/>
      <c r="EMJ1" s="536"/>
      <c r="EMK1" s="536"/>
      <c r="EML1" s="536"/>
      <c r="EMM1" s="536"/>
      <c r="EMN1" s="536"/>
      <c r="EMO1" s="536"/>
      <c r="EMP1" s="536"/>
      <c r="EMQ1" s="536"/>
      <c r="EMR1" s="536"/>
      <c r="EMS1" s="536"/>
      <c r="EMT1" s="536"/>
      <c r="EMU1" s="536"/>
      <c r="EMV1" s="536"/>
      <c r="EMW1" s="536"/>
      <c r="EMX1" s="536"/>
      <c r="EMY1" s="536"/>
      <c r="EMZ1" s="536"/>
      <c r="ENA1" s="536"/>
      <c r="ENB1" s="536"/>
      <c r="ENC1" s="536"/>
      <c r="END1" s="536"/>
      <c r="ENE1" s="536"/>
      <c r="ENF1" s="536"/>
      <c r="ENG1" s="536"/>
      <c r="ENH1" s="536"/>
      <c r="ENI1" s="536"/>
      <c r="ENJ1" s="536"/>
      <c r="ENK1" s="536"/>
      <c r="ENL1" s="536"/>
      <c r="ENM1" s="536"/>
      <c r="ENN1" s="536"/>
      <c r="ENO1" s="536"/>
      <c r="ENP1" s="536"/>
      <c r="ENQ1" s="536"/>
      <c r="ENR1" s="536"/>
      <c r="ENS1" s="536"/>
      <c r="ENT1" s="536"/>
      <c r="ENU1" s="536"/>
      <c r="ENV1" s="536"/>
      <c r="ENW1" s="536"/>
      <c r="ENX1" s="536"/>
      <c r="ENY1" s="536"/>
      <c r="ENZ1" s="536"/>
      <c r="EOA1" s="536"/>
      <c r="EOB1" s="536"/>
      <c r="EOC1" s="536"/>
      <c r="EOD1" s="536"/>
      <c r="EOE1" s="536"/>
      <c r="EOF1" s="536"/>
      <c r="EOG1" s="536"/>
      <c r="EOH1" s="536"/>
      <c r="EOI1" s="536"/>
      <c r="EOJ1" s="536"/>
      <c r="EOK1" s="536"/>
      <c r="EOL1" s="536"/>
      <c r="EOM1" s="536"/>
      <c r="EON1" s="536"/>
      <c r="EOO1" s="536"/>
      <c r="EOP1" s="536"/>
      <c r="EOQ1" s="536"/>
      <c r="EOR1" s="536"/>
      <c r="EOS1" s="536"/>
      <c r="EOT1" s="536"/>
      <c r="EOU1" s="536"/>
      <c r="EOV1" s="536"/>
      <c r="EOW1" s="536"/>
      <c r="EOX1" s="536"/>
      <c r="EOY1" s="536"/>
      <c r="EOZ1" s="536"/>
      <c r="EPA1" s="536"/>
      <c r="EPB1" s="536"/>
      <c r="EPC1" s="536"/>
      <c r="EPD1" s="536"/>
      <c r="EPE1" s="536"/>
      <c r="EPF1" s="536"/>
      <c r="EPG1" s="536"/>
      <c r="EPH1" s="536"/>
      <c r="EPI1" s="536"/>
      <c r="EPJ1" s="536"/>
      <c r="EPK1" s="536"/>
      <c r="EPL1" s="536"/>
      <c r="EPM1" s="536"/>
      <c r="EPN1" s="536"/>
      <c r="EPO1" s="536"/>
      <c r="EPP1" s="536"/>
      <c r="EPQ1" s="536"/>
      <c r="EPR1" s="536"/>
      <c r="EPS1" s="536"/>
      <c r="EPT1" s="536"/>
      <c r="EPU1" s="536"/>
      <c r="EPV1" s="536"/>
      <c r="EPW1" s="536"/>
      <c r="EPX1" s="536"/>
      <c r="EPY1" s="536"/>
      <c r="EPZ1" s="536"/>
      <c r="EQA1" s="536"/>
      <c r="EQB1" s="536"/>
      <c r="EQC1" s="536"/>
      <c r="EQD1" s="536"/>
      <c r="EQE1" s="536"/>
      <c r="EQF1" s="536"/>
      <c r="EQG1" s="536"/>
      <c r="EQH1" s="536"/>
      <c r="EQI1" s="536"/>
      <c r="EQJ1" s="536"/>
      <c r="EQK1" s="536"/>
      <c r="EQL1" s="536"/>
      <c r="EQM1" s="536"/>
      <c r="EQN1" s="536"/>
      <c r="EQO1" s="536"/>
      <c r="EQP1" s="536"/>
      <c r="EQQ1" s="536"/>
      <c r="EQR1" s="536"/>
      <c r="EQS1" s="536"/>
      <c r="EQT1" s="536"/>
      <c r="EQU1" s="536"/>
      <c r="EQV1" s="536"/>
      <c r="EQW1" s="536"/>
      <c r="EQX1" s="536"/>
      <c r="EQY1" s="536"/>
      <c r="EQZ1" s="536"/>
      <c r="ERA1" s="536"/>
      <c r="ERB1" s="536"/>
      <c r="ERC1" s="536"/>
      <c r="ERD1" s="536"/>
      <c r="ERE1" s="536"/>
      <c r="ERF1" s="536"/>
      <c r="ERG1" s="536"/>
      <c r="ERH1" s="536"/>
      <c r="ERI1" s="536"/>
      <c r="ERJ1" s="536"/>
      <c r="ERK1" s="536"/>
      <c r="ERL1" s="536"/>
      <c r="ERM1" s="536"/>
      <c r="ERN1" s="536"/>
      <c r="ERO1" s="536"/>
      <c r="ERP1" s="536"/>
      <c r="ERQ1" s="536"/>
      <c r="ERR1" s="536"/>
      <c r="ERS1" s="536"/>
      <c r="ERT1" s="536"/>
      <c r="ERU1" s="536"/>
      <c r="ERV1" s="536"/>
      <c r="ERW1" s="536"/>
      <c r="ERX1" s="536"/>
      <c r="ERY1" s="536"/>
      <c r="ERZ1" s="536"/>
      <c r="ESA1" s="536"/>
      <c r="ESB1" s="536"/>
      <c r="ESC1" s="536"/>
      <c r="ESD1" s="536"/>
      <c r="ESE1" s="536"/>
      <c r="ESF1" s="536"/>
      <c r="ESG1" s="536"/>
      <c r="ESH1" s="536"/>
      <c r="ESI1" s="536"/>
      <c r="ESJ1" s="536"/>
      <c r="ESK1" s="536"/>
      <c r="ESL1" s="536"/>
      <c r="ESM1" s="536"/>
      <c r="ESN1" s="536"/>
      <c r="ESO1" s="536"/>
      <c r="ESP1" s="536"/>
      <c r="ESQ1" s="536"/>
      <c r="ESR1" s="536"/>
      <c r="ESS1" s="536"/>
      <c r="EST1" s="536"/>
      <c r="ESU1" s="536"/>
      <c r="ESV1" s="536"/>
      <c r="ESW1" s="536"/>
      <c r="ESX1" s="536"/>
      <c r="ESY1" s="536"/>
      <c r="ESZ1" s="536"/>
      <c r="ETA1" s="536"/>
      <c r="ETB1" s="536"/>
      <c r="ETC1" s="536"/>
      <c r="ETD1" s="536"/>
      <c r="ETE1" s="536"/>
      <c r="ETF1" s="536"/>
      <c r="ETG1" s="536"/>
      <c r="ETH1" s="536"/>
      <c r="ETI1" s="536"/>
      <c r="ETJ1" s="536"/>
      <c r="ETK1" s="536"/>
      <c r="ETL1" s="536"/>
      <c r="ETM1" s="536"/>
      <c r="ETN1" s="536"/>
      <c r="ETO1" s="536"/>
      <c r="ETP1" s="536"/>
      <c r="ETQ1" s="536"/>
      <c r="ETR1" s="536"/>
      <c r="ETS1" s="536"/>
      <c r="ETT1" s="536"/>
      <c r="ETU1" s="536"/>
      <c r="ETV1" s="536"/>
      <c r="ETW1" s="536"/>
      <c r="ETX1" s="536"/>
      <c r="ETY1" s="536"/>
      <c r="ETZ1" s="536"/>
      <c r="EUA1" s="536"/>
      <c r="EUB1" s="536"/>
      <c r="EUC1" s="536"/>
      <c r="EUD1" s="536"/>
      <c r="EUE1" s="536"/>
      <c r="EUF1" s="536"/>
      <c r="EUG1" s="536"/>
      <c r="EUH1" s="536"/>
      <c r="EUI1" s="536"/>
      <c r="EUJ1" s="536"/>
      <c r="EUK1" s="536"/>
      <c r="EUL1" s="536"/>
      <c r="EUM1" s="536"/>
      <c r="EUN1" s="536"/>
      <c r="EUO1" s="536"/>
      <c r="EUP1" s="536"/>
      <c r="EUQ1" s="536"/>
      <c r="EUR1" s="536"/>
      <c r="EUS1" s="536"/>
      <c r="EUT1" s="536"/>
      <c r="EUU1" s="536"/>
      <c r="EUV1" s="536"/>
      <c r="EUW1" s="536"/>
      <c r="EUX1" s="536"/>
      <c r="EUY1" s="536"/>
      <c r="EUZ1" s="536"/>
      <c r="EVA1" s="536"/>
      <c r="EVB1" s="536"/>
      <c r="EVC1" s="536"/>
      <c r="EVD1" s="536"/>
      <c r="EVE1" s="536"/>
      <c r="EVF1" s="536"/>
      <c r="EVG1" s="536"/>
      <c r="EVH1" s="536"/>
      <c r="EVI1" s="536"/>
      <c r="EVJ1" s="536"/>
      <c r="EVK1" s="536"/>
      <c r="EVL1" s="536"/>
      <c r="EVM1" s="536"/>
      <c r="EVN1" s="536"/>
      <c r="EVO1" s="536"/>
      <c r="EVP1" s="536"/>
      <c r="EVQ1" s="536"/>
      <c r="EVR1" s="536"/>
      <c r="EVS1" s="536"/>
      <c r="EVT1" s="536"/>
      <c r="EVU1" s="536"/>
      <c r="EVV1" s="536"/>
      <c r="EVW1" s="536"/>
      <c r="EVX1" s="536"/>
      <c r="EVY1" s="536"/>
      <c r="EVZ1" s="536"/>
      <c r="EWA1" s="536"/>
      <c r="EWB1" s="536"/>
      <c r="EWC1" s="536"/>
      <c r="EWD1" s="536"/>
      <c r="EWE1" s="536"/>
      <c r="EWF1" s="536"/>
      <c r="EWG1" s="536"/>
      <c r="EWH1" s="536"/>
      <c r="EWI1" s="536"/>
      <c r="EWJ1" s="536"/>
      <c r="EWK1" s="536"/>
      <c r="EWL1" s="536"/>
      <c r="EWM1" s="536"/>
      <c r="EWN1" s="536"/>
      <c r="EWO1" s="536"/>
      <c r="EWP1" s="536"/>
      <c r="EWQ1" s="536"/>
      <c r="EWR1" s="536"/>
      <c r="EWS1" s="536"/>
      <c r="EWT1" s="536"/>
      <c r="EWU1" s="536"/>
      <c r="EWV1" s="536"/>
      <c r="EWW1" s="536"/>
      <c r="EWX1" s="536"/>
      <c r="EWY1" s="536"/>
      <c r="EWZ1" s="536"/>
      <c r="EXA1" s="536"/>
      <c r="EXB1" s="536"/>
      <c r="EXC1" s="536"/>
      <c r="EXD1" s="536"/>
      <c r="EXE1" s="536"/>
      <c r="EXF1" s="536"/>
      <c r="EXG1" s="536"/>
      <c r="EXH1" s="536"/>
      <c r="EXI1" s="536"/>
      <c r="EXJ1" s="536"/>
      <c r="EXK1" s="536"/>
      <c r="EXL1" s="536"/>
      <c r="EXM1" s="536"/>
      <c r="EXN1" s="536"/>
      <c r="EXO1" s="536"/>
      <c r="EXP1" s="536"/>
      <c r="EXQ1" s="536"/>
      <c r="EXR1" s="536"/>
      <c r="EXS1" s="536"/>
      <c r="EXT1" s="536"/>
      <c r="EXU1" s="536"/>
      <c r="EXV1" s="536"/>
      <c r="EXW1" s="536"/>
      <c r="EXX1" s="536"/>
      <c r="EXY1" s="536"/>
      <c r="EXZ1" s="536"/>
      <c r="EYA1" s="536"/>
      <c r="EYB1" s="536"/>
      <c r="EYC1" s="536"/>
      <c r="EYD1" s="536"/>
      <c r="EYE1" s="536"/>
      <c r="EYF1" s="536"/>
      <c r="EYG1" s="536"/>
      <c r="EYH1" s="536"/>
      <c r="EYI1" s="536"/>
      <c r="EYJ1" s="536"/>
      <c r="EYK1" s="536"/>
      <c r="EYL1" s="536"/>
      <c r="EYM1" s="536"/>
      <c r="EYN1" s="536"/>
      <c r="EYO1" s="536"/>
      <c r="EYP1" s="536"/>
      <c r="EYQ1" s="536"/>
      <c r="EYR1" s="536"/>
      <c r="EYS1" s="536"/>
      <c r="EYT1" s="536"/>
      <c r="EYU1" s="536"/>
      <c r="EYV1" s="536"/>
      <c r="EYW1" s="536"/>
      <c r="EYX1" s="536"/>
      <c r="EYY1" s="536"/>
      <c r="EYZ1" s="536"/>
      <c r="EZA1" s="536"/>
      <c r="EZB1" s="536"/>
      <c r="EZC1" s="536"/>
      <c r="EZD1" s="536"/>
      <c r="EZE1" s="536"/>
      <c r="EZF1" s="536"/>
      <c r="EZG1" s="536"/>
      <c r="EZH1" s="536"/>
      <c r="EZI1" s="536"/>
      <c r="EZJ1" s="536"/>
      <c r="EZK1" s="536"/>
      <c r="EZL1" s="536"/>
      <c r="EZM1" s="536"/>
      <c r="EZN1" s="536"/>
      <c r="EZO1" s="536"/>
      <c r="EZP1" s="536"/>
      <c r="EZQ1" s="536"/>
      <c r="EZR1" s="536"/>
      <c r="EZS1" s="536"/>
      <c r="EZT1" s="536"/>
      <c r="EZU1" s="536"/>
      <c r="EZV1" s="536"/>
      <c r="EZW1" s="536"/>
      <c r="EZX1" s="536"/>
      <c r="EZY1" s="536"/>
      <c r="EZZ1" s="536"/>
      <c r="FAA1" s="536"/>
      <c r="FAB1" s="536"/>
      <c r="FAC1" s="536"/>
      <c r="FAD1" s="536"/>
      <c r="FAE1" s="536"/>
      <c r="FAF1" s="536"/>
      <c r="FAG1" s="536"/>
      <c r="FAH1" s="536"/>
      <c r="FAI1" s="536"/>
      <c r="FAJ1" s="536"/>
      <c r="FAK1" s="536"/>
      <c r="FAL1" s="536"/>
      <c r="FAM1" s="536"/>
      <c r="FAN1" s="536"/>
      <c r="FAO1" s="536"/>
      <c r="FAP1" s="536"/>
      <c r="FAQ1" s="536"/>
      <c r="FAR1" s="536"/>
      <c r="FAS1" s="536"/>
      <c r="FAT1" s="536"/>
      <c r="FAU1" s="536"/>
      <c r="FAV1" s="536"/>
      <c r="FAW1" s="536"/>
      <c r="FAX1" s="536"/>
      <c r="FAY1" s="536"/>
      <c r="FAZ1" s="536"/>
      <c r="FBA1" s="536"/>
      <c r="FBB1" s="536"/>
      <c r="FBC1" s="536"/>
      <c r="FBD1" s="536"/>
      <c r="FBE1" s="536"/>
      <c r="FBF1" s="536"/>
      <c r="FBG1" s="536"/>
      <c r="FBH1" s="536"/>
      <c r="FBI1" s="536"/>
      <c r="FBJ1" s="536"/>
      <c r="FBK1" s="536"/>
      <c r="FBL1" s="536"/>
      <c r="FBM1" s="536"/>
      <c r="FBN1" s="536"/>
      <c r="FBO1" s="536"/>
      <c r="FBP1" s="536"/>
      <c r="FBQ1" s="536"/>
      <c r="FBR1" s="536"/>
      <c r="FBS1" s="536"/>
      <c r="FBT1" s="536"/>
      <c r="FBU1" s="536"/>
      <c r="FBV1" s="536"/>
      <c r="FBW1" s="536"/>
      <c r="FBX1" s="536"/>
      <c r="FBY1" s="536"/>
      <c r="FBZ1" s="536"/>
      <c r="FCA1" s="536"/>
      <c r="FCB1" s="536"/>
      <c r="FCC1" s="536"/>
      <c r="FCD1" s="536"/>
      <c r="FCE1" s="536"/>
      <c r="FCF1" s="536"/>
      <c r="FCG1" s="536"/>
      <c r="FCH1" s="536"/>
      <c r="FCI1" s="536"/>
      <c r="FCJ1" s="536"/>
      <c r="FCK1" s="536"/>
      <c r="FCL1" s="536"/>
      <c r="FCM1" s="536"/>
      <c r="FCN1" s="536"/>
      <c r="FCO1" s="536"/>
      <c r="FCP1" s="536"/>
      <c r="FCQ1" s="536"/>
      <c r="FCR1" s="536"/>
      <c r="FCS1" s="536"/>
      <c r="FCT1" s="536"/>
      <c r="FCU1" s="536"/>
      <c r="FCV1" s="536"/>
      <c r="FCW1" s="536"/>
      <c r="FCX1" s="536"/>
      <c r="FCY1" s="536"/>
      <c r="FCZ1" s="536"/>
      <c r="FDA1" s="536"/>
      <c r="FDB1" s="536"/>
      <c r="FDC1" s="536"/>
      <c r="FDD1" s="536"/>
      <c r="FDE1" s="536"/>
      <c r="FDF1" s="536"/>
      <c r="FDG1" s="536"/>
      <c r="FDH1" s="536"/>
      <c r="FDI1" s="536"/>
      <c r="FDJ1" s="536"/>
      <c r="FDK1" s="536"/>
      <c r="FDL1" s="536"/>
      <c r="FDM1" s="536"/>
      <c r="FDN1" s="536"/>
      <c r="FDO1" s="536"/>
      <c r="FDP1" s="536"/>
      <c r="FDQ1" s="536"/>
      <c r="FDR1" s="536"/>
      <c r="FDS1" s="536"/>
      <c r="FDT1" s="536"/>
      <c r="FDU1" s="536"/>
      <c r="FDV1" s="536"/>
      <c r="FDW1" s="536"/>
      <c r="FDX1" s="536"/>
      <c r="FDY1" s="536"/>
      <c r="FDZ1" s="536"/>
      <c r="FEA1" s="536"/>
      <c r="FEB1" s="536"/>
      <c r="FEC1" s="536"/>
      <c r="FED1" s="536"/>
      <c r="FEE1" s="536"/>
      <c r="FEF1" s="536"/>
      <c r="FEG1" s="536"/>
      <c r="FEH1" s="536"/>
      <c r="FEI1" s="536"/>
      <c r="FEJ1" s="536"/>
      <c r="FEK1" s="536"/>
      <c r="FEL1" s="536"/>
      <c r="FEM1" s="536"/>
      <c r="FEN1" s="536"/>
      <c r="FEO1" s="536"/>
      <c r="FEP1" s="536"/>
      <c r="FEQ1" s="536"/>
      <c r="FER1" s="536"/>
      <c r="FES1" s="536"/>
      <c r="FET1" s="536"/>
      <c r="FEU1" s="536"/>
      <c r="FEV1" s="536"/>
      <c r="FEW1" s="536"/>
      <c r="FEX1" s="536"/>
      <c r="FEY1" s="536"/>
      <c r="FEZ1" s="536"/>
      <c r="FFA1" s="536"/>
      <c r="FFB1" s="536"/>
      <c r="FFC1" s="536"/>
      <c r="FFD1" s="536"/>
      <c r="FFE1" s="536"/>
      <c r="FFF1" s="536"/>
      <c r="FFG1" s="536"/>
      <c r="FFH1" s="536"/>
      <c r="FFI1" s="536"/>
      <c r="FFJ1" s="536"/>
      <c r="FFK1" s="536"/>
      <c r="FFL1" s="536"/>
      <c r="FFM1" s="536"/>
      <c r="FFN1" s="536"/>
      <c r="FFO1" s="536"/>
      <c r="FFP1" s="536"/>
      <c r="FFQ1" s="536"/>
      <c r="FFR1" s="536"/>
      <c r="FFS1" s="536"/>
      <c r="FFT1" s="536"/>
      <c r="FFU1" s="536"/>
      <c r="FFV1" s="536"/>
      <c r="FFW1" s="536"/>
      <c r="FFX1" s="536"/>
      <c r="FFY1" s="536"/>
      <c r="FFZ1" s="536"/>
      <c r="FGA1" s="536"/>
      <c r="FGB1" s="536"/>
      <c r="FGC1" s="536"/>
      <c r="FGD1" s="536"/>
      <c r="FGE1" s="536"/>
      <c r="FGF1" s="536"/>
      <c r="FGG1" s="536"/>
      <c r="FGH1" s="536"/>
      <c r="FGI1" s="536"/>
      <c r="FGJ1" s="536"/>
      <c r="FGK1" s="536"/>
      <c r="FGL1" s="536"/>
      <c r="FGM1" s="536"/>
      <c r="FGN1" s="536"/>
      <c r="FGO1" s="536"/>
      <c r="FGP1" s="536"/>
      <c r="FGQ1" s="536"/>
      <c r="FGR1" s="536"/>
      <c r="FGS1" s="536"/>
      <c r="FGT1" s="536"/>
      <c r="FGU1" s="536"/>
      <c r="FGV1" s="536"/>
      <c r="FGW1" s="536"/>
      <c r="FGX1" s="536"/>
      <c r="FGY1" s="536"/>
      <c r="FGZ1" s="536"/>
      <c r="FHA1" s="536"/>
      <c r="FHB1" s="536"/>
      <c r="FHC1" s="536"/>
      <c r="FHD1" s="536"/>
      <c r="FHE1" s="536"/>
      <c r="FHF1" s="536"/>
      <c r="FHG1" s="536"/>
      <c r="FHH1" s="536"/>
      <c r="FHI1" s="536"/>
      <c r="FHJ1" s="536"/>
      <c r="FHK1" s="536"/>
      <c r="FHL1" s="536"/>
      <c r="FHM1" s="536"/>
      <c r="FHN1" s="536"/>
      <c r="FHO1" s="536"/>
      <c r="FHP1" s="536"/>
      <c r="FHQ1" s="536"/>
      <c r="FHR1" s="536"/>
      <c r="FHS1" s="536"/>
      <c r="FHT1" s="536"/>
      <c r="FHU1" s="536"/>
      <c r="FHV1" s="536"/>
      <c r="FHW1" s="536"/>
      <c r="FHX1" s="536"/>
      <c r="FHY1" s="536"/>
      <c r="FHZ1" s="536"/>
      <c r="FIA1" s="536"/>
      <c r="FIB1" s="536"/>
      <c r="FIC1" s="536"/>
      <c r="FID1" s="536"/>
      <c r="FIE1" s="536"/>
      <c r="FIF1" s="536"/>
      <c r="FIG1" s="536"/>
      <c r="FIH1" s="536"/>
      <c r="FII1" s="536"/>
      <c r="FIJ1" s="536"/>
      <c r="FIK1" s="536"/>
      <c r="FIL1" s="536"/>
      <c r="FIM1" s="536"/>
      <c r="FIN1" s="536"/>
      <c r="FIO1" s="536"/>
      <c r="FIP1" s="536"/>
      <c r="FIQ1" s="536"/>
      <c r="FIR1" s="536"/>
      <c r="FIS1" s="536"/>
      <c r="FIT1" s="536"/>
      <c r="FIU1" s="536"/>
      <c r="FIV1" s="536"/>
      <c r="FIW1" s="536"/>
      <c r="FIX1" s="536"/>
      <c r="FIY1" s="536"/>
      <c r="FIZ1" s="536"/>
      <c r="FJA1" s="536"/>
      <c r="FJB1" s="536"/>
      <c r="FJC1" s="536"/>
      <c r="FJD1" s="536"/>
      <c r="FJE1" s="536"/>
      <c r="FJF1" s="536"/>
      <c r="FJG1" s="536"/>
      <c r="FJH1" s="536"/>
      <c r="FJI1" s="536"/>
      <c r="FJJ1" s="536"/>
      <c r="FJK1" s="536"/>
      <c r="FJL1" s="536"/>
      <c r="FJM1" s="536"/>
      <c r="FJN1" s="536"/>
      <c r="FJO1" s="536"/>
      <c r="FJP1" s="536"/>
      <c r="FJQ1" s="536"/>
      <c r="FJR1" s="536"/>
      <c r="FJS1" s="536"/>
      <c r="FJT1" s="536"/>
      <c r="FJU1" s="536"/>
      <c r="FJV1" s="536"/>
      <c r="FJW1" s="536"/>
      <c r="FJX1" s="536"/>
      <c r="FJY1" s="536"/>
      <c r="FJZ1" s="536"/>
      <c r="FKA1" s="536"/>
      <c r="FKB1" s="536"/>
      <c r="FKC1" s="536"/>
      <c r="FKD1" s="536"/>
      <c r="FKE1" s="536"/>
      <c r="FKF1" s="536"/>
      <c r="FKG1" s="536"/>
      <c r="FKH1" s="536"/>
      <c r="FKI1" s="536"/>
      <c r="FKJ1" s="536"/>
      <c r="FKK1" s="536"/>
      <c r="FKL1" s="536"/>
      <c r="FKM1" s="536"/>
      <c r="FKN1" s="536"/>
      <c r="FKO1" s="536"/>
      <c r="FKP1" s="536"/>
      <c r="FKQ1" s="536"/>
      <c r="FKR1" s="536"/>
      <c r="FKS1" s="536"/>
      <c r="FKT1" s="536"/>
      <c r="FKU1" s="536"/>
      <c r="FKV1" s="536"/>
      <c r="FKW1" s="536"/>
      <c r="FKX1" s="536"/>
      <c r="FKY1" s="536"/>
      <c r="FKZ1" s="536"/>
      <c r="FLA1" s="536"/>
      <c r="FLB1" s="536"/>
      <c r="FLC1" s="536"/>
      <c r="FLD1" s="536"/>
      <c r="FLE1" s="536"/>
      <c r="FLF1" s="536"/>
      <c r="FLG1" s="536"/>
      <c r="FLH1" s="536"/>
      <c r="FLI1" s="536"/>
      <c r="FLJ1" s="536"/>
      <c r="FLK1" s="536"/>
      <c r="FLL1" s="536"/>
      <c r="FLM1" s="536"/>
      <c r="FLN1" s="536"/>
      <c r="FLO1" s="536"/>
      <c r="FLP1" s="536"/>
      <c r="FLQ1" s="536"/>
      <c r="FLR1" s="536"/>
      <c r="FLS1" s="536"/>
      <c r="FLT1" s="536"/>
      <c r="FLU1" s="536"/>
      <c r="FLV1" s="536"/>
      <c r="FLW1" s="536"/>
      <c r="FLX1" s="536"/>
      <c r="FLY1" s="536"/>
      <c r="FLZ1" s="536"/>
      <c r="FMA1" s="536"/>
      <c r="FMB1" s="536"/>
      <c r="FMC1" s="536"/>
      <c r="FMD1" s="536"/>
      <c r="FME1" s="536"/>
      <c r="FMF1" s="536"/>
      <c r="FMG1" s="536"/>
      <c r="FMH1" s="536"/>
      <c r="FMI1" s="536"/>
      <c r="FMJ1" s="536"/>
      <c r="FMK1" s="536"/>
      <c r="FML1" s="536"/>
      <c r="FMM1" s="536"/>
      <c r="FMN1" s="536"/>
      <c r="FMO1" s="536"/>
      <c r="FMP1" s="536"/>
      <c r="FMQ1" s="536"/>
      <c r="FMR1" s="536"/>
      <c r="FMS1" s="536"/>
      <c r="FMT1" s="536"/>
      <c r="FMU1" s="536"/>
      <c r="FMV1" s="536"/>
      <c r="FMW1" s="536"/>
      <c r="FMX1" s="536"/>
      <c r="FMY1" s="536"/>
      <c r="FMZ1" s="536"/>
      <c r="FNA1" s="536"/>
      <c r="FNB1" s="536"/>
      <c r="FNC1" s="536"/>
      <c r="FND1" s="536"/>
      <c r="FNE1" s="536"/>
      <c r="FNF1" s="536"/>
      <c r="FNG1" s="536"/>
      <c r="FNH1" s="536"/>
      <c r="FNI1" s="536"/>
      <c r="FNJ1" s="536"/>
      <c r="FNK1" s="536"/>
      <c r="FNL1" s="536"/>
      <c r="FNM1" s="536"/>
      <c r="FNN1" s="536"/>
      <c r="FNO1" s="536"/>
      <c r="FNP1" s="536"/>
      <c r="FNQ1" s="536"/>
      <c r="FNR1" s="536"/>
      <c r="FNS1" s="536"/>
      <c r="FNT1" s="536"/>
      <c r="FNU1" s="536"/>
      <c r="FNV1" s="536"/>
      <c r="FNW1" s="536"/>
      <c r="FNX1" s="536"/>
      <c r="FNY1" s="536"/>
      <c r="FNZ1" s="536"/>
      <c r="FOA1" s="536"/>
      <c r="FOB1" s="536"/>
      <c r="FOC1" s="536"/>
      <c r="FOD1" s="536"/>
      <c r="FOE1" s="536"/>
      <c r="FOF1" s="536"/>
      <c r="FOG1" s="536"/>
      <c r="FOH1" s="536"/>
      <c r="FOI1" s="536"/>
      <c r="FOJ1" s="536"/>
      <c r="FOK1" s="536"/>
      <c r="FOL1" s="536"/>
      <c r="FOM1" s="536"/>
      <c r="FON1" s="536"/>
      <c r="FOO1" s="536"/>
      <c r="FOP1" s="536"/>
      <c r="FOQ1" s="536"/>
      <c r="FOR1" s="536"/>
      <c r="FOS1" s="536"/>
      <c r="FOT1" s="536"/>
      <c r="FOU1" s="536"/>
      <c r="FOV1" s="536"/>
      <c r="FOW1" s="536"/>
      <c r="FOX1" s="536"/>
      <c r="FOY1" s="536"/>
      <c r="FOZ1" s="536"/>
      <c r="FPA1" s="536"/>
      <c r="FPB1" s="536"/>
      <c r="FPC1" s="536"/>
      <c r="FPD1" s="536"/>
      <c r="FPE1" s="536"/>
      <c r="FPF1" s="536"/>
      <c r="FPG1" s="536"/>
      <c r="FPH1" s="536"/>
      <c r="FPI1" s="536"/>
      <c r="FPJ1" s="536"/>
      <c r="FPK1" s="536"/>
      <c r="FPL1" s="536"/>
      <c r="FPM1" s="536"/>
      <c r="FPN1" s="536"/>
      <c r="FPO1" s="536"/>
      <c r="FPP1" s="536"/>
      <c r="FPQ1" s="536"/>
      <c r="FPR1" s="536"/>
      <c r="FPS1" s="536"/>
      <c r="FPT1" s="536"/>
      <c r="FPU1" s="536"/>
      <c r="FPV1" s="536"/>
      <c r="FPW1" s="536"/>
      <c r="FPX1" s="536"/>
      <c r="FPY1" s="536"/>
      <c r="FPZ1" s="536"/>
      <c r="FQA1" s="536"/>
      <c r="FQB1" s="536"/>
      <c r="FQC1" s="536"/>
      <c r="FQD1" s="536"/>
      <c r="FQE1" s="536"/>
      <c r="FQF1" s="536"/>
      <c r="FQG1" s="536"/>
      <c r="FQH1" s="536"/>
      <c r="FQI1" s="536"/>
      <c r="FQJ1" s="536"/>
      <c r="FQK1" s="536"/>
      <c r="FQL1" s="536"/>
      <c r="FQM1" s="536"/>
      <c r="FQN1" s="536"/>
      <c r="FQO1" s="536"/>
      <c r="FQP1" s="536"/>
      <c r="FQQ1" s="536"/>
      <c r="FQR1" s="536"/>
      <c r="FQS1" s="536"/>
      <c r="FQT1" s="536"/>
      <c r="FQU1" s="536"/>
      <c r="FQV1" s="536"/>
      <c r="FQW1" s="536"/>
      <c r="FQX1" s="536"/>
      <c r="FQY1" s="536"/>
      <c r="FQZ1" s="536"/>
      <c r="FRA1" s="536"/>
      <c r="FRB1" s="536"/>
      <c r="FRC1" s="536"/>
      <c r="FRD1" s="536"/>
      <c r="FRE1" s="536"/>
      <c r="FRF1" s="536"/>
      <c r="FRG1" s="536"/>
      <c r="FRH1" s="536"/>
      <c r="FRI1" s="536"/>
      <c r="FRJ1" s="536"/>
      <c r="FRK1" s="536"/>
      <c r="FRL1" s="536"/>
      <c r="FRM1" s="536"/>
      <c r="FRN1" s="536"/>
      <c r="FRO1" s="536"/>
      <c r="FRP1" s="536"/>
      <c r="FRQ1" s="536"/>
      <c r="FRR1" s="536"/>
      <c r="FRS1" s="536"/>
      <c r="FRT1" s="536"/>
      <c r="FRU1" s="536"/>
      <c r="FRV1" s="536"/>
      <c r="FRW1" s="536"/>
      <c r="FRX1" s="536"/>
      <c r="FRY1" s="536"/>
      <c r="FRZ1" s="536"/>
      <c r="FSA1" s="536"/>
      <c r="FSB1" s="536"/>
      <c r="FSC1" s="536"/>
      <c r="FSD1" s="536"/>
      <c r="FSE1" s="536"/>
      <c r="FSF1" s="536"/>
      <c r="FSG1" s="536"/>
      <c r="FSH1" s="536"/>
      <c r="FSI1" s="536"/>
      <c r="FSJ1" s="536"/>
      <c r="FSK1" s="536"/>
      <c r="FSL1" s="536"/>
      <c r="FSM1" s="536"/>
      <c r="FSN1" s="536"/>
      <c r="FSO1" s="536"/>
      <c r="FSP1" s="536"/>
      <c r="FSQ1" s="536"/>
      <c r="FSR1" s="536"/>
      <c r="FSS1" s="536"/>
      <c r="FST1" s="536"/>
      <c r="FSU1" s="536"/>
      <c r="FSV1" s="536"/>
      <c r="FSW1" s="536"/>
      <c r="FSX1" s="536"/>
      <c r="FSY1" s="536"/>
      <c r="FSZ1" s="536"/>
      <c r="FTA1" s="536"/>
      <c r="FTB1" s="536"/>
      <c r="FTC1" s="536"/>
      <c r="FTD1" s="536"/>
      <c r="FTE1" s="536"/>
      <c r="FTF1" s="536"/>
      <c r="FTG1" s="536"/>
      <c r="FTH1" s="536"/>
      <c r="FTI1" s="536"/>
      <c r="FTJ1" s="536"/>
      <c r="FTK1" s="536"/>
      <c r="FTL1" s="536"/>
      <c r="FTM1" s="536"/>
      <c r="FTN1" s="536"/>
      <c r="FTO1" s="536"/>
      <c r="FTP1" s="536"/>
      <c r="FTQ1" s="536"/>
      <c r="FTR1" s="536"/>
      <c r="FTS1" s="536"/>
      <c r="FTT1" s="536"/>
      <c r="FTU1" s="536"/>
      <c r="FTV1" s="536"/>
      <c r="FTW1" s="536"/>
      <c r="FTX1" s="536"/>
      <c r="FTY1" s="536"/>
      <c r="FTZ1" s="536"/>
      <c r="FUA1" s="536"/>
      <c r="FUB1" s="536"/>
      <c r="FUC1" s="536"/>
      <c r="FUD1" s="536"/>
      <c r="FUE1" s="536"/>
      <c r="FUF1" s="536"/>
      <c r="FUG1" s="536"/>
      <c r="FUH1" s="536"/>
      <c r="FUI1" s="536"/>
      <c r="FUJ1" s="536"/>
      <c r="FUK1" s="536"/>
      <c r="FUL1" s="536"/>
      <c r="FUM1" s="536"/>
      <c r="FUN1" s="536"/>
      <c r="FUO1" s="536"/>
      <c r="FUP1" s="536"/>
      <c r="FUQ1" s="536"/>
      <c r="FUR1" s="536"/>
      <c r="FUS1" s="536"/>
      <c r="FUT1" s="536"/>
      <c r="FUU1" s="536"/>
      <c r="FUV1" s="536"/>
      <c r="FUW1" s="536"/>
      <c r="FUX1" s="536"/>
      <c r="FUY1" s="536"/>
      <c r="FUZ1" s="536"/>
      <c r="FVA1" s="536"/>
      <c r="FVB1" s="536"/>
      <c r="FVC1" s="536"/>
      <c r="FVD1" s="536"/>
      <c r="FVE1" s="536"/>
      <c r="FVF1" s="536"/>
      <c r="FVG1" s="536"/>
      <c r="FVH1" s="536"/>
      <c r="FVI1" s="536"/>
      <c r="FVJ1" s="536"/>
      <c r="FVK1" s="536"/>
      <c r="FVL1" s="536"/>
      <c r="FVM1" s="536"/>
      <c r="FVN1" s="536"/>
      <c r="FVO1" s="536"/>
      <c r="FVP1" s="536"/>
      <c r="FVQ1" s="536"/>
      <c r="FVR1" s="536"/>
      <c r="FVS1" s="536"/>
      <c r="FVT1" s="536"/>
      <c r="FVU1" s="536"/>
      <c r="FVV1" s="536"/>
      <c r="FVW1" s="536"/>
      <c r="FVX1" s="536"/>
      <c r="FVY1" s="536"/>
      <c r="FVZ1" s="536"/>
      <c r="FWA1" s="536"/>
      <c r="FWB1" s="536"/>
      <c r="FWC1" s="536"/>
      <c r="FWD1" s="536"/>
      <c r="FWE1" s="536"/>
      <c r="FWF1" s="536"/>
      <c r="FWG1" s="536"/>
      <c r="FWH1" s="536"/>
      <c r="FWI1" s="536"/>
      <c r="FWJ1" s="536"/>
      <c r="FWK1" s="536"/>
      <c r="FWL1" s="536"/>
      <c r="FWM1" s="536"/>
      <c r="FWN1" s="536"/>
      <c r="FWO1" s="536"/>
      <c r="FWP1" s="536"/>
      <c r="FWQ1" s="536"/>
      <c r="FWR1" s="536"/>
      <c r="FWS1" s="536"/>
      <c r="FWT1" s="536"/>
      <c r="FWU1" s="536"/>
      <c r="FWV1" s="536"/>
      <c r="FWW1" s="536"/>
      <c r="FWX1" s="536"/>
      <c r="FWY1" s="536"/>
      <c r="FWZ1" s="536"/>
      <c r="FXA1" s="536"/>
      <c r="FXB1" s="536"/>
      <c r="FXC1" s="536"/>
      <c r="FXD1" s="536"/>
      <c r="FXE1" s="536"/>
      <c r="FXF1" s="536"/>
      <c r="FXG1" s="536"/>
      <c r="FXH1" s="536"/>
      <c r="FXI1" s="536"/>
      <c r="FXJ1" s="536"/>
      <c r="FXK1" s="536"/>
      <c r="FXL1" s="536"/>
      <c r="FXM1" s="536"/>
      <c r="FXN1" s="536"/>
      <c r="FXO1" s="536"/>
      <c r="FXP1" s="536"/>
      <c r="FXQ1" s="536"/>
      <c r="FXR1" s="536"/>
      <c r="FXS1" s="536"/>
      <c r="FXT1" s="536"/>
      <c r="FXU1" s="536"/>
      <c r="FXV1" s="536"/>
      <c r="FXW1" s="536"/>
      <c r="FXX1" s="536"/>
      <c r="FXY1" s="536"/>
      <c r="FXZ1" s="536"/>
      <c r="FYA1" s="536"/>
      <c r="FYB1" s="536"/>
      <c r="FYC1" s="536"/>
      <c r="FYD1" s="536"/>
      <c r="FYE1" s="536"/>
      <c r="FYF1" s="536"/>
      <c r="FYG1" s="536"/>
      <c r="FYH1" s="536"/>
      <c r="FYI1" s="536"/>
      <c r="FYJ1" s="536"/>
      <c r="FYK1" s="536"/>
      <c r="FYL1" s="536"/>
      <c r="FYM1" s="536"/>
      <c r="FYN1" s="536"/>
      <c r="FYO1" s="536"/>
      <c r="FYP1" s="536"/>
      <c r="FYQ1" s="536"/>
      <c r="FYR1" s="536"/>
      <c r="FYS1" s="536"/>
      <c r="FYT1" s="536"/>
      <c r="FYU1" s="536"/>
      <c r="FYV1" s="536"/>
      <c r="FYW1" s="536"/>
      <c r="FYX1" s="536"/>
      <c r="FYY1" s="536"/>
      <c r="FYZ1" s="536"/>
      <c r="FZA1" s="536"/>
      <c r="FZB1" s="536"/>
      <c r="FZC1" s="536"/>
      <c r="FZD1" s="536"/>
      <c r="FZE1" s="536"/>
      <c r="FZF1" s="536"/>
      <c r="FZG1" s="536"/>
      <c r="FZH1" s="536"/>
      <c r="FZI1" s="536"/>
      <c r="FZJ1" s="536"/>
      <c r="FZK1" s="536"/>
      <c r="FZL1" s="536"/>
      <c r="FZM1" s="536"/>
      <c r="FZN1" s="536"/>
      <c r="FZO1" s="536"/>
      <c r="FZP1" s="536"/>
      <c r="FZQ1" s="536"/>
      <c r="FZR1" s="536"/>
      <c r="FZS1" s="536"/>
      <c r="FZT1" s="536"/>
      <c r="FZU1" s="536"/>
      <c r="FZV1" s="536"/>
      <c r="FZW1" s="536"/>
      <c r="FZX1" s="536"/>
      <c r="FZY1" s="536"/>
      <c r="FZZ1" s="536"/>
      <c r="GAA1" s="536"/>
      <c r="GAB1" s="536"/>
      <c r="GAC1" s="536"/>
      <c r="GAD1" s="536"/>
      <c r="GAE1" s="536"/>
      <c r="GAF1" s="536"/>
      <c r="GAG1" s="536"/>
      <c r="GAH1" s="536"/>
      <c r="GAI1" s="536"/>
      <c r="GAJ1" s="536"/>
      <c r="GAK1" s="536"/>
      <c r="GAL1" s="536"/>
      <c r="GAM1" s="536"/>
      <c r="GAN1" s="536"/>
      <c r="GAO1" s="536"/>
      <c r="GAP1" s="536"/>
      <c r="GAQ1" s="536"/>
      <c r="GAR1" s="536"/>
      <c r="GAS1" s="536"/>
      <c r="GAT1" s="536"/>
      <c r="GAU1" s="536"/>
      <c r="GAV1" s="536"/>
      <c r="GAW1" s="536"/>
      <c r="GAX1" s="536"/>
      <c r="GAY1" s="536"/>
      <c r="GAZ1" s="536"/>
      <c r="GBA1" s="536"/>
      <c r="GBB1" s="536"/>
      <c r="GBC1" s="536"/>
      <c r="GBD1" s="536"/>
      <c r="GBE1" s="536"/>
      <c r="GBF1" s="536"/>
      <c r="GBG1" s="536"/>
      <c r="GBH1" s="536"/>
      <c r="GBI1" s="536"/>
      <c r="GBJ1" s="536"/>
      <c r="GBK1" s="536"/>
      <c r="GBL1" s="536"/>
      <c r="GBM1" s="536"/>
      <c r="GBN1" s="536"/>
      <c r="GBO1" s="536"/>
      <c r="GBP1" s="536"/>
      <c r="GBQ1" s="536"/>
      <c r="GBR1" s="536"/>
      <c r="GBS1" s="536"/>
      <c r="GBT1" s="536"/>
      <c r="GBU1" s="536"/>
      <c r="GBV1" s="536"/>
      <c r="GBW1" s="536"/>
      <c r="GBX1" s="536"/>
      <c r="GBY1" s="536"/>
      <c r="GBZ1" s="536"/>
      <c r="GCA1" s="536"/>
      <c r="GCB1" s="536"/>
      <c r="GCC1" s="536"/>
      <c r="GCD1" s="536"/>
      <c r="GCE1" s="536"/>
      <c r="GCF1" s="536"/>
      <c r="GCG1" s="536"/>
      <c r="GCH1" s="536"/>
      <c r="GCI1" s="536"/>
      <c r="GCJ1" s="536"/>
      <c r="GCK1" s="536"/>
      <c r="GCL1" s="536"/>
      <c r="GCM1" s="536"/>
      <c r="GCN1" s="536"/>
      <c r="GCO1" s="536"/>
      <c r="GCP1" s="536"/>
      <c r="GCQ1" s="536"/>
      <c r="GCR1" s="536"/>
      <c r="GCS1" s="536"/>
      <c r="GCT1" s="536"/>
      <c r="GCU1" s="536"/>
      <c r="GCV1" s="536"/>
      <c r="GCW1" s="536"/>
      <c r="GCX1" s="536"/>
      <c r="GCY1" s="536"/>
      <c r="GCZ1" s="536"/>
      <c r="GDA1" s="536"/>
      <c r="GDB1" s="536"/>
      <c r="GDC1" s="536"/>
      <c r="GDD1" s="536"/>
      <c r="GDE1" s="536"/>
      <c r="GDF1" s="536"/>
      <c r="GDG1" s="536"/>
      <c r="GDH1" s="536"/>
      <c r="GDI1" s="536"/>
      <c r="GDJ1" s="536"/>
      <c r="GDK1" s="536"/>
      <c r="GDL1" s="536"/>
      <c r="GDM1" s="536"/>
      <c r="GDN1" s="536"/>
      <c r="GDO1" s="536"/>
      <c r="GDP1" s="536"/>
      <c r="GDQ1" s="536"/>
      <c r="GDR1" s="536"/>
      <c r="GDS1" s="536"/>
      <c r="GDT1" s="536"/>
      <c r="GDU1" s="536"/>
      <c r="GDV1" s="536"/>
      <c r="GDW1" s="536"/>
      <c r="GDX1" s="536"/>
      <c r="GDY1" s="536"/>
      <c r="GDZ1" s="536"/>
      <c r="GEA1" s="536"/>
      <c r="GEB1" s="536"/>
      <c r="GEC1" s="536"/>
      <c r="GED1" s="536"/>
      <c r="GEE1" s="536"/>
      <c r="GEF1" s="536"/>
      <c r="GEG1" s="536"/>
      <c r="GEH1" s="536"/>
      <c r="GEI1" s="536"/>
      <c r="GEJ1" s="536"/>
      <c r="GEK1" s="536"/>
      <c r="GEL1" s="536"/>
      <c r="GEM1" s="536"/>
      <c r="GEN1" s="536"/>
      <c r="GEO1" s="536"/>
      <c r="GEP1" s="536"/>
      <c r="GEQ1" s="536"/>
      <c r="GER1" s="536"/>
      <c r="GES1" s="536"/>
      <c r="GET1" s="536"/>
      <c r="GEU1" s="536"/>
      <c r="GEV1" s="536"/>
      <c r="GEW1" s="536"/>
      <c r="GEX1" s="536"/>
      <c r="GEY1" s="536"/>
      <c r="GEZ1" s="536"/>
      <c r="GFA1" s="536"/>
      <c r="GFB1" s="536"/>
      <c r="GFC1" s="536"/>
      <c r="GFD1" s="536"/>
      <c r="GFE1" s="536"/>
      <c r="GFF1" s="536"/>
      <c r="GFG1" s="536"/>
      <c r="GFH1" s="536"/>
      <c r="GFI1" s="536"/>
      <c r="GFJ1" s="536"/>
      <c r="GFK1" s="536"/>
      <c r="GFL1" s="536"/>
      <c r="GFM1" s="536"/>
      <c r="GFN1" s="536"/>
      <c r="GFO1" s="536"/>
      <c r="GFP1" s="536"/>
      <c r="GFQ1" s="536"/>
      <c r="GFR1" s="536"/>
      <c r="GFS1" s="536"/>
      <c r="GFT1" s="536"/>
      <c r="GFU1" s="536"/>
      <c r="GFV1" s="536"/>
      <c r="GFW1" s="536"/>
      <c r="GFX1" s="536"/>
      <c r="GFY1" s="536"/>
      <c r="GFZ1" s="536"/>
      <c r="GGA1" s="536"/>
      <c r="GGB1" s="536"/>
      <c r="GGC1" s="536"/>
      <c r="GGD1" s="536"/>
      <c r="GGE1" s="536"/>
      <c r="GGF1" s="536"/>
      <c r="GGG1" s="536"/>
      <c r="GGH1" s="536"/>
      <c r="GGI1" s="536"/>
      <c r="GGJ1" s="536"/>
      <c r="GGK1" s="536"/>
      <c r="GGL1" s="536"/>
      <c r="GGM1" s="536"/>
      <c r="GGN1" s="536"/>
      <c r="GGO1" s="536"/>
      <c r="GGP1" s="536"/>
      <c r="GGQ1" s="536"/>
      <c r="GGR1" s="536"/>
      <c r="GGS1" s="536"/>
      <c r="GGT1" s="536"/>
      <c r="GGU1" s="536"/>
      <c r="GGV1" s="536"/>
      <c r="GGW1" s="536"/>
      <c r="GGX1" s="536"/>
      <c r="GGY1" s="536"/>
      <c r="GGZ1" s="536"/>
      <c r="GHA1" s="536"/>
      <c r="GHB1" s="536"/>
      <c r="GHC1" s="536"/>
      <c r="GHD1" s="536"/>
      <c r="GHE1" s="536"/>
      <c r="GHF1" s="536"/>
      <c r="GHG1" s="536"/>
      <c r="GHH1" s="536"/>
      <c r="GHI1" s="536"/>
      <c r="GHJ1" s="536"/>
      <c r="GHK1" s="536"/>
      <c r="GHL1" s="536"/>
      <c r="GHM1" s="536"/>
      <c r="GHN1" s="536"/>
      <c r="GHO1" s="536"/>
      <c r="GHP1" s="536"/>
      <c r="GHQ1" s="536"/>
      <c r="GHR1" s="536"/>
      <c r="GHS1" s="536"/>
      <c r="GHT1" s="536"/>
      <c r="GHU1" s="536"/>
      <c r="GHV1" s="536"/>
      <c r="GHW1" s="536"/>
      <c r="GHX1" s="536"/>
      <c r="GHY1" s="536"/>
      <c r="GHZ1" s="536"/>
      <c r="GIA1" s="536"/>
      <c r="GIB1" s="536"/>
      <c r="GIC1" s="536"/>
      <c r="GID1" s="536"/>
      <c r="GIE1" s="536"/>
      <c r="GIF1" s="536"/>
      <c r="GIG1" s="536"/>
      <c r="GIH1" s="536"/>
      <c r="GII1" s="536"/>
      <c r="GIJ1" s="536"/>
      <c r="GIK1" s="536"/>
      <c r="GIL1" s="536"/>
      <c r="GIM1" s="536"/>
      <c r="GIN1" s="536"/>
      <c r="GIO1" s="536"/>
      <c r="GIP1" s="536"/>
      <c r="GIQ1" s="536"/>
      <c r="GIR1" s="536"/>
      <c r="GIS1" s="536"/>
      <c r="GIT1" s="536"/>
      <c r="GIU1" s="536"/>
      <c r="GIV1" s="536"/>
      <c r="GIW1" s="536"/>
      <c r="GIX1" s="536"/>
      <c r="GIY1" s="536"/>
      <c r="GIZ1" s="536"/>
      <c r="GJA1" s="536"/>
      <c r="GJB1" s="536"/>
      <c r="GJC1" s="536"/>
      <c r="GJD1" s="536"/>
      <c r="GJE1" s="536"/>
      <c r="GJF1" s="536"/>
      <c r="GJG1" s="536"/>
      <c r="GJH1" s="536"/>
      <c r="GJI1" s="536"/>
      <c r="GJJ1" s="536"/>
      <c r="GJK1" s="536"/>
      <c r="GJL1" s="536"/>
      <c r="GJM1" s="536"/>
      <c r="GJN1" s="536"/>
      <c r="GJO1" s="536"/>
      <c r="GJP1" s="536"/>
      <c r="GJQ1" s="536"/>
      <c r="GJR1" s="536"/>
      <c r="GJS1" s="536"/>
      <c r="GJT1" s="536"/>
      <c r="GJU1" s="536"/>
      <c r="GJV1" s="536"/>
      <c r="GJW1" s="536"/>
      <c r="GJX1" s="536"/>
      <c r="GJY1" s="536"/>
      <c r="GJZ1" s="536"/>
      <c r="GKA1" s="536"/>
      <c r="GKB1" s="536"/>
      <c r="GKC1" s="536"/>
      <c r="GKD1" s="536"/>
      <c r="GKE1" s="536"/>
      <c r="GKF1" s="536"/>
      <c r="GKG1" s="536"/>
      <c r="GKH1" s="536"/>
      <c r="GKI1" s="536"/>
      <c r="GKJ1" s="536"/>
      <c r="GKK1" s="536"/>
      <c r="GKL1" s="536"/>
      <c r="GKM1" s="536"/>
      <c r="GKN1" s="536"/>
      <c r="GKO1" s="536"/>
      <c r="GKP1" s="536"/>
      <c r="GKQ1" s="536"/>
      <c r="GKR1" s="536"/>
      <c r="GKS1" s="536"/>
      <c r="GKT1" s="536"/>
      <c r="GKU1" s="536"/>
      <c r="GKV1" s="536"/>
      <c r="GKW1" s="536"/>
      <c r="GKX1" s="536"/>
      <c r="GKY1" s="536"/>
      <c r="GKZ1" s="536"/>
      <c r="GLA1" s="536"/>
      <c r="GLB1" s="536"/>
      <c r="GLC1" s="536"/>
      <c r="GLD1" s="536"/>
      <c r="GLE1" s="536"/>
      <c r="GLF1" s="536"/>
      <c r="GLG1" s="536"/>
      <c r="GLH1" s="536"/>
      <c r="GLI1" s="536"/>
      <c r="GLJ1" s="536"/>
      <c r="GLK1" s="536"/>
      <c r="GLL1" s="536"/>
      <c r="GLM1" s="536"/>
      <c r="GLN1" s="536"/>
      <c r="GLO1" s="536"/>
      <c r="GLP1" s="536"/>
      <c r="GLQ1" s="536"/>
      <c r="GLR1" s="536"/>
      <c r="GLS1" s="536"/>
      <c r="GLT1" s="536"/>
      <c r="GLU1" s="536"/>
      <c r="GLV1" s="536"/>
      <c r="GLW1" s="536"/>
      <c r="GLX1" s="536"/>
      <c r="GLY1" s="536"/>
      <c r="GLZ1" s="536"/>
      <c r="GMA1" s="536"/>
      <c r="GMB1" s="536"/>
      <c r="GMC1" s="536"/>
      <c r="GMD1" s="536"/>
      <c r="GME1" s="536"/>
      <c r="GMF1" s="536"/>
      <c r="GMG1" s="536"/>
      <c r="GMH1" s="536"/>
      <c r="GMI1" s="536"/>
      <c r="GMJ1" s="536"/>
      <c r="GMK1" s="536"/>
      <c r="GML1" s="536"/>
      <c r="GMM1" s="536"/>
      <c r="GMN1" s="536"/>
      <c r="GMO1" s="536"/>
      <c r="GMP1" s="536"/>
      <c r="GMQ1" s="536"/>
      <c r="GMR1" s="536"/>
      <c r="GMS1" s="536"/>
      <c r="GMT1" s="536"/>
      <c r="GMU1" s="536"/>
      <c r="GMV1" s="536"/>
      <c r="GMW1" s="536"/>
      <c r="GMX1" s="536"/>
      <c r="GMY1" s="536"/>
      <c r="GMZ1" s="536"/>
      <c r="GNA1" s="536"/>
      <c r="GNB1" s="536"/>
      <c r="GNC1" s="536"/>
      <c r="GND1" s="536"/>
      <c r="GNE1" s="536"/>
      <c r="GNF1" s="536"/>
      <c r="GNG1" s="536"/>
      <c r="GNH1" s="536"/>
      <c r="GNI1" s="536"/>
      <c r="GNJ1" s="536"/>
      <c r="GNK1" s="536"/>
      <c r="GNL1" s="536"/>
      <c r="GNM1" s="536"/>
      <c r="GNN1" s="536"/>
      <c r="GNO1" s="536"/>
      <c r="GNP1" s="536"/>
      <c r="GNQ1" s="536"/>
      <c r="GNR1" s="536"/>
      <c r="GNS1" s="536"/>
      <c r="GNT1" s="536"/>
      <c r="GNU1" s="536"/>
      <c r="GNV1" s="536"/>
      <c r="GNW1" s="536"/>
      <c r="GNX1" s="536"/>
      <c r="GNY1" s="536"/>
      <c r="GNZ1" s="536"/>
      <c r="GOA1" s="536"/>
      <c r="GOB1" s="536"/>
      <c r="GOC1" s="536"/>
      <c r="GOD1" s="536"/>
      <c r="GOE1" s="536"/>
      <c r="GOF1" s="536"/>
      <c r="GOG1" s="536"/>
      <c r="GOH1" s="536"/>
      <c r="GOI1" s="536"/>
      <c r="GOJ1" s="536"/>
      <c r="GOK1" s="536"/>
      <c r="GOL1" s="536"/>
      <c r="GOM1" s="536"/>
      <c r="GON1" s="536"/>
      <c r="GOO1" s="536"/>
      <c r="GOP1" s="536"/>
      <c r="GOQ1" s="536"/>
      <c r="GOR1" s="536"/>
      <c r="GOS1" s="536"/>
      <c r="GOT1" s="536"/>
      <c r="GOU1" s="536"/>
      <c r="GOV1" s="536"/>
      <c r="GOW1" s="536"/>
      <c r="GOX1" s="536"/>
      <c r="GOY1" s="536"/>
      <c r="GOZ1" s="536"/>
      <c r="GPA1" s="536"/>
      <c r="GPB1" s="536"/>
      <c r="GPC1" s="536"/>
      <c r="GPD1" s="536"/>
      <c r="GPE1" s="536"/>
      <c r="GPF1" s="536"/>
      <c r="GPG1" s="536"/>
      <c r="GPH1" s="536"/>
      <c r="GPI1" s="536"/>
      <c r="GPJ1" s="536"/>
      <c r="GPK1" s="536"/>
      <c r="GPL1" s="536"/>
      <c r="GPM1" s="536"/>
      <c r="GPN1" s="536"/>
      <c r="GPO1" s="536"/>
      <c r="GPP1" s="536"/>
      <c r="GPQ1" s="536"/>
      <c r="GPR1" s="536"/>
      <c r="GPS1" s="536"/>
      <c r="GPT1" s="536"/>
      <c r="GPU1" s="536"/>
      <c r="GPV1" s="536"/>
      <c r="GPW1" s="536"/>
      <c r="GPX1" s="536"/>
      <c r="GPY1" s="536"/>
      <c r="GPZ1" s="536"/>
      <c r="GQA1" s="536"/>
      <c r="GQB1" s="536"/>
      <c r="GQC1" s="536"/>
      <c r="GQD1" s="536"/>
      <c r="GQE1" s="536"/>
      <c r="GQF1" s="536"/>
      <c r="GQG1" s="536"/>
      <c r="GQH1" s="536"/>
      <c r="GQI1" s="536"/>
      <c r="GQJ1" s="536"/>
      <c r="GQK1" s="536"/>
      <c r="GQL1" s="536"/>
      <c r="GQM1" s="536"/>
      <c r="GQN1" s="536"/>
      <c r="GQO1" s="536"/>
      <c r="GQP1" s="536"/>
      <c r="GQQ1" s="536"/>
      <c r="GQR1" s="536"/>
      <c r="GQS1" s="536"/>
      <c r="GQT1" s="536"/>
      <c r="GQU1" s="536"/>
      <c r="GQV1" s="536"/>
      <c r="GQW1" s="536"/>
      <c r="GQX1" s="536"/>
      <c r="GQY1" s="536"/>
      <c r="GQZ1" s="536"/>
      <c r="GRA1" s="536"/>
      <c r="GRB1" s="536"/>
      <c r="GRC1" s="536"/>
      <c r="GRD1" s="536"/>
      <c r="GRE1" s="536"/>
      <c r="GRF1" s="536"/>
      <c r="GRG1" s="536"/>
      <c r="GRH1" s="536"/>
      <c r="GRI1" s="536"/>
      <c r="GRJ1" s="536"/>
      <c r="GRK1" s="536"/>
      <c r="GRL1" s="536"/>
      <c r="GRM1" s="536"/>
      <c r="GRN1" s="536"/>
      <c r="GRO1" s="536"/>
      <c r="GRP1" s="536"/>
      <c r="GRQ1" s="536"/>
      <c r="GRR1" s="536"/>
      <c r="GRS1" s="536"/>
      <c r="GRT1" s="536"/>
      <c r="GRU1" s="536"/>
      <c r="GRV1" s="536"/>
      <c r="GRW1" s="536"/>
      <c r="GRX1" s="536"/>
      <c r="GRY1" s="536"/>
      <c r="GRZ1" s="536"/>
      <c r="GSA1" s="536"/>
      <c r="GSB1" s="536"/>
      <c r="GSC1" s="536"/>
      <c r="GSD1" s="536"/>
      <c r="GSE1" s="536"/>
      <c r="GSF1" s="536"/>
      <c r="GSG1" s="536"/>
      <c r="GSH1" s="536"/>
      <c r="GSI1" s="536"/>
      <c r="GSJ1" s="536"/>
      <c r="GSK1" s="536"/>
      <c r="GSL1" s="536"/>
      <c r="GSM1" s="536"/>
      <c r="GSN1" s="536"/>
      <c r="GSO1" s="536"/>
      <c r="GSP1" s="536"/>
      <c r="GSQ1" s="536"/>
      <c r="GSR1" s="536"/>
      <c r="GSS1" s="536"/>
      <c r="GST1" s="536"/>
      <c r="GSU1" s="536"/>
      <c r="GSV1" s="536"/>
      <c r="GSW1" s="536"/>
      <c r="GSX1" s="536"/>
      <c r="GSY1" s="536"/>
      <c r="GSZ1" s="536"/>
      <c r="GTA1" s="536"/>
      <c r="GTB1" s="536"/>
      <c r="GTC1" s="536"/>
      <c r="GTD1" s="536"/>
      <c r="GTE1" s="536"/>
      <c r="GTF1" s="536"/>
      <c r="GTG1" s="536"/>
      <c r="GTH1" s="536"/>
      <c r="GTI1" s="536"/>
      <c r="GTJ1" s="536"/>
      <c r="GTK1" s="536"/>
      <c r="GTL1" s="536"/>
      <c r="GTM1" s="536"/>
      <c r="GTN1" s="536"/>
      <c r="GTO1" s="536"/>
      <c r="GTP1" s="536"/>
      <c r="GTQ1" s="536"/>
      <c r="GTR1" s="536"/>
      <c r="GTS1" s="536"/>
      <c r="GTT1" s="536"/>
      <c r="GTU1" s="536"/>
      <c r="GTV1" s="536"/>
      <c r="GTW1" s="536"/>
      <c r="GTX1" s="536"/>
      <c r="GTY1" s="536"/>
      <c r="GTZ1" s="536"/>
      <c r="GUA1" s="536"/>
      <c r="GUB1" s="536"/>
      <c r="GUC1" s="536"/>
      <c r="GUD1" s="536"/>
      <c r="GUE1" s="536"/>
      <c r="GUF1" s="536"/>
      <c r="GUG1" s="536"/>
      <c r="GUH1" s="536"/>
      <c r="GUI1" s="536"/>
      <c r="GUJ1" s="536"/>
      <c r="GUK1" s="536"/>
      <c r="GUL1" s="536"/>
      <c r="GUM1" s="536"/>
      <c r="GUN1" s="536"/>
      <c r="GUO1" s="536"/>
      <c r="GUP1" s="536"/>
      <c r="GUQ1" s="536"/>
      <c r="GUR1" s="536"/>
      <c r="GUS1" s="536"/>
      <c r="GUT1" s="536"/>
      <c r="GUU1" s="536"/>
      <c r="GUV1" s="536"/>
      <c r="GUW1" s="536"/>
      <c r="GUX1" s="536"/>
      <c r="GUY1" s="536"/>
      <c r="GUZ1" s="536"/>
      <c r="GVA1" s="536"/>
      <c r="GVB1" s="536"/>
      <c r="GVC1" s="536"/>
      <c r="GVD1" s="536"/>
      <c r="GVE1" s="536"/>
      <c r="GVF1" s="536"/>
      <c r="GVG1" s="536"/>
      <c r="GVH1" s="536"/>
      <c r="GVI1" s="536"/>
      <c r="GVJ1" s="536"/>
      <c r="GVK1" s="536"/>
      <c r="GVL1" s="536"/>
      <c r="GVM1" s="536"/>
      <c r="GVN1" s="536"/>
      <c r="GVO1" s="536"/>
      <c r="GVP1" s="536"/>
      <c r="GVQ1" s="536"/>
      <c r="GVR1" s="536"/>
      <c r="GVS1" s="536"/>
      <c r="GVT1" s="536"/>
      <c r="GVU1" s="536"/>
      <c r="GVV1" s="536"/>
      <c r="GVW1" s="536"/>
      <c r="GVX1" s="536"/>
      <c r="GVY1" s="536"/>
      <c r="GVZ1" s="536"/>
      <c r="GWA1" s="536"/>
      <c r="GWB1" s="536"/>
      <c r="GWC1" s="536"/>
      <c r="GWD1" s="536"/>
      <c r="GWE1" s="536"/>
      <c r="GWF1" s="536"/>
      <c r="GWG1" s="536"/>
      <c r="GWH1" s="536"/>
      <c r="GWI1" s="536"/>
      <c r="GWJ1" s="536"/>
      <c r="GWK1" s="536"/>
      <c r="GWL1" s="536"/>
      <c r="GWM1" s="536"/>
      <c r="GWN1" s="536"/>
      <c r="GWO1" s="536"/>
      <c r="GWP1" s="536"/>
      <c r="GWQ1" s="536"/>
      <c r="GWR1" s="536"/>
      <c r="GWS1" s="536"/>
      <c r="GWT1" s="536"/>
      <c r="GWU1" s="536"/>
      <c r="GWV1" s="536"/>
      <c r="GWW1" s="536"/>
      <c r="GWX1" s="536"/>
      <c r="GWY1" s="536"/>
      <c r="GWZ1" s="536"/>
      <c r="GXA1" s="536"/>
      <c r="GXB1" s="536"/>
      <c r="GXC1" s="536"/>
      <c r="GXD1" s="536"/>
      <c r="GXE1" s="536"/>
      <c r="GXF1" s="536"/>
      <c r="GXG1" s="536"/>
      <c r="GXH1" s="536"/>
      <c r="GXI1" s="536"/>
      <c r="GXJ1" s="536"/>
      <c r="GXK1" s="536"/>
      <c r="GXL1" s="536"/>
      <c r="GXM1" s="536"/>
      <c r="GXN1" s="536"/>
      <c r="GXO1" s="536"/>
      <c r="GXP1" s="536"/>
      <c r="GXQ1" s="536"/>
      <c r="GXR1" s="536"/>
      <c r="GXS1" s="536"/>
      <c r="GXT1" s="536"/>
      <c r="GXU1" s="536"/>
      <c r="GXV1" s="536"/>
      <c r="GXW1" s="536"/>
      <c r="GXX1" s="536"/>
      <c r="GXY1" s="536"/>
      <c r="GXZ1" s="536"/>
      <c r="GYA1" s="536"/>
      <c r="GYB1" s="536"/>
      <c r="GYC1" s="536"/>
      <c r="GYD1" s="536"/>
      <c r="GYE1" s="536"/>
      <c r="GYF1" s="536"/>
      <c r="GYG1" s="536"/>
      <c r="GYH1" s="536"/>
      <c r="GYI1" s="536"/>
      <c r="GYJ1" s="536"/>
      <c r="GYK1" s="536"/>
      <c r="GYL1" s="536"/>
      <c r="GYM1" s="536"/>
      <c r="GYN1" s="536"/>
      <c r="GYO1" s="536"/>
      <c r="GYP1" s="536"/>
      <c r="GYQ1" s="536"/>
      <c r="GYR1" s="536"/>
      <c r="GYS1" s="536"/>
      <c r="GYT1" s="536"/>
      <c r="GYU1" s="536"/>
      <c r="GYV1" s="536"/>
      <c r="GYW1" s="536"/>
      <c r="GYX1" s="536"/>
      <c r="GYY1" s="536"/>
      <c r="GYZ1" s="536"/>
      <c r="GZA1" s="536"/>
      <c r="GZB1" s="536"/>
      <c r="GZC1" s="536"/>
      <c r="GZD1" s="536"/>
      <c r="GZE1" s="536"/>
      <c r="GZF1" s="536"/>
      <c r="GZG1" s="536"/>
      <c r="GZH1" s="536"/>
      <c r="GZI1" s="536"/>
      <c r="GZJ1" s="536"/>
      <c r="GZK1" s="536"/>
      <c r="GZL1" s="536"/>
      <c r="GZM1" s="536"/>
      <c r="GZN1" s="536"/>
      <c r="GZO1" s="536"/>
      <c r="GZP1" s="536"/>
      <c r="GZQ1" s="536"/>
      <c r="GZR1" s="536"/>
      <c r="GZS1" s="536"/>
      <c r="GZT1" s="536"/>
      <c r="GZU1" s="536"/>
      <c r="GZV1" s="536"/>
      <c r="GZW1" s="536"/>
      <c r="GZX1" s="536"/>
      <c r="GZY1" s="536"/>
      <c r="GZZ1" s="536"/>
      <c r="HAA1" s="536"/>
      <c r="HAB1" s="536"/>
      <c r="HAC1" s="536"/>
      <c r="HAD1" s="536"/>
      <c r="HAE1" s="536"/>
      <c r="HAF1" s="536"/>
      <c r="HAG1" s="536"/>
      <c r="HAH1" s="536"/>
      <c r="HAI1" s="536"/>
      <c r="HAJ1" s="536"/>
      <c r="HAK1" s="536"/>
      <c r="HAL1" s="536"/>
      <c r="HAM1" s="536"/>
      <c r="HAN1" s="536"/>
      <c r="HAO1" s="536"/>
      <c r="HAP1" s="536"/>
      <c r="HAQ1" s="536"/>
      <c r="HAR1" s="536"/>
      <c r="HAS1" s="536"/>
      <c r="HAT1" s="536"/>
      <c r="HAU1" s="536"/>
      <c r="HAV1" s="536"/>
      <c r="HAW1" s="536"/>
      <c r="HAX1" s="536"/>
      <c r="HAY1" s="536"/>
      <c r="HAZ1" s="536"/>
      <c r="HBA1" s="536"/>
      <c r="HBB1" s="536"/>
      <c r="HBC1" s="536"/>
      <c r="HBD1" s="536"/>
      <c r="HBE1" s="536"/>
      <c r="HBF1" s="536"/>
      <c r="HBG1" s="536"/>
      <c r="HBH1" s="536"/>
      <c r="HBI1" s="536"/>
      <c r="HBJ1" s="536"/>
      <c r="HBK1" s="536"/>
      <c r="HBL1" s="536"/>
      <c r="HBM1" s="536"/>
      <c r="HBN1" s="536"/>
      <c r="HBO1" s="536"/>
      <c r="HBP1" s="536"/>
      <c r="HBQ1" s="536"/>
      <c r="HBR1" s="536"/>
      <c r="HBS1" s="536"/>
      <c r="HBT1" s="536"/>
      <c r="HBU1" s="536"/>
      <c r="HBV1" s="536"/>
      <c r="HBW1" s="536"/>
      <c r="HBX1" s="536"/>
      <c r="HBY1" s="536"/>
      <c r="HBZ1" s="536"/>
      <c r="HCA1" s="536"/>
      <c r="HCB1" s="536"/>
      <c r="HCC1" s="536"/>
      <c r="HCD1" s="536"/>
      <c r="HCE1" s="536"/>
      <c r="HCF1" s="536"/>
      <c r="HCG1" s="536"/>
      <c r="HCH1" s="536"/>
      <c r="HCI1" s="536"/>
      <c r="HCJ1" s="536"/>
      <c r="HCK1" s="536"/>
      <c r="HCL1" s="536"/>
      <c r="HCM1" s="536"/>
      <c r="HCN1" s="536"/>
      <c r="HCO1" s="536"/>
      <c r="HCP1" s="536"/>
      <c r="HCQ1" s="536"/>
      <c r="HCR1" s="536"/>
      <c r="HCS1" s="536"/>
      <c r="HCT1" s="536"/>
      <c r="HCU1" s="536"/>
      <c r="HCV1" s="536"/>
      <c r="HCW1" s="536"/>
      <c r="HCX1" s="536"/>
      <c r="HCY1" s="536"/>
      <c r="HCZ1" s="536"/>
      <c r="HDA1" s="536"/>
      <c r="HDB1" s="536"/>
      <c r="HDC1" s="536"/>
      <c r="HDD1" s="536"/>
      <c r="HDE1" s="536"/>
      <c r="HDF1" s="536"/>
      <c r="HDG1" s="536"/>
      <c r="HDH1" s="536"/>
      <c r="HDI1" s="536"/>
      <c r="HDJ1" s="536"/>
      <c r="HDK1" s="536"/>
      <c r="HDL1" s="536"/>
      <c r="HDM1" s="536"/>
      <c r="HDN1" s="536"/>
      <c r="HDO1" s="536"/>
      <c r="HDP1" s="536"/>
      <c r="HDQ1" s="536"/>
      <c r="HDR1" s="536"/>
      <c r="HDS1" s="536"/>
      <c r="HDT1" s="536"/>
      <c r="HDU1" s="536"/>
      <c r="HDV1" s="536"/>
      <c r="HDW1" s="536"/>
      <c r="HDX1" s="536"/>
      <c r="HDY1" s="536"/>
      <c r="HDZ1" s="536"/>
      <c r="HEA1" s="536"/>
      <c r="HEB1" s="536"/>
      <c r="HEC1" s="536"/>
      <c r="HED1" s="536"/>
      <c r="HEE1" s="536"/>
      <c r="HEF1" s="536"/>
      <c r="HEG1" s="536"/>
      <c r="HEH1" s="536"/>
      <c r="HEI1" s="536"/>
      <c r="HEJ1" s="536"/>
      <c r="HEK1" s="536"/>
      <c r="HEL1" s="536"/>
      <c r="HEM1" s="536"/>
      <c r="HEN1" s="536"/>
      <c r="HEO1" s="536"/>
      <c r="HEP1" s="536"/>
      <c r="HEQ1" s="536"/>
      <c r="HER1" s="536"/>
      <c r="HES1" s="536"/>
      <c r="HET1" s="536"/>
      <c r="HEU1" s="536"/>
      <c r="HEV1" s="536"/>
      <c r="HEW1" s="536"/>
      <c r="HEX1" s="536"/>
      <c r="HEY1" s="536"/>
      <c r="HEZ1" s="536"/>
      <c r="HFA1" s="536"/>
      <c r="HFB1" s="536"/>
      <c r="HFC1" s="536"/>
      <c r="HFD1" s="536"/>
      <c r="HFE1" s="536"/>
      <c r="HFF1" s="536"/>
      <c r="HFG1" s="536"/>
      <c r="HFH1" s="536"/>
      <c r="HFI1" s="536"/>
      <c r="HFJ1" s="536"/>
      <c r="HFK1" s="536"/>
      <c r="HFL1" s="536"/>
      <c r="HFM1" s="536"/>
      <c r="HFN1" s="536"/>
      <c r="HFO1" s="536"/>
      <c r="HFP1" s="536"/>
      <c r="HFQ1" s="536"/>
      <c r="HFR1" s="536"/>
      <c r="HFS1" s="536"/>
      <c r="HFT1" s="536"/>
      <c r="HFU1" s="536"/>
      <c r="HFV1" s="536"/>
      <c r="HFW1" s="536"/>
      <c r="HFX1" s="536"/>
      <c r="HFY1" s="536"/>
      <c r="HFZ1" s="536"/>
      <c r="HGA1" s="536"/>
      <c r="HGB1" s="536"/>
      <c r="HGC1" s="536"/>
      <c r="HGD1" s="536"/>
      <c r="HGE1" s="536"/>
      <c r="HGF1" s="536"/>
      <c r="HGG1" s="536"/>
      <c r="HGH1" s="536"/>
      <c r="HGI1" s="536"/>
      <c r="HGJ1" s="536"/>
      <c r="HGK1" s="536"/>
      <c r="HGL1" s="536"/>
      <c r="HGM1" s="536"/>
      <c r="HGN1" s="536"/>
      <c r="HGO1" s="536"/>
      <c r="HGP1" s="536"/>
      <c r="HGQ1" s="536"/>
      <c r="HGR1" s="536"/>
      <c r="HGS1" s="536"/>
      <c r="HGT1" s="536"/>
      <c r="HGU1" s="536"/>
      <c r="HGV1" s="536"/>
      <c r="HGW1" s="536"/>
      <c r="HGX1" s="536"/>
      <c r="HGY1" s="536"/>
      <c r="HGZ1" s="536"/>
      <c r="HHA1" s="536"/>
      <c r="HHB1" s="536"/>
      <c r="HHC1" s="536"/>
      <c r="HHD1" s="536"/>
      <c r="HHE1" s="536"/>
      <c r="HHF1" s="536"/>
      <c r="HHG1" s="536"/>
      <c r="HHH1" s="536"/>
      <c r="HHI1" s="536"/>
      <c r="HHJ1" s="536"/>
      <c r="HHK1" s="536"/>
      <c r="HHL1" s="536"/>
      <c r="HHM1" s="536"/>
      <c r="HHN1" s="536"/>
      <c r="HHO1" s="536"/>
      <c r="HHP1" s="536"/>
      <c r="HHQ1" s="536"/>
      <c r="HHR1" s="536"/>
      <c r="HHS1" s="536"/>
      <c r="HHT1" s="536"/>
      <c r="HHU1" s="536"/>
      <c r="HHV1" s="536"/>
      <c r="HHW1" s="536"/>
      <c r="HHX1" s="536"/>
      <c r="HHY1" s="536"/>
      <c r="HHZ1" s="536"/>
      <c r="HIA1" s="536"/>
      <c r="HIB1" s="536"/>
      <c r="HIC1" s="536"/>
      <c r="HID1" s="536"/>
      <c r="HIE1" s="536"/>
      <c r="HIF1" s="536"/>
      <c r="HIG1" s="536"/>
      <c r="HIH1" s="536"/>
      <c r="HII1" s="536"/>
      <c r="HIJ1" s="536"/>
      <c r="HIK1" s="536"/>
      <c r="HIL1" s="536"/>
      <c r="HIM1" s="536"/>
      <c r="HIN1" s="536"/>
      <c r="HIO1" s="536"/>
      <c r="HIP1" s="536"/>
      <c r="HIQ1" s="536"/>
      <c r="HIR1" s="536"/>
      <c r="HIS1" s="536"/>
      <c r="HIT1" s="536"/>
      <c r="HIU1" s="536"/>
      <c r="HIV1" s="536"/>
      <c r="HIW1" s="536"/>
      <c r="HIX1" s="536"/>
      <c r="HIY1" s="536"/>
      <c r="HIZ1" s="536"/>
      <c r="HJA1" s="536"/>
      <c r="HJB1" s="536"/>
      <c r="HJC1" s="536"/>
      <c r="HJD1" s="536"/>
      <c r="HJE1" s="536"/>
      <c r="HJF1" s="536"/>
      <c r="HJG1" s="536"/>
      <c r="HJH1" s="536"/>
      <c r="HJI1" s="536"/>
      <c r="HJJ1" s="536"/>
      <c r="HJK1" s="536"/>
      <c r="HJL1" s="536"/>
      <c r="HJM1" s="536"/>
      <c r="HJN1" s="536"/>
      <c r="HJO1" s="536"/>
      <c r="HJP1" s="536"/>
      <c r="HJQ1" s="536"/>
      <c r="HJR1" s="536"/>
      <c r="HJS1" s="536"/>
      <c r="HJT1" s="536"/>
      <c r="HJU1" s="536"/>
      <c r="HJV1" s="536"/>
      <c r="HJW1" s="536"/>
      <c r="HJX1" s="536"/>
      <c r="HJY1" s="536"/>
      <c r="HJZ1" s="536"/>
      <c r="HKA1" s="536"/>
      <c r="HKB1" s="536"/>
      <c r="HKC1" s="536"/>
      <c r="HKD1" s="536"/>
      <c r="HKE1" s="536"/>
      <c r="HKF1" s="536"/>
      <c r="HKG1" s="536"/>
      <c r="HKH1" s="536"/>
      <c r="HKI1" s="536"/>
      <c r="HKJ1" s="536"/>
      <c r="HKK1" s="536"/>
      <c r="HKL1" s="536"/>
      <c r="HKM1" s="536"/>
      <c r="HKN1" s="536"/>
      <c r="HKO1" s="536"/>
      <c r="HKP1" s="536"/>
      <c r="HKQ1" s="536"/>
      <c r="HKR1" s="536"/>
      <c r="HKS1" s="536"/>
      <c r="HKT1" s="536"/>
      <c r="HKU1" s="536"/>
      <c r="HKV1" s="536"/>
      <c r="HKW1" s="536"/>
      <c r="HKX1" s="536"/>
      <c r="HKY1" s="536"/>
      <c r="HKZ1" s="536"/>
      <c r="HLA1" s="536"/>
      <c r="HLB1" s="536"/>
      <c r="HLC1" s="536"/>
      <c r="HLD1" s="536"/>
      <c r="HLE1" s="536"/>
      <c r="HLF1" s="536"/>
      <c r="HLG1" s="536"/>
      <c r="HLH1" s="536"/>
      <c r="HLI1" s="536"/>
      <c r="HLJ1" s="536"/>
      <c r="HLK1" s="536"/>
      <c r="HLL1" s="536"/>
      <c r="HLM1" s="536"/>
      <c r="HLN1" s="536"/>
      <c r="HLO1" s="536"/>
      <c r="HLP1" s="536"/>
      <c r="HLQ1" s="536"/>
      <c r="HLR1" s="536"/>
      <c r="HLS1" s="536"/>
      <c r="HLT1" s="536"/>
      <c r="HLU1" s="536"/>
      <c r="HLV1" s="536"/>
      <c r="HLW1" s="536"/>
      <c r="HLX1" s="536"/>
      <c r="HLY1" s="536"/>
      <c r="HLZ1" s="536"/>
      <c r="HMA1" s="536"/>
      <c r="HMB1" s="536"/>
      <c r="HMC1" s="536"/>
      <c r="HMD1" s="536"/>
      <c r="HME1" s="536"/>
      <c r="HMF1" s="536"/>
      <c r="HMG1" s="536"/>
      <c r="HMH1" s="536"/>
      <c r="HMI1" s="536"/>
      <c r="HMJ1" s="536"/>
      <c r="HMK1" s="536"/>
      <c r="HML1" s="536"/>
      <c r="HMM1" s="536"/>
      <c r="HMN1" s="536"/>
      <c r="HMO1" s="536"/>
      <c r="HMP1" s="536"/>
      <c r="HMQ1" s="536"/>
      <c r="HMR1" s="536"/>
      <c r="HMS1" s="536"/>
      <c r="HMT1" s="536"/>
      <c r="HMU1" s="536"/>
      <c r="HMV1" s="536"/>
      <c r="HMW1" s="536"/>
      <c r="HMX1" s="536"/>
      <c r="HMY1" s="536"/>
      <c r="HMZ1" s="536"/>
      <c r="HNA1" s="536"/>
      <c r="HNB1" s="536"/>
      <c r="HNC1" s="536"/>
      <c r="HND1" s="536"/>
      <c r="HNE1" s="536"/>
      <c r="HNF1" s="536"/>
      <c r="HNG1" s="536"/>
      <c r="HNH1" s="536"/>
      <c r="HNI1" s="536"/>
      <c r="HNJ1" s="536"/>
      <c r="HNK1" s="536"/>
      <c r="HNL1" s="536"/>
      <c r="HNM1" s="536"/>
      <c r="HNN1" s="536"/>
      <c r="HNO1" s="536"/>
      <c r="HNP1" s="536"/>
      <c r="HNQ1" s="536"/>
      <c r="HNR1" s="536"/>
      <c r="HNS1" s="536"/>
      <c r="HNT1" s="536"/>
      <c r="HNU1" s="536"/>
      <c r="HNV1" s="536"/>
      <c r="HNW1" s="536"/>
      <c r="HNX1" s="536"/>
      <c r="HNY1" s="536"/>
      <c r="HNZ1" s="536"/>
      <c r="HOA1" s="536"/>
      <c r="HOB1" s="536"/>
      <c r="HOC1" s="536"/>
      <c r="HOD1" s="536"/>
      <c r="HOE1" s="536"/>
      <c r="HOF1" s="536"/>
      <c r="HOG1" s="536"/>
      <c r="HOH1" s="536"/>
      <c r="HOI1" s="536"/>
      <c r="HOJ1" s="536"/>
      <c r="HOK1" s="536"/>
      <c r="HOL1" s="536"/>
      <c r="HOM1" s="536"/>
      <c r="HON1" s="536"/>
      <c r="HOO1" s="536"/>
      <c r="HOP1" s="536"/>
      <c r="HOQ1" s="536"/>
      <c r="HOR1" s="536"/>
      <c r="HOS1" s="536"/>
      <c r="HOT1" s="536"/>
      <c r="HOU1" s="536"/>
      <c r="HOV1" s="536"/>
      <c r="HOW1" s="536"/>
      <c r="HOX1" s="536"/>
      <c r="HOY1" s="536"/>
      <c r="HOZ1" s="536"/>
      <c r="HPA1" s="536"/>
      <c r="HPB1" s="536"/>
      <c r="HPC1" s="536"/>
      <c r="HPD1" s="536"/>
      <c r="HPE1" s="536"/>
      <c r="HPF1" s="536"/>
      <c r="HPG1" s="536"/>
      <c r="HPH1" s="536"/>
      <c r="HPI1" s="536"/>
      <c r="HPJ1" s="536"/>
      <c r="HPK1" s="536"/>
      <c r="HPL1" s="536"/>
      <c r="HPM1" s="536"/>
      <c r="HPN1" s="536"/>
      <c r="HPO1" s="536"/>
      <c r="HPP1" s="536"/>
      <c r="HPQ1" s="536"/>
      <c r="HPR1" s="536"/>
      <c r="HPS1" s="536"/>
      <c r="HPT1" s="536"/>
      <c r="HPU1" s="536"/>
      <c r="HPV1" s="536"/>
      <c r="HPW1" s="536"/>
      <c r="HPX1" s="536"/>
      <c r="HPY1" s="536"/>
      <c r="HPZ1" s="536"/>
      <c r="HQA1" s="536"/>
      <c r="HQB1" s="536"/>
      <c r="HQC1" s="536"/>
      <c r="HQD1" s="536"/>
      <c r="HQE1" s="536"/>
      <c r="HQF1" s="536"/>
      <c r="HQG1" s="536"/>
      <c r="HQH1" s="536"/>
      <c r="HQI1" s="536"/>
      <c r="HQJ1" s="536"/>
      <c r="HQK1" s="536"/>
      <c r="HQL1" s="536"/>
      <c r="HQM1" s="536"/>
      <c r="HQN1" s="536"/>
      <c r="HQO1" s="536"/>
      <c r="HQP1" s="536"/>
      <c r="HQQ1" s="536"/>
      <c r="HQR1" s="536"/>
      <c r="HQS1" s="536"/>
      <c r="HQT1" s="536"/>
      <c r="HQU1" s="536"/>
      <c r="HQV1" s="536"/>
      <c r="HQW1" s="536"/>
      <c r="HQX1" s="536"/>
      <c r="HQY1" s="536"/>
      <c r="HQZ1" s="536"/>
      <c r="HRA1" s="536"/>
      <c r="HRB1" s="536"/>
      <c r="HRC1" s="536"/>
      <c r="HRD1" s="536"/>
      <c r="HRE1" s="536"/>
      <c r="HRF1" s="536"/>
      <c r="HRG1" s="536"/>
      <c r="HRH1" s="536"/>
      <c r="HRI1" s="536"/>
      <c r="HRJ1" s="536"/>
      <c r="HRK1" s="536"/>
      <c r="HRL1" s="536"/>
      <c r="HRM1" s="536"/>
      <c r="HRN1" s="536"/>
      <c r="HRO1" s="536"/>
      <c r="HRP1" s="536"/>
      <c r="HRQ1" s="536"/>
      <c r="HRR1" s="536"/>
      <c r="HRS1" s="536"/>
      <c r="HRT1" s="536"/>
      <c r="HRU1" s="536"/>
      <c r="HRV1" s="536"/>
      <c r="HRW1" s="536"/>
      <c r="HRX1" s="536"/>
      <c r="HRY1" s="536"/>
      <c r="HRZ1" s="536"/>
      <c r="HSA1" s="536"/>
      <c r="HSB1" s="536"/>
      <c r="HSC1" s="536"/>
      <c r="HSD1" s="536"/>
      <c r="HSE1" s="536"/>
      <c r="HSF1" s="536"/>
      <c r="HSG1" s="536"/>
      <c r="HSH1" s="536"/>
      <c r="HSI1" s="536"/>
      <c r="HSJ1" s="536"/>
      <c r="HSK1" s="536"/>
      <c r="HSL1" s="536"/>
      <c r="HSM1" s="536"/>
      <c r="HSN1" s="536"/>
      <c r="HSO1" s="536"/>
      <c r="HSP1" s="536"/>
      <c r="HSQ1" s="536"/>
      <c r="HSR1" s="536"/>
      <c r="HSS1" s="536"/>
      <c r="HST1" s="536"/>
      <c r="HSU1" s="536"/>
      <c r="HSV1" s="536"/>
      <c r="HSW1" s="536"/>
      <c r="HSX1" s="536"/>
      <c r="HSY1" s="536"/>
      <c r="HSZ1" s="536"/>
      <c r="HTA1" s="536"/>
      <c r="HTB1" s="536"/>
      <c r="HTC1" s="536"/>
      <c r="HTD1" s="536"/>
      <c r="HTE1" s="536"/>
      <c r="HTF1" s="536"/>
      <c r="HTG1" s="536"/>
      <c r="HTH1" s="536"/>
      <c r="HTI1" s="536"/>
      <c r="HTJ1" s="536"/>
      <c r="HTK1" s="536"/>
      <c r="HTL1" s="536"/>
      <c r="HTM1" s="536"/>
      <c r="HTN1" s="536"/>
      <c r="HTO1" s="536"/>
      <c r="HTP1" s="536"/>
      <c r="HTQ1" s="536"/>
      <c r="HTR1" s="536"/>
      <c r="HTS1" s="536"/>
      <c r="HTT1" s="536"/>
      <c r="HTU1" s="536"/>
      <c r="HTV1" s="536"/>
      <c r="HTW1" s="536"/>
      <c r="HTX1" s="536"/>
      <c r="HTY1" s="536"/>
      <c r="HTZ1" s="536"/>
      <c r="HUA1" s="536"/>
      <c r="HUB1" s="536"/>
      <c r="HUC1" s="536"/>
      <c r="HUD1" s="536"/>
      <c r="HUE1" s="536"/>
      <c r="HUF1" s="536"/>
      <c r="HUG1" s="536"/>
      <c r="HUH1" s="536"/>
      <c r="HUI1" s="536"/>
      <c r="HUJ1" s="536"/>
      <c r="HUK1" s="536"/>
      <c r="HUL1" s="536"/>
      <c r="HUM1" s="536"/>
      <c r="HUN1" s="536"/>
      <c r="HUO1" s="536"/>
      <c r="HUP1" s="536"/>
      <c r="HUQ1" s="536"/>
      <c r="HUR1" s="536"/>
      <c r="HUS1" s="536"/>
      <c r="HUT1" s="536"/>
      <c r="HUU1" s="536"/>
      <c r="HUV1" s="536"/>
      <c r="HUW1" s="536"/>
      <c r="HUX1" s="536"/>
      <c r="HUY1" s="536"/>
      <c r="HUZ1" s="536"/>
      <c r="HVA1" s="536"/>
      <c r="HVB1" s="536"/>
      <c r="HVC1" s="536"/>
      <c r="HVD1" s="536"/>
      <c r="HVE1" s="536"/>
      <c r="HVF1" s="536"/>
      <c r="HVG1" s="536"/>
      <c r="HVH1" s="536"/>
      <c r="HVI1" s="536"/>
      <c r="HVJ1" s="536"/>
      <c r="HVK1" s="536"/>
      <c r="HVL1" s="536"/>
      <c r="HVM1" s="536"/>
      <c r="HVN1" s="536"/>
      <c r="HVO1" s="536"/>
      <c r="HVP1" s="536"/>
      <c r="HVQ1" s="536"/>
      <c r="HVR1" s="536"/>
      <c r="HVS1" s="536"/>
      <c r="HVT1" s="536"/>
      <c r="HVU1" s="536"/>
      <c r="HVV1" s="536"/>
      <c r="HVW1" s="536"/>
      <c r="HVX1" s="536"/>
      <c r="HVY1" s="536"/>
      <c r="HVZ1" s="536"/>
      <c r="HWA1" s="536"/>
      <c r="HWB1" s="536"/>
      <c r="HWC1" s="536"/>
      <c r="HWD1" s="536"/>
      <c r="HWE1" s="536"/>
      <c r="HWF1" s="536"/>
      <c r="HWG1" s="536"/>
      <c r="HWH1" s="536"/>
      <c r="HWI1" s="536"/>
      <c r="HWJ1" s="536"/>
      <c r="HWK1" s="536"/>
      <c r="HWL1" s="536"/>
      <c r="HWM1" s="536"/>
      <c r="HWN1" s="536"/>
      <c r="HWO1" s="536"/>
      <c r="HWP1" s="536"/>
      <c r="HWQ1" s="536"/>
      <c r="HWR1" s="536"/>
      <c r="HWS1" s="536"/>
      <c r="HWT1" s="536"/>
      <c r="HWU1" s="536"/>
      <c r="HWV1" s="536"/>
      <c r="HWW1" s="536"/>
      <c r="HWX1" s="536"/>
      <c r="HWY1" s="536"/>
      <c r="HWZ1" s="536"/>
      <c r="HXA1" s="536"/>
      <c r="HXB1" s="536"/>
      <c r="HXC1" s="536"/>
      <c r="HXD1" s="536"/>
      <c r="HXE1" s="536"/>
      <c r="HXF1" s="536"/>
      <c r="HXG1" s="536"/>
      <c r="HXH1" s="536"/>
      <c r="HXI1" s="536"/>
      <c r="HXJ1" s="536"/>
      <c r="HXK1" s="536"/>
      <c r="HXL1" s="536"/>
      <c r="HXM1" s="536"/>
      <c r="HXN1" s="536"/>
      <c r="HXO1" s="536"/>
      <c r="HXP1" s="536"/>
      <c r="HXQ1" s="536"/>
      <c r="HXR1" s="536"/>
      <c r="HXS1" s="536"/>
      <c r="HXT1" s="536"/>
      <c r="HXU1" s="536"/>
      <c r="HXV1" s="536"/>
      <c r="HXW1" s="536"/>
      <c r="HXX1" s="536"/>
      <c r="HXY1" s="536"/>
      <c r="HXZ1" s="536"/>
      <c r="HYA1" s="536"/>
      <c r="HYB1" s="536"/>
      <c r="HYC1" s="536"/>
      <c r="HYD1" s="536"/>
      <c r="HYE1" s="536"/>
      <c r="HYF1" s="536"/>
      <c r="HYG1" s="536"/>
      <c r="HYH1" s="536"/>
      <c r="HYI1" s="536"/>
      <c r="HYJ1" s="536"/>
      <c r="HYK1" s="536"/>
      <c r="HYL1" s="536"/>
      <c r="HYM1" s="536"/>
      <c r="HYN1" s="536"/>
      <c r="HYO1" s="536"/>
      <c r="HYP1" s="536"/>
      <c r="HYQ1" s="536"/>
      <c r="HYR1" s="536"/>
      <c r="HYS1" s="536"/>
      <c r="HYT1" s="536"/>
      <c r="HYU1" s="536"/>
      <c r="HYV1" s="536"/>
      <c r="HYW1" s="536"/>
      <c r="HYX1" s="536"/>
      <c r="HYY1" s="536"/>
      <c r="HYZ1" s="536"/>
      <c r="HZA1" s="536"/>
      <c r="HZB1" s="536"/>
      <c r="HZC1" s="536"/>
      <c r="HZD1" s="536"/>
      <c r="HZE1" s="536"/>
      <c r="HZF1" s="536"/>
      <c r="HZG1" s="536"/>
      <c r="HZH1" s="536"/>
      <c r="HZI1" s="536"/>
      <c r="HZJ1" s="536"/>
      <c r="HZK1" s="536"/>
      <c r="HZL1" s="536"/>
      <c r="HZM1" s="536"/>
      <c r="HZN1" s="536"/>
      <c r="HZO1" s="536"/>
      <c r="HZP1" s="536"/>
      <c r="HZQ1" s="536"/>
      <c r="HZR1" s="536"/>
      <c r="HZS1" s="536"/>
      <c r="HZT1" s="536"/>
      <c r="HZU1" s="536"/>
      <c r="HZV1" s="536"/>
      <c r="HZW1" s="536"/>
      <c r="HZX1" s="536"/>
      <c r="HZY1" s="536"/>
      <c r="HZZ1" s="536"/>
      <c r="IAA1" s="536"/>
      <c r="IAB1" s="536"/>
      <c r="IAC1" s="536"/>
      <c r="IAD1" s="536"/>
      <c r="IAE1" s="536"/>
      <c r="IAF1" s="536"/>
      <c r="IAG1" s="536"/>
      <c r="IAH1" s="536"/>
      <c r="IAI1" s="536"/>
      <c r="IAJ1" s="536"/>
      <c r="IAK1" s="536"/>
      <c r="IAL1" s="536"/>
      <c r="IAM1" s="536"/>
      <c r="IAN1" s="536"/>
      <c r="IAO1" s="536"/>
      <c r="IAP1" s="536"/>
      <c r="IAQ1" s="536"/>
      <c r="IAR1" s="536"/>
      <c r="IAS1" s="536"/>
      <c r="IAT1" s="536"/>
      <c r="IAU1" s="536"/>
      <c r="IAV1" s="536"/>
      <c r="IAW1" s="536"/>
      <c r="IAX1" s="536"/>
      <c r="IAY1" s="536"/>
      <c r="IAZ1" s="536"/>
      <c r="IBA1" s="536"/>
      <c r="IBB1" s="536"/>
      <c r="IBC1" s="536"/>
      <c r="IBD1" s="536"/>
      <c r="IBE1" s="536"/>
      <c r="IBF1" s="536"/>
      <c r="IBG1" s="536"/>
      <c r="IBH1" s="536"/>
      <c r="IBI1" s="536"/>
      <c r="IBJ1" s="536"/>
      <c r="IBK1" s="536"/>
      <c r="IBL1" s="536"/>
      <c r="IBM1" s="536"/>
      <c r="IBN1" s="536"/>
      <c r="IBO1" s="536"/>
      <c r="IBP1" s="536"/>
      <c r="IBQ1" s="536"/>
      <c r="IBR1" s="536"/>
      <c r="IBS1" s="536"/>
      <c r="IBT1" s="536"/>
      <c r="IBU1" s="536"/>
      <c r="IBV1" s="536"/>
      <c r="IBW1" s="536"/>
      <c r="IBX1" s="536"/>
      <c r="IBY1" s="536"/>
      <c r="IBZ1" s="536"/>
      <c r="ICA1" s="536"/>
      <c r="ICB1" s="536"/>
      <c r="ICC1" s="536"/>
      <c r="ICD1" s="536"/>
      <c r="ICE1" s="536"/>
      <c r="ICF1" s="536"/>
      <c r="ICG1" s="536"/>
      <c r="ICH1" s="536"/>
      <c r="ICI1" s="536"/>
      <c r="ICJ1" s="536"/>
      <c r="ICK1" s="536"/>
      <c r="ICL1" s="536"/>
      <c r="ICM1" s="536"/>
      <c r="ICN1" s="536"/>
      <c r="ICO1" s="536"/>
      <c r="ICP1" s="536"/>
      <c r="ICQ1" s="536"/>
      <c r="ICR1" s="536"/>
      <c r="ICS1" s="536"/>
      <c r="ICT1" s="536"/>
      <c r="ICU1" s="536"/>
      <c r="ICV1" s="536"/>
      <c r="ICW1" s="536"/>
      <c r="ICX1" s="536"/>
      <c r="ICY1" s="536"/>
      <c r="ICZ1" s="536"/>
      <c r="IDA1" s="536"/>
      <c r="IDB1" s="536"/>
      <c r="IDC1" s="536"/>
      <c r="IDD1" s="536"/>
      <c r="IDE1" s="536"/>
      <c r="IDF1" s="536"/>
      <c r="IDG1" s="536"/>
      <c r="IDH1" s="536"/>
      <c r="IDI1" s="536"/>
      <c r="IDJ1" s="536"/>
      <c r="IDK1" s="536"/>
      <c r="IDL1" s="536"/>
      <c r="IDM1" s="536"/>
      <c r="IDN1" s="536"/>
      <c r="IDO1" s="536"/>
      <c r="IDP1" s="536"/>
      <c r="IDQ1" s="536"/>
      <c r="IDR1" s="536"/>
      <c r="IDS1" s="536"/>
      <c r="IDT1" s="536"/>
      <c r="IDU1" s="536"/>
      <c r="IDV1" s="536"/>
      <c r="IDW1" s="536"/>
      <c r="IDX1" s="536"/>
      <c r="IDY1" s="536"/>
      <c r="IDZ1" s="536"/>
      <c r="IEA1" s="536"/>
      <c r="IEB1" s="536"/>
      <c r="IEC1" s="536"/>
      <c r="IED1" s="536"/>
      <c r="IEE1" s="536"/>
      <c r="IEF1" s="536"/>
      <c r="IEG1" s="536"/>
      <c r="IEH1" s="536"/>
      <c r="IEI1" s="536"/>
      <c r="IEJ1" s="536"/>
      <c r="IEK1" s="536"/>
      <c r="IEL1" s="536"/>
      <c r="IEM1" s="536"/>
      <c r="IEN1" s="536"/>
      <c r="IEO1" s="536"/>
      <c r="IEP1" s="536"/>
      <c r="IEQ1" s="536"/>
      <c r="IER1" s="536"/>
      <c r="IES1" s="536"/>
      <c r="IET1" s="536"/>
      <c r="IEU1" s="536"/>
      <c r="IEV1" s="536"/>
      <c r="IEW1" s="536"/>
      <c r="IEX1" s="536"/>
      <c r="IEY1" s="536"/>
      <c r="IEZ1" s="536"/>
      <c r="IFA1" s="536"/>
      <c r="IFB1" s="536"/>
      <c r="IFC1" s="536"/>
      <c r="IFD1" s="536"/>
      <c r="IFE1" s="536"/>
      <c r="IFF1" s="536"/>
      <c r="IFG1" s="536"/>
      <c r="IFH1" s="536"/>
      <c r="IFI1" s="536"/>
      <c r="IFJ1" s="536"/>
      <c r="IFK1" s="536"/>
      <c r="IFL1" s="536"/>
      <c r="IFM1" s="536"/>
      <c r="IFN1" s="536"/>
      <c r="IFO1" s="536"/>
      <c r="IFP1" s="536"/>
      <c r="IFQ1" s="536"/>
      <c r="IFR1" s="536"/>
      <c r="IFS1" s="536"/>
      <c r="IFT1" s="536"/>
      <c r="IFU1" s="536"/>
      <c r="IFV1" s="536"/>
      <c r="IFW1" s="536"/>
      <c r="IFX1" s="536"/>
      <c r="IFY1" s="536"/>
      <c r="IFZ1" s="536"/>
      <c r="IGA1" s="536"/>
      <c r="IGB1" s="536"/>
      <c r="IGC1" s="536"/>
      <c r="IGD1" s="536"/>
      <c r="IGE1" s="536"/>
      <c r="IGF1" s="536"/>
      <c r="IGG1" s="536"/>
      <c r="IGH1" s="536"/>
      <c r="IGI1" s="536"/>
      <c r="IGJ1" s="536"/>
      <c r="IGK1" s="536"/>
      <c r="IGL1" s="536"/>
      <c r="IGM1" s="536"/>
      <c r="IGN1" s="536"/>
      <c r="IGO1" s="536"/>
      <c r="IGP1" s="536"/>
      <c r="IGQ1" s="536"/>
      <c r="IGR1" s="536"/>
      <c r="IGS1" s="536"/>
      <c r="IGT1" s="536"/>
      <c r="IGU1" s="536"/>
      <c r="IGV1" s="536"/>
      <c r="IGW1" s="536"/>
      <c r="IGX1" s="536"/>
      <c r="IGY1" s="536"/>
      <c r="IGZ1" s="536"/>
      <c r="IHA1" s="536"/>
      <c r="IHB1" s="536"/>
      <c r="IHC1" s="536"/>
      <c r="IHD1" s="536"/>
      <c r="IHE1" s="536"/>
      <c r="IHF1" s="536"/>
      <c r="IHG1" s="536"/>
      <c r="IHH1" s="536"/>
      <c r="IHI1" s="536"/>
      <c r="IHJ1" s="536"/>
      <c r="IHK1" s="536"/>
      <c r="IHL1" s="536"/>
      <c r="IHM1" s="536"/>
      <c r="IHN1" s="536"/>
      <c r="IHO1" s="536"/>
      <c r="IHP1" s="536"/>
      <c r="IHQ1" s="536"/>
      <c r="IHR1" s="536"/>
      <c r="IHS1" s="536"/>
      <c r="IHT1" s="536"/>
      <c r="IHU1" s="536"/>
      <c r="IHV1" s="536"/>
      <c r="IHW1" s="536"/>
      <c r="IHX1" s="536"/>
      <c r="IHY1" s="536"/>
      <c r="IHZ1" s="536"/>
      <c r="IIA1" s="536"/>
      <c r="IIB1" s="536"/>
      <c r="IIC1" s="536"/>
      <c r="IID1" s="536"/>
      <c r="IIE1" s="536"/>
      <c r="IIF1" s="536"/>
      <c r="IIG1" s="536"/>
      <c r="IIH1" s="536"/>
      <c r="III1" s="536"/>
      <c r="IIJ1" s="536"/>
      <c r="IIK1" s="536"/>
      <c r="IIL1" s="536"/>
      <c r="IIM1" s="536"/>
      <c r="IIN1" s="536"/>
      <c r="IIO1" s="536"/>
      <c r="IIP1" s="536"/>
      <c r="IIQ1" s="536"/>
      <c r="IIR1" s="536"/>
      <c r="IIS1" s="536"/>
      <c r="IIT1" s="536"/>
      <c r="IIU1" s="536"/>
      <c r="IIV1" s="536"/>
      <c r="IIW1" s="536"/>
      <c r="IIX1" s="536"/>
      <c r="IIY1" s="536"/>
      <c r="IIZ1" s="536"/>
      <c r="IJA1" s="536"/>
      <c r="IJB1" s="536"/>
      <c r="IJC1" s="536"/>
      <c r="IJD1" s="536"/>
      <c r="IJE1" s="536"/>
      <c r="IJF1" s="536"/>
      <c r="IJG1" s="536"/>
      <c r="IJH1" s="536"/>
      <c r="IJI1" s="536"/>
      <c r="IJJ1" s="536"/>
      <c r="IJK1" s="536"/>
      <c r="IJL1" s="536"/>
      <c r="IJM1" s="536"/>
      <c r="IJN1" s="536"/>
      <c r="IJO1" s="536"/>
      <c r="IJP1" s="536"/>
      <c r="IJQ1" s="536"/>
      <c r="IJR1" s="536"/>
      <c r="IJS1" s="536"/>
      <c r="IJT1" s="536"/>
      <c r="IJU1" s="536"/>
      <c r="IJV1" s="536"/>
      <c r="IJW1" s="536"/>
      <c r="IJX1" s="536"/>
      <c r="IJY1" s="536"/>
      <c r="IJZ1" s="536"/>
      <c r="IKA1" s="536"/>
      <c r="IKB1" s="536"/>
      <c r="IKC1" s="536"/>
      <c r="IKD1" s="536"/>
      <c r="IKE1" s="536"/>
      <c r="IKF1" s="536"/>
      <c r="IKG1" s="536"/>
      <c r="IKH1" s="536"/>
      <c r="IKI1" s="536"/>
      <c r="IKJ1" s="536"/>
      <c r="IKK1" s="536"/>
      <c r="IKL1" s="536"/>
      <c r="IKM1" s="536"/>
      <c r="IKN1" s="536"/>
      <c r="IKO1" s="536"/>
      <c r="IKP1" s="536"/>
      <c r="IKQ1" s="536"/>
      <c r="IKR1" s="536"/>
      <c r="IKS1" s="536"/>
      <c r="IKT1" s="536"/>
      <c r="IKU1" s="536"/>
      <c r="IKV1" s="536"/>
      <c r="IKW1" s="536"/>
      <c r="IKX1" s="536"/>
      <c r="IKY1" s="536"/>
      <c r="IKZ1" s="536"/>
      <c r="ILA1" s="536"/>
      <c r="ILB1" s="536"/>
      <c r="ILC1" s="536"/>
      <c r="ILD1" s="536"/>
      <c r="ILE1" s="536"/>
      <c r="ILF1" s="536"/>
      <c r="ILG1" s="536"/>
      <c r="ILH1" s="536"/>
      <c r="ILI1" s="536"/>
      <c r="ILJ1" s="536"/>
      <c r="ILK1" s="536"/>
      <c r="ILL1" s="536"/>
      <c r="ILM1" s="536"/>
      <c r="ILN1" s="536"/>
      <c r="ILO1" s="536"/>
      <c r="ILP1" s="536"/>
      <c r="ILQ1" s="536"/>
      <c r="ILR1" s="536"/>
      <c r="ILS1" s="536"/>
      <c r="ILT1" s="536"/>
      <c r="ILU1" s="536"/>
      <c r="ILV1" s="536"/>
      <c r="ILW1" s="536"/>
      <c r="ILX1" s="536"/>
      <c r="ILY1" s="536"/>
      <c r="ILZ1" s="536"/>
      <c r="IMA1" s="536"/>
      <c r="IMB1" s="536"/>
      <c r="IMC1" s="536"/>
      <c r="IMD1" s="536"/>
      <c r="IME1" s="536"/>
      <c r="IMF1" s="536"/>
      <c r="IMG1" s="536"/>
      <c r="IMH1" s="536"/>
      <c r="IMI1" s="536"/>
      <c r="IMJ1" s="536"/>
      <c r="IMK1" s="536"/>
      <c r="IML1" s="536"/>
      <c r="IMM1" s="536"/>
      <c r="IMN1" s="536"/>
      <c r="IMO1" s="536"/>
      <c r="IMP1" s="536"/>
      <c r="IMQ1" s="536"/>
      <c r="IMR1" s="536"/>
      <c r="IMS1" s="536"/>
      <c r="IMT1" s="536"/>
      <c r="IMU1" s="536"/>
      <c r="IMV1" s="536"/>
      <c r="IMW1" s="536"/>
      <c r="IMX1" s="536"/>
      <c r="IMY1" s="536"/>
      <c r="IMZ1" s="536"/>
      <c r="INA1" s="536"/>
      <c r="INB1" s="536"/>
      <c r="INC1" s="536"/>
      <c r="IND1" s="536"/>
      <c r="INE1" s="536"/>
      <c r="INF1" s="536"/>
      <c r="ING1" s="536"/>
      <c r="INH1" s="536"/>
      <c r="INI1" s="536"/>
      <c r="INJ1" s="536"/>
      <c r="INK1" s="536"/>
      <c r="INL1" s="536"/>
      <c r="INM1" s="536"/>
      <c r="INN1" s="536"/>
      <c r="INO1" s="536"/>
      <c r="INP1" s="536"/>
      <c r="INQ1" s="536"/>
      <c r="INR1" s="536"/>
      <c r="INS1" s="536"/>
      <c r="INT1" s="536"/>
      <c r="INU1" s="536"/>
      <c r="INV1" s="536"/>
      <c r="INW1" s="536"/>
      <c r="INX1" s="536"/>
      <c r="INY1" s="536"/>
      <c r="INZ1" s="536"/>
      <c r="IOA1" s="536"/>
      <c r="IOB1" s="536"/>
      <c r="IOC1" s="536"/>
      <c r="IOD1" s="536"/>
      <c r="IOE1" s="536"/>
      <c r="IOF1" s="536"/>
      <c r="IOG1" s="536"/>
      <c r="IOH1" s="536"/>
      <c r="IOI1" s="536"/>
      <c r="IOJ1" s="536"/>
      <c r="IOK1" s="536"/>
      <c r="IOL1" s="536"/>
      <c r="IOM1" s="536"/>
      <c r="ION1" s="536"/>
      <c r="IOO1" s="536"/>
      <c r="IOP1" s="536"/>
      <c r="IOQ1" s="536"/>
      <c r="IOR1" s="536"/>
      <c r="IOS1" s="536"/>
      <c r="IOT1" s="536"/>
      <c r="IOU1" s="536"/>
      <c r="IOV1" s="536"/>
      <c r="IOW1" s="536"/>
      <c r="IOX1" s="536"/>
      <c r="IOY1" s="536"/>
      <c r="IOZ1" s="536"/>
      <c r="IPA1" s="536"/>
      <c r="IPB1" s="536"/>
      <c r="IPC1" s="536"/>
      <c r="IPD1" s="536"/>
      <c r="IPE1" s="536"/>
      <c r="IPF1" s="536"/>
      <c r="IPG1" s="536"/>
      <c r="IPH1" s="536"/>
      <c r="IPI1" s="536"/>
      <c r="IPJ1" s="536"/>
      <c r="IPK1" s="536"/>
      <c r="IPL1" s="536"/>
      <c r="IPM1" s="536"/>
      <c r="IPN1" s="536"/>
      <c r="IPO1" s="536"/>
      <c r="IPP1" s="536"/>
      <c r="IPQ1" s="536"/>
      <c r="IPR1" s="536"/>
      <c r="IPS1" s="536"/>
      <c r="IPT1" s="536"/>
      <c r="IPU1" s="536"/>
      <c r="IPV1" s="536"/>
      <c r="IPW1" s="536"/>
      <c r="IPX1" s="536"/>
      <c r="IPY1" s="536"/>
      <c r="IPZ1" s="536"/>
      <c r="IQA1" s="536"/>
      <c r="IQB1" s="536"/>
      <c r="IQC1" s="536"/>
      <c r="IQD1" s="536"/>
      <c r="IQE1" s="536"/>
      <c r="IQF1" s="536"/>
      <c r="IQG1" s="536"/>
      <c r="IQH1" s="536"/>
      <c r="IQI1" s="536"/>
      <c r="IQJ1" s="536"/>
      <c r="IQK1" s="536"/>
      <c r="IQL1" s="536"/>
      <c r="IQM1" s="536"/>
      <c r="IQN1" s="536"/>
      <c r="IQO1" s="536"/>
      <c r="IQP1" s="536"/>
      <c r="IQQ1" s="536"/>
      <c r="IQR1" s="536"/>
      <c r="IQS1" s="536"/>
      <c r="IQT1" s="536"/>
      <c r="IQU1" s="536"/>
      <c r="IQV1" s="536"/>
      <c r="IQW1" s="536"/>
      <c r="IQX1" s="536"/>
      <c r="IQY1" s="536"/>
      <c r="IQZ1" s="536"/>
      <c r="IRA1" s="536"/>
      <c r="IRB1" s="536"/>
      <c r="IRC1" s="536"/>
      <c r="IRD1" s="536"/>
      <c r="IRE1" s="536"/>
      <c r="IRF1" s="536"/>
      <c r="IRG1" s="536"/>
      <c r="IRH1" s="536"/>
      <c r="IRI1" s="536"/>
      <c r="IRJ1" s="536"/>
      <c r="IRK1" s="536"/>
      <c r="IRL1" s="536"/>
      <c r="IRM1" s="536"/>
      <c r="IRN1" s="536"/>
      <c r="IRO1" s="536"/>
      <c r="IRP1" s="536"/>
      <c r="IRQ1" s="536"/>
      <c r="IRR1" s="536"/>
      <c r="IRS1" s="536"/>
      <c r="IRT1" s="536"/>
      <c r="IRU1" s="536"/>
      <c r="IRV1" s="536"/>
      <c r="IRW1" s="536"/>
      <c r="IRX1" s="536"/>
      <c r="IRY1" s="536"/>
      <c r="IRZ1" s="536"/>
      <c r="ISA1" s="536"/>
      <c r="ISB1" s="536"/>
      <c r="ISC1" s="536"/>
      <c r="ISD1" s="536"/>
      <c r="ISE1" s="536"/>
      <c r="ISF1" s="536"/>
      <c r="ISG1" s="536"/>
      <c r="ISH1" s="536"/>
      <c r="ISI1" s="536"/>
      <c r="ISJ1" s="536"/>
      <c r="ISK1" s="536"/>
      <c r="ISL1" s="536"/>
      <c r="ISM1" s="536"/>
      <c r="ISN1" s="536"/>
      <c r="ISO1" s="536"/>
      <c r="ISP1" s="536"/>
      <c r="ISQ1" s="536"/>
      <c r="ISR1" s="536"/>
      <c r="ISS1" s="536"/>
      <c r="IST1" s="536"/>
      <c r="ISU1" s="536"/>
      <c r="ISV1" s="536"/>
      <c r="ISW1" s="536"/>
      <c r="ISX1" s="536"/>
      <c r="ISY1" s="536"/>
      <c r="ISZ1" s="536"/>
      <c r="ITA1" s="536"/>
      <c r="ITB1" s="536"/>
      <c r="ITC1" s="536"/>
      <c r="ITD1" s="536"/>
      <c r="ITE1" s="536"/>
      <c r="ITF1" s="536"/>
      <c r="ITG1" s="536"/>
      <c r="ITH1" s="536"/>
      <c r="ITI1" s="536"/>
      <c r="ITJ1" s="536"/>
      <c r="ITK1" s="536"/>
      <c r="ITL1" s="536"/>
      <c r="ITM1" s="536"/>
      <c r="ITN1" s="536"/>
      <c r="ITO1" s="536"/>
      <c r="ITP1" s="536"/>
      <c r="ITQ1" s="536"/>
      <c r="ITR1" s="536"/>
      <c r="ITS1" s="536"/>
      <c r="ITT1" s="536"/>
      <c r="ITU1" s="536"/>
      <c r="ITV1" s="536"/>
      <c r="ITW1" s="536"/>
      <c r="ITX1" s="536"/>
      <c r="ITY1" s="536"/>
      <c r="ITZ1" s="536"/>
      <c r="IUA1" s="536"/>
      <c r="IUB1" s="536"/>
      <c r="IUC1" s="536"/>
      <c r="IUD1" s="536"/>
      <c r="IUE1" s="536"/>
      <c r="IUF1" s="536"/>
      <c r="IUG1" s="536"/>
      <c r="IUH1" s="536"/>
      <c r="IUI1" s="536"/>
      <c r="IUJ1" s="536"/>
      <c r="IUK1" s="536"/>
      <c r="IUL1" s="536"/>
      <c r="IUM1" s="536"/>
      <c r="IUN1" s="536"/>
      <c r="IUO1" s="536"/>
      <c r="IUP1" s="536"/>
      <c r="IUQ1" s="536"/>
      <c r="IUR1" s="536"/>
      <c r="IUS1" s="536"/>
      <c r="IUT1" s="536"/>
      <c r="IUU1" s="536"/>
      <c r="IUV1" s="536"/>
      <c r="IUW1" s="536"/>
      <c r="IUX1" s="536"/>
      <c r="IUY1" s="536"/>
      <c r="IUZ1" s="536"/>
      <c r="IVA1" s="536"/>
      <c r="IVB1" s="536"/>
      <c r="IVC1" s="536"/>
      <c r="IVD1" s="536"/>
      <c r="IVE1" s="536"/>
      <c r="IVF1" s="536"/>
      <c r="IVG1" s="536"/>
      <c r="IVH1" s="536"/>
      <c r="IVI1" s="536"/>
      <c r="IVJ1" s="536"/>
      <c r="IVK1" s="536"/>
      <c r="IVL1" s="536"/>
      <c r="IVM1" s="536"/>
      <c r="IVN1" s="536"/>
      <c r="IVO1" s="536"/>
      <c r="IVP1" s="536"/>
      <c r="IVQ1" s="536"/>
      <c r="IVR1" s="536"/>
      <c r="IVS1" s="536"/>
      <c r="IVT1" s="536"/>
      <c r="IVU1" s="536"/>
      <c r="IVV1" s="536"/>
      <c r="IVW1" s="536"/>
      <c r="IVX1" s="536"/>
      <c r="IVY1" s="536"/>
      <c r="IVZ1" s="536"/>
      <c r="IWA1" s="536"/>
      <c r="IWB1" s="536"/>
      <c r="IWC1" s="536"/>
      <c r="IWD1" s="536"/>
      <c r="IWE1" s="536"/>
      <c r="IWF1" s="536"/>
      <c r="IWG1" s="536"/>
      <c r="IWH1" s="536"/>
      <c r="IWI1" s="536"/>
      <c r="IWJ1" s="536"/>
      <c r="IWK1" s="536"/>
      <c r="IWL1" s="536"/>
      <c r="IWM1" s="536"/>
      <c r="IWN1" s="536"/>
      <c r="IWO1" s="536"/>
      <c r="IWP1" s="536"/>
      <c r="IWQ1" s="536"/>
      <c r="IWR1" s="536"/>
      <c r="IWS1" s="536"/>
      <c r="IWT1" s="536"/>
      <c r="IWU1" s="536"/>
      <c r="IWV1" s="536"/>
      <c r="IWW1" s="536"/>
      <c r="IWX1" s="536"/>
      <c r="IWY1" s="536"/>
      <c r="IWZ1" s="536"/>
      <c r="IXA1" s="536"/>
      <c r="IXB1" s="536"/>
      <c r="IXC1" s="536"/>
      <c r="IXD1" s="536"/>
      <c r="IXE1" s="536"/>
      <c r="IXF1" s="536"/>
      <c r="IXG1" s="536"/>
      <c r="IXH1" s="536"/>
      <c r="IXI1" s="536"/>
      <c r="IXJ1" s="536"/>
      <c r="IXK1" s="536"/>
      <c r="IXL1" s="536"/>
      <c r="IXM1" s="536"/>
      <c r="IXN1" s="536"/>
      <c r="IXO1" s="536"/>
      <c r="IXP1" s="536"/>
      <c r="IXQ1" s="536"/>
      <c r="IXR1" s="536"/>
      <c r="IXS1" s="536"/>
      <c r="IXT1" s="536"/>
      <c r="IXU1" s="536"/>
      <c r="IXV1" s="536"/>
      <c r="IXW1" s="536"/>
      <c r="IXX1" s="536"/>
      <c r="IXY1" s="536"/>
      <c r="IXZ1" s="536"/>
      <c r="IYA1" s="536"/>
      <c r="IYB1" s="536"/>
      <c r="IYC1" s="536"/>
      <c r="IYD1" s="536"/>
      <c r="IYE1" s="536"/>
      <c r="IYF1" s="536"/>
      <c r="IYG1" s="536"/>
      <c r="IYH1" s="536"/>
      <c r="IYI1" s="536"/>
      <c r="IYJ1" s="536"/>
      <c r="IYK1" s="536"/>
      <c r="IYL1" s="536"/>
      <c r="IYM1" s="536"/>
      <c r="IYN1" s="536"/>
      <c r="IYO1" s="536"/>
      <c r="IYP1" s="536"/>
      <c r="IYQ1" s="536"/>
      <c r="IYR1" s="536"/>
      <c r="IYS1" s="536"/>
      <c r="IYT1" s="536"/>
      <c r="IYU1" s="536"/>
      <c r="IYV1" s="536"/>
      <c r="IYW1" s="536"/>
      <c r="IYX1" s="536"/>
      <c r="IYY1" s="536"/>
      <c r="IYZ1" s="536"/>
      <c r="IZA1" s="536"/>
      <c r="IZB1" s="536"/>
      <c r="IZC1" s="536"/>
      <c r="IZD1" s="536"/>
      <c r="IZE1" s="536"/>
      <c r="IZF1" s="536"/>
      <c r="IZG1" s="536"/>
      <c r="IZH1" s="536"/>
      <c r="IZI1" s="536"/>
      <c r="IZJ1" s="536"/>
      <c r="IZK1" s="536"/>
      <c r="IZL1" s="536"/>
      <c r="IZM1" s="536"/>
      <c r="IZN1" s="536"/>
      <c r="IZO1" s="536"/>
      <c r="IZP1" s="536"/>
      <c r="IZQ1" s="536"/>
      <c r="IZR1" s="536"/>
      <c r="IZS1" s="536"/>
      <c r="IZT1" s="536"/>
      <c r="IZU1" s="536"/>
      <c r="IZV1" s="536"/>
      <c r="IZW1" s="536"/>
      <c r="IZX1" s="536"/>
      <c r="IZY1" s="536"/>
      <c r="IZZ1" s="536"/>
      <c r="JAA1" s="536"/>
      <c r="JAB1" s="536"/>
      <c r="JAC1" s="536"/>
      <c r="JAD1" s="536"/>
      <c r="JAE1" s="536"/>
      <c r="JAF1" s="536"/>
      <c r="JAG1" s="536"/>
      <c r="JAH1" s="536"/>
      <c r="JAI1" s="536"/>
      <c r="JAJ1" s="536"/>
      <c r="JAK1" s="536"/>
      <c r="JAL1" s="536"/>
      <c r="JAM1" s="536"/>
      <c r="JAN1" s="536"/>
      <c r="JAO1" s="536"/>
      <c r="JAP1" s="536"/>
      <c r="JAQ1" s="536"/>
      <c r="JAR1" s="536"/>
      <c r="JAS1" s="536"/>
      <c r="JAT1" s="536"/>
      <c r="JAU1" s="536"/>
      <c r="JAV1" s="536"/>
      <c r="JAW1" s="536"/>
      <c r="JAX1" s="536"/>
      <c r="JAY1" s="536"/>
      <c r="JAZ1" s="536"/>
      <c r="JBA1" s="536"/>
      <c r="JBB1" s="536"/>
      <c r="JBC1" s="536"/>
      <c r="JBD1" s="536"/>
      <c r="JBE1" s="536"/>
      <c r="JBF1" s="536"/>
      <c r="JBG1" s="536"/>
      <c r="JBH1" s="536"/>
      <c r="JBI1" s="536"/>
      <c r="JBJ1" s="536"/>
      <c r="JBK1" s="536"/>
      <c r="JBL1" s="536"/>
      <c r="JBM1" s="536"/>
      <c r="JBN1" s="536"/>
      <c r="JBO1" s="536"/>
      <c r="JBP1" s="536"/>
      <c r="JBQ1" s="536"/>
      <c r="JBR1" s="536"/>
      <c r="JBS1" s="536"/>
      <c r="JBT1" s="536"/>
      <c r="JBU1" s="536"/>
      <c r="JBV1" s="536"/>
      <c r="JBW1" s="536"/>
      <c r="JBX1" s="536"/>
      <c r="JBY1" s="536"/>
      <c r="JBZ1" s="536"/>
      <c r="JCA1" s="536"/>
      <c r="JCB1" s="536"/>
      <c r="JCC1" s="536"/>
      <c r="JCD1" s="536"/>
      <c r="JCE1" s="536"/>
      <c r="JCF1" s="536"/>
      <c r="JCG1" s="536"/>
      <c r="JCH1" s="536"/>
      <c r="JCI1" s="536"/>
      <c r="JCJ1" s="536"/>
      <c r="JCK1" s="536"/>
      <c r="JCL1" s="536"/>
      <c r="JCM1" s="536"/>
      <c r="JCN1" s="536"/>
      <c r="JCO1" s="536"/>
      <c r="JCP1" s="536"/>
      <c r="JCQ1" s="536"/>
      <c r="JCR1" s="536"/>
      <c r="JCS1" s="536"/>
      <c r="JCT1" s="536"/>
      <c r="JCU1" s="536"/>
      <c r="JCV1" s="536"/>
      <c r="JCW1" s="536"/>
      <c r="JCX1" s="536"/>
      <c r="JCY1" s="536"/>
      <c r="JCZ1" s="536"/>
      <c r="JDA1" s="536"/>
      <c r="JDB1" s="536"/>
      <c r="JDC1" s="536"/>
      <c r="JDD1" s="536"/>
      <c r="JDE1" s="536"/>
      <c r="JDF1" s="536"/>
      <c r="JDG1" s="536"/>
      <c r="JDH1" s="536"/>
      <c r="JDI1" s="536"/>
      <c r="JDJ1" s="536"/>
      <c r="JDK1" s="536"/>
      <c r="JDL1" s="536"/>
      <c r="JDM1" s="536"/>
      <c r="JDN1" s="536"/>
      <c r="JDO1" s="536"/>
      <c r="JDP1" s="536"/>
      <c r="JDQ1" s="536"/>
      <c r="JDR1" s="536"/>
      <c r="JDS1" s="536"/>
      <c r="JDT1" s="536"/>
      <c r="JDU1" s="536"/>
      <c r="JDV1" s="536"/>
      <c r="JDW1" s="536"/>
      <c r="JDX1" s="536"/>
      <c r="JDY1" s="536"/>
      <c r="JDZ1" s="536"/>
      <c r="JEA1" s="536"/>
      <c r="JEB1" s="536"/>
      <c r="JEC1" s="536"/>
      <c r="JED1" s="536"/>
      <c r="JEE1" s="536"/>
      <c r="JEF1" s="536"/>
      <c r="JEG1" s="536"/>
      <c r="JEH1" s="536"/>
      <c r="JEI1" s="536"/>
      <c r="JEJ1" s="536"/>
      <c r="JEK1" s="536"/>
      <c r="JEL1" s="536"/>
      <c r="JEM1" s="536"/>
      <c r="JEN1" s="536"/>
      <c r="JEO1" s="536"/>
      <c r="JEP1" s="536"/>
      <c r="JEQ1" s="536"/>
      <c r="JER1" s="536"/>
      <c r="JES1" s="536"/>
      <c r="JET1" s="536"/>
      <c r="JEU1" s="536"/>
      <c r="JEV1" s="536"/>
      <c r="JEW1" s="536"/>
      <c r="JEX1" s="536"/>
      <c r="JEY1" s="536"/>
      <c r="JEZ1" s="536"/>
      <c r="JFA1" s="536"/>
      <c r="JFB1" s="536"/>
      <c r="JFC1" s="536"/>
      <c r="JFD1" s="536"/>
      <c r="JFE1" s="536"/>
      <c r="JFF1" s="536"/>
      <c r="JFG1" s="536"/>
      <c r="JFH1" s="536"/>
      <c r="JFI1" s="536"/>
      <c r="JFJ1" s="536"/>
      <c r="JFK1" s="536"/>
      <c r="JFL1" s="536"/>
      <c r="JFM1" s="536"/>
      <c r="JFN1" s="536"/>
      <c r="JFO1" s="536"/>
      <c r="JFP1" s="536"/>
      <c r="JFQ1" s="536"/>
      <c r="JFR1" s="536"/>
      <c r="JFS1" s="536"/>
      <c r="JFT1" s="536"/>
      <c r="JFU1" s="536"/>
      <c r="JFV1" s="536"/>
      <c r="JFW1" s="536"/>
      <c r="JFX1" s="536"/>
      <c r="JFY1" s="536"/>
      <c r="JFZ1" s="536"/>
      <c r="JGA1" s="536"/>
      <c r="JGB1" s="536"/>
      <c r="JGC1" s="536"/>
      <c r="JGD1" s="536"/>
      <c r="JGE1" s="536"/>
      <c r="JGF1" s="536"/>
      <c r="JGG1" s="536"/>
      <c r="JGH1" s="536"/>
      <c r="JGI1" s="536"/>
      <c r="JGJ1" s="536"/>
      <c r="JGK1" s="536"/>
      <c r="JGL1" s="536"/>
      <c r="JGM1" s="536"/>
      <c r="JGN1" s="536"/>
      <c r="JGO1" s="536"/>
      <c r="JGP1" s="536"/>
      <c r="JGQ1" s="536"/>
      <c r="JGR1" s="536"/>
      <c r="JGS1" s="536"/>
      <c r="JGT1" s="536"/>
      <c r="JGU1" s="536"/>
      <c r="JGV1" s="536"/>
      <c r="JGW1" s="536"/>
      <c r="JGX1" s="536"/>
      <c r="JGY1" s="536"/>
      <c r="JGZ1" s="536"/>
      <c r="JHA1" s="536"/>
      <c r="JHB1" s="536"/>
      <c r="JHC1" s="536"/>
      <c r="JHD1" s="536"/>
      <c r="JHE1" s="536"/>
      <c r="JHF1" s="536"/>
      <c r="JHG1" s="536"/>
      <c r="JHH1" s="536"/>
      <c r="JHI1" s="536"/>
      <c r="JHJ1" s="536"/>
      <c r="JHK1" s="536"/>
      <c r="JHL1" s="536"/>
      <c r="JHM1" s="536"/>
      <c r="JHN1" s="536"/>
      <c r="JHO1" s="536"/>
      <c r="JHP1" s="536"/>
      <c r="JHQ1" s="536"/>
      <c r="JHR1" s="536"/>
      <c r="JHS1" s="536"/>
      <c r="JHT1" s="536"/>
      <c r="JHU1" s="536"/>
      <c r="JHV1" s="536"/>
      <c r="JHW1" s="536"/>
      <c r="JHX1" s="536"/>
      <c r="JHY1" s="536"/>
      <c r="JHZ1" s="536"/>
      <c r="JIA1" s="536"/>
      <c r="JIB1" s="536"/>
      <c r="JIC1" s="536"/>
      <c r="JID1" s="536"/>
      <c r="JIE1" s="536"/>
      <c r="JIF1" s="536"/>
      <c r="JIG1" s="536"/>
      <c r="JIH1" s="536"/>
      <c r="JII1" s="536"/>
      <c r="JIJ1" s="536"/>
      <c r="JIK1" s="536"/>
      <c r="JIL1" s="536"/>
      <c r="JIM1" s="536"/>
      <c r="JIN1" s="536"/>
      <c r="JIO1" s="536"/>
      <c r="JIP1" s="536"/>
      <c r="JIQ1" s="536"/>
      <c r="JIR1" s="536"/>
      <c r="JIS1" s="536"/>
      <c r="JIT1" s="536"/>
      <c r="JIU1" s="536"/>
      <c r="JIV1" s="536"/>
      <c r="JIW1" s="536"/>
      <c r="JIX1" s="536"/>
      <c r="JIY1" s="536"/>
      <c r="JIZ1" s="536"/>
      <c r="JJA1" s="536"/>
      <c r="JJB1" s="536"/>
      <c r="JJC1" s="536"/>
      <c r="JJD1" s="536"/>
      <c r="JJE1" s="536"/>
      <c r="JJF1" s="536"/>
      <c r="JJG1" s="536"/>
      <c r="JJH1" s="536"/>
      <c r="JJI1" s="536"/>
      <c r="JJJ1" s="536"/>
      <c r="JJK1" s="536"/>
      <c r="JJL1" s="536"/>
      <c r="JJM1" s="536"/>
      <c r="JJN1" s="536"/>
      <c r="JJO1" s="536"/>
      <c r="JJP1" s="536"/>
      <c r="JJQ1" s="536"/>
      <c r="JJR1" s="536"/>
      <c r="JJS1" s="536"/>
      <c r="JJT1" s="536"/>
      <c r="JJU1" s="536"/>
      <c r="JJV1" s="536"/>
      <c r="JJW1" s="536"/>
      <c r="JJX1" s="536"/>
      <c r="JJY1" s="536"/>
      <c r="JJZ1" s="536"/>
      <c r="JKA1" s="536"/>
      <c r="JKB1" s="536"/>
      <c r="JKC1" s="536"/>
      <c r="JKD1" s="536"/>
      <c r="JKE1" s="536"/>
      <c r="JKF1" s="536"/>
      <c r="JKG1" s="536"/>
      <c r="JKH1" s="536"/>
      <c r="JKI1" s="536"/>
      <c r="JKJ1" s="536"/>
      <c r="JKK1" s="536"/>
      <c r="JKL1" s="536"/>
      <c r="JKM1" s="536"/>
      <c r="JKN1" s="536"/>
      <c r="JKO1" s="536"/>
      <c r="JKP1" s="536"/>
      <c r="JKQ1" s="536"/>
      <c r="JKR1" s="536"/>
      <c r="JKS1" s="536"/>
      <c r="JKT1" s="536"/>
      <c r="JKU1" s="536"/>
      <c r="JKV1" s="536"/>
      <c r="JKW1" s="536"/>
      <c r="JKX1" s="536"/>
      <c r="JKY1" s="536"/>
      <c r="JKZ1" s="536"/>
      <c r="JLA1" s="536"/>
      <c r="JLB1" s="536"/>
      <c r="JLC1" s="536"/>
      <c r="JLD1" s="536"/>
      <c r="JLE1" s="536"/>
      <c r="JLF1" s="536"/>
      <c r="JLG1" s="536"/>
      <c r="JLH1" s="536"/>
      <c r="JLI1" s="536"/>
      <c r="JLJ1" s="536"/>
      <c r="JLK1" s="536"/>
      <c r="JLL1" s="536"/>
      <c r="JLM1" s="536"/>
      <c r="JLN1" s="536"/>
      <c r="JLO1" s="536"/>
      <c r="JLP1" s="536"/>
      <c r="JLQ1" s="536"/>
      <c r="JLR1" s="536"/>
      <c r="JLS1" s="536"/>
      <c r="JLT1" s="536"/>
      <c r="JLU1" s="536"/>
      <c r="JLV1" s="536"/>
      <c r="JLW1" s="536"/>
      <c r="JLX1" s="536"/>
      <c r="JLY1" s="536"/>
      <c r="JLZ1" s="536"/>
      <c r="JMA1" s="536"/>
      <c r="JMB1" s="536"/>
      <c r="JMC1" s="536"/>
      <c r="JMD1" s="536"/>
      <c r="JME1" s="536"/>
      <c r="JMF1" s="536"/>
      <c r="JMG1" s="536"/>
      <c r="JMH1" s="536"/>
      <c r="JMI1" s="536"/>
      <c r="JMJ1" s="536"/>
      <c r="JMK1" s="536"/>
      <c r="JML1" s="536"/>
      <c r="JMM1" s="536"/>
      <c r="JMN1" s="536"/>
      <c r="JMO1" s="536"/>
      <c r="JMP1" s="536"/>
      <c r="JMQ1" s="536"/>
      <c r="JMR1" s="536"/>
      <c r="JMS1" s="536"/>
      <c r="JMT1" s="536"/>
      <c r="JMU1" s="536"/>
      <c r="JMV1" s="536"/>
      <c r="JMW1" s="536"/>
      <c r="JMX1" s="536"/>
      <c r="JMY1" s="536"/>
      <c r="JMZ1" s="536"/>
      <c r="JNA1" s="536"/>
      <c r="JNB1" s="536"/>
      <c r="JNC1" s="536"/>
      <c r="JND1" s="536"/>
      <c r="JNE1" s="536"/>
      <c r="JNF1" s="536"/>
      <c r="JNG1" s="536"/>
      <c r="JNH1" s="536"/>
      <c r="JNI1" s="536"/>
      <c r="JNJ1" s="536"/>
      <c r="JNK1" s="536"/>
      <c r="JNL1" s="536"/>
      <c r="JNM1" s="536"/>
      <c r="JNN1" s="536"/>
      <c r="JNO1" s="536"/>
      <c r="JNP1" s="536"/>
      <c r="JNQ1" s="536"/>
      <c r="JNR1" s="536"/>
      <c r="JNS1" s="536"/>
      <c r="JNT1" s="536"/>
      <c r="JNU1" s="536"/>
      <c r="JNV1" s="536"/>
      <c r="JNW1" s="536"/>
      <c r="JNX1" s="536"/>
      <c r="JNY1" s="536"/>
      <c r="JNZ1" s="536"/>
      <c r="JOA1" s="536"/>
      <c r="JOB1" s="536"/>
      <c r="JOC1" s="536"/>
      <c r="JOD1" s="536"/>
      <c r="JOE1" s="536"/>
      <c r="JOF1" s="536"/>
      <c r="JOG1" s="536"/>
      <c r="JOH1" s="536"/>
      <c r="JOI1" s="536"/>
      <c r="JOJ1" s="536"/>
      <c r="JOK1" s="536"/>
      <c r="JOL1" s="536"/>
      <c r="JOM1" s="536"/>
      <c r="JON1" s="536"/>
      <c r="JOO1" s="536"/>
      <c r="JOP1" s="536"/>
      <c r="JOQ1" s="536"/>
      <c r="JOR1" s="536"/>
      <c r="JOS1" s="536"/>
      <c r="JOT1" s="536"/>
      <c r="JOU1" s="536"/>
      <c r="JOV1" s="536"/>
      <c r="JOW1" s="536"/>
      <c r="JOX1" s="536"/>
      <c r="JOY1" s="536"/>
      <c r="JOZ1" s="536"/>
      <c r="JPA1" s="536"/>
      <c r="JPB1" s="536"/>
      <c r="JPC1" s="536"/>
      <c r="JPD1" s="536"/>
      <c r="JPE1" s="536"/>
      <c r="JPF1" s="536"/>
      <c r="JPG1" s="536"/>
      <c r="JPH1" s="536"/>
      <c r="JPI1" s="536"/>
      <c r="JPJ1" s="536"/>
      <c r="JPK1" s="536"/>
      <c r="JPL1" s="536"/>
      <c r="JPM1" s="536"/>
      <c r="JPN1" s="536"/>
      <c r="JPO1" s="536"/>
      <c r="JPP1" s="536"/>
      <c r="JPQ1" s="536"/>
      <c r="JPR1" s="536"/>
      <c r="JPS1" s="536"/>
      <c r="JPT1" s="536"/>
      <c r="JPU1" s="536"/>
      <c r="JPV1" s="536"/>
      <c r="JPW1" s="536"/>
      <c r="JPX1" s="536"/>
      <c r="JPY1" s="536"/>
      <c r="JPZ1" s="536"/>
      <c r="JQA1" s="536"/>
      <c r="JQB1" s="536"/>
      <c r="JQC1" s="536"/>
      <c r="JQD1" s="536"/>
      <c r="JQE1" s="536"/>
      <c r="JQF1" s="536"/>
      <c r="JQG1" s="536"/>
      <c r="JQH1" s="536"/>
      <c r="JQI1" s="536"/>
      <c r="JQJ1" s="536"/>
      <c r="JQK1" s="536"/>
      <c r="JQL1" s="536"/>
      <c r="JQM1" s="536"/>
      <c r="JQN1" s="536"/>
      <c r="JQO1" s="536"/>
      <c r="JQP1" s="536"/>
      <c r="JQQ1" s="536"/>
      <c r="JQR1" s="536"/>
      <c r="JQS1" s="536"/>
      <c r="JQT1" s="536"/>
      <c r="JQU1" s="536"/>
      <c r="JQV1" s="536"/>
      <c r="JQW1" s="536"/>
      <c r="JQX1" s="536"/>
      <c r="JQY1" s="536"/>
      <c r="JQZ1" s="536"/>
      <c r="JRA1" s="536"/>
      <c r="JRB1" s="536"/>
      <c r="JRC1" s="536"/>
      <c r="JRD1" s="536"/>
      <c r="JRE1" s="536"/>
      <c r="JRF1" s="536"/>
      <c r="JRG1" s="536"/>
      <c r="JRH1" s="536"/>
      <c r="JRI1" s="536"/>
      <c r="JRJ1" s="536"/>
      <c r="JRK1" s="536"/>
      <c r="JRL1" s="536"/>
      <c r="JRM1" s="536"/>
      <c r="JRN1" s="536"/>
      <c r="JRO1" s="536"/>
      <c r="JRP1" s="536"/>
      <c r="JRQ1" s="536"/>
      <c r="JRR1" s="536"/>
      <c r="JRS1" s="536"/>
      <c r="JRT1" s="536"/>
      <c r="JRU1" s="536"/>
      <c r="JRV1" s="536"/>
      <c r="JRW1" s="536"/>
      <c r="JRX1" s="536"/>
      <c r="JRY1" s="536"/>
      <c r="JRZ1" s="536"/>
      <c r="JSA1" s="536"/>
      <c r="JSB1" s="536"/>
      <c r="JSC1" s="536"/>
      <c r="JSD1" s="536"/>
      <c r="JSE1" s="536"/>
      <c r="JSF1" s="536"/>
      <c r="JSG1" s="536"/>
      <c r="JSH1" s="536"/>
      <c r="JSI1" s="536"/>
      <c r="JSJ1" s="536"/>
      <c r="JSK1" s="536"/>
      <c r="JSL1" s="536"/>
      <c r="JSM1" s="536"/>
      <c r="JSN1" s="536"/>
      <c r="JSO1" s="536"/>
      <c r="JSP1" s="536"/>
      <c r="JSQ1" s="536"/>
      <c r="JSR1" s="536"/>
      <c r="JSS1" s="536"/>
      <c r="JST1" s="536"/>
      <c r="JSU1" s="536"/>
      <c r="JSV1" s="536"/>
      <c r="JSW1" s="536"/>
      <c r="JSX1" s="536"/>
      <c r="JSY1" s="536"/>
      <c r="JSZ1" s="536"/>
      <c r="JTA1" s="536"/>
      <c r="JTB1" s="536"/>
      <c r="JTC1" s="536"/>
      <c r="JTD1" s="536"/>
      <c r="JTE1" s="536"/>
      <c r="JTF1" s="536"/>
      <c r="JTG1" s="536"/>
      <c r="JTH1" s="536"/>
      <c r="JTI1" s="536"/>
      <c r="JTJ1" s="536"/>
      <c r="JTK1" s="536"/>
      <c r="JTL1" s="536"/>
      <c r="JTM1" s="536"/>
      <c r="JTN1" s="536"/>
      <c r="JTO1" s="536"/>
      <c r="JTP1" s="536"/>
      <c r="JTQ1" s="536"/>
      <c r="JTR1" s="536"/>
      <c r="JTS1" s="536"/>
      <c r="JTT1" s="536"/>
      <c r="JTU1" s="536"/>
      <c r="JTV1" s="536"/>
      <c r="JTW1" s="536"/>
      <c r="JTX1" s="536"/>
      <c r="JTY1" s="536"/>
      <c r="JTZ1" s="536"/>
      <c r="JUA1" s="536"/>
      <c r="JUB1" s="536"/>
      <c r="JUC1" s="536"/>
      <c r="JUD1" s="536"/>
      <c r="JUE1" s="536"/>
      <c r="JUF1" s="536"/>
      <c r="JUG1" s="536"/>
      <c r="JUH1" s="536"/>
      <c r="JUI1" s="536"/>
      <c r="JUJ1" s="536"/>
      <c r="JUK1" s="536"/>
      <c r="JUL1" s="536"/>
      <c r="JUM1" s="536"/>
      <c r="JUN1" s="536"/>
      <c r="JUO1" s="536"/>
      <c r="JUP1" s="536"/>
      <c r="JUQ1" s="536"/>
      <c r="JUR1" s="536"/>
      <c r="JUS1" s="536"/>
      <c r="JUT1" s="536"/>
      <c r="JUU1" s="536"/>
      <c r="JUV1" s="536"/>
      <c r="JUW1" s="536"/>
      <c r="JUX1" s="536"/>
      <c r="JUY1" s="536"/>
      <c r="JUZ1" s="536"/>
      <c r="JVA1" s="536"/>
      <c r="JVB1" s="536"/>
      <c r="JVC1" s="536"/>
      <c r="JVD1" s="536"/>
      <c r="JVE1" s="536"/>
      <c r="JVF1" s="536"/>
      <c r="JVG1" s="536"/>
      <c r="JVH1" s="536"/>
      <c r="JVI1" s="536"/>
      <c r="JVJ1" s="536"/>
      <c r="JVK1" s="536"/>
      <c r="JVL1" s="536"/>
      <c r="JVM1" s="536"/>
      <c r="JVN1" s="536"/>
      <c r="JVO1" s="536"/>
      <c r="JVP1" s="536"/>
      <c r="JVQ1" s="536"/>
      <c r="JVR1" s="536"/>
      <c r="JVS1" s="536"/>
      <c r="JVT1" s="536"/>
      <c r="JVU1" s="536"/>
      <c r="JVV1" s="536"/>
      <c r="JVW1" s="536"/>
      <c r="JVX1" s="536"/>
      <c r="JVY1" s="536"/>
      <c r="JVZ1" s="536"/>
      <c r="JWA1" s="536"/>
      <c r="JWB1" s="536"/>
      <c r="JWC1" s="536"/>
      <c r="JWD1" s="536"/>
      <c r="JWE1" s="536"/>
      <c r="JWF1" s="536"/>
      <c r="JWG1" s="536"/>
      <c r="JWH1" s="536"/>
      <c r="JWI1" s="536"/>
      <c r="JWJ1" s="536"/>
      <c r="JWK1" s="536"/>
      <c r="JWL1" s="536"/>
      <c r="JWM1" s="536"/>
      <c r="JWN1" s="536"/>
      <c r="JWO1" s="536"/>
      <c r="JWP1" s="536"/>
      <c r="JWQ1" s="536"/>
      <c r="JWR1" s="536"/>
      <c r="JWS1" s="536"/>
      <c r="JWT1" s="536"/>
      <c r="JWU1" s="536"/>
      <c r="JWV1" s="536"/>
      <c r="JWW1" s="536"/>
      <c r="JWX1" s="536"/>
      <c r="JWY1" s="536"/>
      <c r="JWZ1" s="536"/>
      <c r="JXA1" s="536"/>
      <c r="JXB1" s="536"/>
      <c r="JXC1" s="536"/>
      <c r="JXD1" s="536"/>
      <c r="JXE1" s="536"/>
      <c r="JXF1" s="536"/>
      <c r="JXG1" s="536"/>
      <c r="JXH1" s="536"/>
      <c r="JXI1" s="536"/>
      <c r="JXJ1" s="536"/>
      <c r="JXK1" s="536"/>
      <c r="JXL1" s="536"/>
      <c r="JXM1" s="536"/>
      <c r="JXN1" s="536"/>
      <c r="JXO1" s="536"/>
      <c r="JXP1" s="536"/>
      <c r="JXQ1" s="536"/>
      <c r="JXR1" s="536"/>
      <c r="JXS1" s="536"/>
      <c r="JXT1" s="536"/>
      <c r="JXU1" s="536"/>
      <c r="JXV1" s="536"/>
      <c r="JXW1" s="536"/>
      <c r="JXX1" s="536"/>
      <c r="JXY1" s="536"/>
      <c r="JXZ1" s="536"/>
      <c r="JYA1" s="536"/>
      <c r="JYB1" s="536"/>
      <c r="JYC1" s="536"/>
      <c r="JYD1" s="536"/>
      <c r="JYE1" s="536"/>
      <c r="JYF1" s="536"/>
      <c r="JYG1" s="536"/>
      <c r="JYH1" s="536"/>
      <c r="JYI1" s="536"/>
      <c r="JYJ1" s="536"/>
      <c r="JYK1" s="536"/>
      <c r="JYL1" s="536"/>
      <c r="JYM1" s="536"/>
      <c r="JYN1" s="536"/>
      <c r="JYO1" s="536"/>
      <c r="JYP1" s="536"/>
      <c r="JYQ1" s="536"/>
      <c r="JYR1" s="536"/>
      <c r="JYS1" s="536"/>
      <c r="JYT1" s="536"/>
      <c r="JYU1" s="536"/>
      <c r="JYV1" s="536"/>
      <c r="JYW1" s="536"/>
      <c r="JYX1" s="536"/>
      <c r="JYY1" s="536"/>
      <c r="JYZ1" s="536"/>
      <c r="JZA1" s="536"/>
      <c r="JZB1" s="536"/>
      <c r="JZC1" s="536"/>
      <c r="JZD1" s="536"/>
      <c r="JZE1" s="536"/>
      <c r="JZF1" s="536"/>
      <c r="JZG1" s="536"/>
      <c r="JZH1" s="536"/>
      <c r="JZI1" s="536"/>
      <c r="JZJ1" s="536"/>
      <c r="JZK1" s="536"/>
      <c r="JZL1" s="536"/>
      <c r="JZM1" s="536"/>
      <c r="JZN1" s="536"/>
      <c r="JZO1" s="536"/>
      <c r="JZP1" s="536"/>
      <c r="JZQ1" s="536"/>
      <c r="JZR1" s="536"/>
      <c r="JZS1" s="536"/>
      <c r="JZT1" s="536"/>
      <c r="JZU1" s="536"/>
      <c r="JZV1" s="536"/>
      <c r="JZW1" s="536"/>
      <c r="JZX1" s="536"/>
      <c r="JZY1" s="536"/>
      <c r="JZZ1" s="536"/>
      <c r="KAA1" s="536"/>
      <c r="KAB1" s="536"/>
      <c r="KAC1" s="536"/>
      <c r="KAD1" s="536"/>
      <c r="KAE1" s="536"/>
      <c r="KAF1" s="536"/>
      <c r="KAG1" s="536"/>
      <c r="KAH1" s="536"/>
      <c r="KAI1" s="536"/>
      <c r="KAJ1" s="536"/>
      <c r="KAK1" s="536"/>
      <c r="KAL1" s="536"/>
      <c r="KAM1" s="536"/>
      <c r="KAN1" s="536"/>
      <c r="KAO1" s="536"/>
      <c r="KAP1" s="536"/>
      <c r="KAQ1" s="536"/>
      <c r="KAR1" s="536"/>
      <c r="KAS1" s="536"/>
      <c r="KAT1" s="536"/>
      <c r="KAU1" s="536"/>
      <c r="KAV1" s="536"/>
      <c r="KAW1" s="536"/>
      <c r="KAX1" s="536"/>
      <c r="KAY1" s="536"/>
      <c r="KAZ1" s="536"/>
      <c r="KBA1" s="536"/>
      <c r="KBB1" s="536"/>
      <c r="KBC1" s="536"/>
      <c r="KBD1" s="536"/>
      <c r="KBE1" s="536"/>
      <c r="KBF1" s="536"/>
      <c r="KBG1" s="536"/>
      <c r="KBH1" s="536"/>
      <c r="KBI1" s="536"/>
      <c r="KBJ1" s="536"/>
      <c r="KBK1" s="536"/>
      <c r="KBL1" s="536"/>
      <c r="KBM1" s="536"/>
      <c r="KBN1" s="536"/>
      <c r="KBO1" s="536"/>
      <c r="KBP1" s="536"/>
      <c r="KBQ1" s="536"/>
      <c r="KBR1" s="536"/>
      <c r="KBS1" s="536"/>
      <c r="KBT1" s="536"/>
      <c r="KBU1" s="536"/>
      <c r="KBV1" s="536"/>
      <c r="KBW1" s="536"/>
      <c r="KBX1" s="536"/>
      <c r="KBY1" s="536"/>
      <c r="KBZ1" s="536"/>
      <c r="KCA1" s="536"/>
      <c r="KCB1" s="536"/>
      <c r="KCC1" s="536"/>
      <c r="KCD1" s="536"/>
      <c r="KCE1" s="536"/>
      <c r="KCF1" s="536"/>
      <c r="KCG1" s="536"/>
      <c r="KCH1" s="536"/>
      <c r="KCI1" s="536"/>
      <c r="KCJ1" s="536"/>
      <c r="KCK1" s="536"/>
      <c r="KCL1" s="536"/>
      <c r="KCM1" s="536"/>
      <c r="KCN1" s="536"/>
      <c r="KCO1" s="536"/>
      <c r="KCP1" s="536"/>
      <c r="KCQ1" s="536"/>
      <c r="KCR1" s="536"/>
      <c r="KCS1" s="536"/>
      <c r="KCT1" s="536"/>
      <c r="KCU1" s="536"/>
      <c r="KCV1" s="536"/>
      <c r="KCW1" s="536"/>
      <c r="KCX1" s="536"/>
      <c r="KCY1" s="536"/>
      <c r="KCZ1" s="536"/>
      <c r="KDA1" s="536"/>
      <c r="KDB1" s="536"/>
      <c r="KDC1" s="536"/>
      <c r="KDD1" s="536"/>
      <c r="KDE1" s="536"/>
      <c r="KDF1" s="536"/>
      <c r="KDG1" s="536"/>
      <c r="KDH1" s="536"/>
      <c r="KDI1" s="536"/>
      <c r="KDJ1" s="536"/>
      <c r="KDK1" s="536"/>
      <c r="KDL1" s="536"/>
      <c r="KDM1" s="536"/>
      <c r="KDN1" s="536"/>
      <c r="KDO1" s="536"/>
      <c r="KDP1" s="536"/>
      <c r="KDQ1" s="536"/>
      <c r="KDR1" s="536"/>
      <c r="KDS1" s="536"/>
      <c r="KDT1" s="536"/>
      <c r="KDU1" s="536"/>
      <c r="KDV1" s="536"/>
      <c r="KDW1" s="536"/>
      <c r="KDX1" s="536"/>
      <c r="KDY1" s="536"/>
      <c r="KDZ1" s="536"/>
      <c r="KEA1" s="536"/>
      <c r="KEB1" s="536"/>
      <c r="KEC1" s="536"/>
      <c r="KED1" s="536"/>
      <c r="KEE1" s="536"/>
      <c r="KEF1" s="536"/>
      <c r="KEG1" s="536"/>
      <c r="KEH1" s="536"/>
      <c r="KEI1" s="536"/>
      <c r="KEJ1" s="536"/>
      <c r="KEK1" s="536"/>
      <c r="KEL1" s="536"/>
      <c r="KEM1" s="536"/>
      <c r="KEN1" s="536"/>
      <c r="KEO1" s="536"/>
      <c r="KEP1" s="536"/>
      <c r="KEQ1" s="536"/>
      <c r="KER1" s="536"/>
      <c r="KES1" s="536"/>
      <c r="KET1" s="536"/>
      <c r="KEU1" s="536"/>
      <c r="KEV1" s="536"/>
      <c r="KEW1" s="536"/>
      <c r="KEX1" s="536"/>
      <c r="KEY1" s="536"/>
      <c r="KEZ1" s="536"/>
      <c r="KFA1" s="536"/>
      <c r="KFB1" s="536"/>
      <c r="KFC1" s="536"/>
      <c r="KFD1" s="536"/>
      <c r="KFE1" s="536"/>
      <c r="KFF1" s="536"/>
      <c r="KFG1" s="536"/>
      <c r="KFH1" s="536"/>
      <c r="KFI1" s="536"/>
      <c r="KFJ1" s="536"/>
      <c r="KFK1" s="536"/>
      <c r="KFL1" s="536"/>
      <c r="KFM1" s="536"/>
      <c r="KFN1" s="536"/>
      <c r="KFO1" s="536"/>
      <c r="KFP1" s="536"/>
      <c r="KFQ1" s="536"/>
      <c r="KFR1" s="536"/>
      <c r="KFS1" s="536"/>
      <c r="KFT1" s="536"/>
      <c r="KFU1" s="536"/>
      <c r="KFV1" s="536"/>
      <c r="KFW1" s="536"/>
      <c r="KFX1" s="536"/>
      <c r="KFY1" s="536"/>
      <c r="KFZ1" s="536"/>
      <c r="KGA1" s="536"/>
      <c r="KGB1" s="536"/>
      <c r="KGC1" s="536"/>
      <c r="KGD1" s="536"/>
      <c r="KGE1" s="536"/>
      <c r="KGF1" s="536"/>
      <c r="KGG1" s="536"/>
      <c r="KGH1" s="536"/>
      <c r="KGI1" s="536"/>
      <c r="KGJ1" s="536"/>
      <c r="KGK1" s="536"/>
      <c r="KGL1" s="536"/>
      <c r="KGM1" s="536"/>
      <c r="KGN1" s="536"/>
      <c r="KGO1" s="536"/>
      <c r="KGP1" s="536"/>
      <c r="KGQ1" s="536"/>
      <c r="KGR1" s="536"/>
      <c r="KGS1" s="536"/>
      <c r="KGT1" s="536"/>
      <c r="KGU1" s="536"/>
      <c r="KGV1" s="536"/>
      <c r="KGW1" s="536"/>
      <c r="KGX1" s="536"/>
      <c r="KGY1" s="536"/>
      <c r="KGZ1" s="536"/>
      <c r="KHA1" s="536"/>
      <c r="KHB1" s="536"/>
      <c r="KHC1" s="536"/>
      <c r="KHD1" s="536"/>
      <c r="KHE1" s="536"/>
      <c r="KHF1" s="536"/>
      <c r="KHG1" s="536"/>
      <c r="KHH1" s="536"/>
      <c r="KHI1" s="536"/>
      <c r="KHJ1" s="536"/>
      <c r="KHK1" s="536"/>
      <c r="KHL1" s="536"/>
      <c r="KHM1" s="536"/>
      <c r="KHN1" s="536"/>
      <c r="KHO1" s="536"/>
      <c r="KHP1" s="536"/>
      <c r="KHQ1" s="536"/>
      <c r="KHR1" s="536"/>
      <c r="KHS1" s="536"/>
      <c r="KHT1" s="536"/>
      <c r="KHU1" s="536"/>
      <c r="KHV1" s="536"/>
      <c r="KHW1" s="536"/>
      <c r="KHX1" s="536"/>
      <c r="KHY1" s="536"/>
      <c r="KHZ1" s="536"/>
      <c r="KIA1" s="536"/>
      <c r="KIB1" s="536"/>
      <c r="KIC1" s="536"/>
      <c r="KID1" s="536"/>
      <c r="KIE1" s="536"/>
      <c r="KIF1" s="536"/>
      <c r="KIG1" s="536"/>
      <c r="KIH1" s="536"/>
      <c r="KII1" s="536"/>
      <c r="KIJ1" s="536"/>
      <c r="KIK1" s="536"/>
      <c r="KIL1" s="536"/>
      <c r="KIM1" s="536"/>
      <c r="KIN1" s="536"/>
      <c r="KIO1" s="536"/>
      <c r="KIP1" s="536"/>
      <c r="KIQ1" s="536"/>
      <c r="KIR1" s="536"/>
      <c r="KIS1" s="536"/>
      <c r="KIT1" s="536"/>
      <c r="KIU1" s="536"/>
      <c r="KIV1" s="536"/>
      <c r="KIW1" s="536"/>
      <c r="KIX1" s="536"/>
      <c r="KIY1" s="536"/>
      <c r="KIZ1" s="536"/>
      <c r="KJA1" s="536"/>
      <c r="KJB1" s="536"/>
      <c r="KJC1" s="536"/>
      <c r="KJD1" s="536"/>
      <c r="KJE1" s="536"/>
      <c r="KJF1" s="536"/>
      <c r="KJG1" s="536"/>
      <c r="KJH1" s="536"/>
      <c r="KJI1" s="536"/>
      <c r="KJJ1" s="536"/>
      <c r="KJK1" s="536"/>
      <c r="KJL1" s="536"/>
      <c r="KJM1" s="536"/>
      <c r="KJN1" s="536"/>
      <c r="KJO1" s="536"/>
      <c r="KJP1" s="536"/>
      <c r="KJQ1" s="536"/>
      <c r="KJR1" s="536"/>
      <c r="KJS1" s="536"/>
      <c r="KJT1" s="536"/>
      <c r="KJU1" s="536"/>
      <c r="KJV1" s="536"/>
      <c r="KJW1" s="536"/>
      <c r="KJX1" s="536"/>
      <c r="KJY1" s="536"/>
      <c r="KJZ1" s="536"/>
      <c r="KKA1" s="536"/>
      <c r="KKB1" s="536"/>
      <c r="KKC1" s="536"/>
      <c r="KKD1" s="536"/>
      <c r="KKE1" s="536"/>
      <c r="KKF1" s="536"/>
      <c r="KKG1" s="536"/>
      <c r="KKH1" s="536"/>
      <c r="KKI1" s="536"/>
      <c r="KKJ1" s="536"/>
      <c r="KKK1" s="536"/>
      <c r="KKL1" s="536"/>
      <c r="KKM1" s="536"/>
      <c r="KKN1" s="536"/>
      <c r="KKO1" s="536"/>
      <c r="KKP1" s="536"/>
      <c r="KKQ1" s="536"/>
      <c r="KKR1" s="536"/>
      <c r="KKS1" s="536"/>
      <c r="KKT1" s="536"/>
      <c r="KKU1" s="536"/>
      <c r="KKV1" s="536"/>
      <c r="KKW1" s="536"/>
      <c r="KKX1" s="536"/>
      <c r="KKY1" s="536"/>
      <c r="KKZ1" s="536"/>
      <c r="KLA1" s="536"/>
      <c r="KLB1" s="536"/>
      <c r="KLC1" s="536"/>
      <c r="KLD1" s="536"/>
      <c r="KLE1" s="536"/>
      <c r="KLF1" s="536"/>
      <c r="KLG1" s="536"/>
      <c r="KLH1" s="536"/>
      <c r="KLI1" s="536"/>
      <c r="KLJ1" s="536"/>
      <c r="KLK1" s="536"/>
      <c r="KLL1" s="536"/>
      <c r="KLM1" s="536"/>
      <c r="KLN1" s="536"/>
      <c r="KLO1" s="536"/>
      <c r="KLP1" s="536"/>
      <c r="KLQ1" s="536"/>
      <c r="KLR1" s="536"/>
      <c r="KLS1" s="536"/>
      <c r="KLT1" s="536"/>
      <c r="KLU1" s="536"/>
      <c r="KLV1" s="536"/>
      <c r="KLW1" s="536"/>
      <c r="KLX1" s="536"/>
      <c r="KLY1" s="536"/>
      <c r="KLZ1" s="536"/>
      <c r="KMA1" s="536"/>
      <c r="KMB1" s="536"/>
      <c r="KMC1" s="536"/>
      <c r="KMD1" s="536"/>
      <c r="KME1" s="536"/>
      <c r="KMF1" s="536"/>
      <c r="KMG1" s="536"/>
      <c r="KMH1" s="536"/>
      <c r="KMI1" s="536"/>
      <c r="KMJ1" s="536"/>
      <c r="KMK1" s="536"/>
      <c r="KML1" s="536"/>
      <c r="KMM1" s="536"/>
      <c r="KMN1" s="536"/>
      <c r="KMO1" s="536"/>
      <c r="KMP1" s="536"/>
      <c r="KMQ1" s="536"/>
      <c r="KMR1" s="536"/>
      <c r="KMS1" s="536"/>
      <c r="KMT1" s="536"/>
      <c r="KMU1" s="536"/>
      <c r="KMV1" s="536"/>
      <c r="KMW1" s="536"/>
      <c r="KMX1" s="536"/>
      <c r="KMY1" s="536"/>
      <c r="KMZ1" s="536"/>
      <c r="KNA1" s="536"/>
      <c r="KNB1" s="536"/>
      <c r="KNC1" s="536"/>
      <c r="KND1" s="536"/>
      <c r="KNE1" s="536"/>
      <c r="KNF1" s="536"/>
      <c r="KNG1" s="536"/>
      <c r="KNH1" s="536"/>
      <c r="KNI1" s="536"/>
      <c r="KNJ1" s="536"/>
      <c r="KNK1" s="536"/>
      <c r="KNL1" s="536"/>
      <c r="KNM1" s="536"/>
      <c r="KNN1" s="536"/>
      <c r="KNO1" s="536"/>
      <c r="KNP1" s="536"/>
      <c r="KNQ1" s="536"/>
      <c r="KNR1" s="536"/>
      <c r="KNS1" s="536"/>
      <c r="KNT1" s="536"/>
      <c r="KNU1" s="536"/>
      <c r="KNV1" s="536"/>
      <c r="KNW1" s="536"/>
      <c r="KNX1" s="536"/>
      <c r="KNY1" s="536"/>
      <c r="KNZ1" s="536"/>
      <c r="KOA1" s="536"/>
      <c r="KOB1" s="536"/>
      <c r="KOC1" s="536"/>
      <c r="KOD1" s="536"/>
      <c r="KOE1" s="536"/>
      <c r="KOF1" s="536"/>
      <c r="KOG1" s="536"/>
      <c r="KOH1" s="536"/>
      <c r="KOI1" s="536"/>
      <c r="KOJ1" s="536"/>
      <c r="KOK1" s="536"/>
      <c r="KOL1" s="536"/>
      <c r="KOM1" s="536"/>
      <c r="KON1" s="536"/>
      <c r="KOO1" s="536"/>
      <c r="KOP1" s="536"/>
      <c r="KOQ1" s="536"/>
      <c r="KOR1" s="536"/>
      <c r="KOS1" s="536"/>
      <c r="KOT1" s="536"/>
      <c r="KOU1" s="536"/>
      <c r="KOV1" s="536"/>
      <c r="KOW1" s="536"/>
      <c r="KOX1" s="536"/>
      <c r="KOY1" s="536"/>
      <c r="KOZ1" s="536"/>
      <c r="KPA1" s="536"/>
      <c r="KPB1" s="536"/>
      <c r="KPC1" s="536"/>
      <c r="KPD1" s="536"/>
      <c r="KPE1" s="536"/>
      <c r="KPF1" s="536"/>
      <c r="KPG1" s="536"/>
      <c r="KPH1" s="536"/>
      <c r="KPI1" s="536"/>
      <c r="KPJ1" s="536"/>
      <c r="KPK1" s="536"/>
      <c r="KPL1" s="536"/>
      <c r="KPM1" s="536"/>
      <c r="KPN1" s="536"/>
      <c r="KPO1" s="536"/>
      <c r="KPP1" s="536"/>
      <c r="KPQ1" s="536"/>
      <c r="KPR1" s="536"/>
      <c r="KPS1" s="536"/>
      <c r="KPT1" s="536"/>
      <c r="KPU1" s="536"/>
      <c r="KPV1" s="536"/>
      <c r="KPW1" s="536"/>
      <c r="KPX1" s="536"/>
      <c r="KPY1" s="536"/>
      <c r="KPZ1" s="536"/>
      <c r="KQA1" s="536"/>
      <c r="KQB1" s="536"/>
      <c r="KQC1" s="536"/>
      <c r="KQD1" s="536"/>
      <c r="KQE1" s="536"/>
      <c r="KQF1" s="536"/>
      <c r="KQG1" s="536"/>
      <c r="KQH1" s="536"/>
      <c r="KQI1" s="536"/>
      <c r="KQJ1" s="536"/>
      <c r="KQK1" s="536"/>
      <c r="KQL1" s="536"/>
      <c r="KQM1" s="536"/>
      <c r="KQN1" s="536"/>
      <c r="KQO1" s="536"/>
      <c r="KQP1" s="536"/>
      <c r="KQQ1" s="536"/>
      <c r="KQR1" s="536"/>
      <c r="KQS1" s="536"/>
      <c r="KQT1" s="536"/>
      <c r="KQU1" s="536"/>
      <c r="KQV1" s="536"/>
      <c r="KQW1" s="536"/>
      <c r="KQX1" s="536"/>
      <c r="KQY1" s="536"/>
      <c r="KQZ1" s="536"/>
      <c r="KRA1" s="536"/>
      <c r="KRB1" s="536"/>
      <c r="KRC1" s="536"/>
      <c r="KRD1" s="536"/>
      <c r="KRE1" s="536"/>
      <c r="KRF1" s="536"/>
      <c r="KRG1" s="536"/>
      <c r="KRH1" s="536"/>
      <c r="KRI1" s="536"/>
      <c r="KRJ1" s="536"/>
      <c r="KRK1" s="536"/>
      <c r="KRL1" s="536"/>
      <c r="KRM1" s="536"/>
      <c r="KRN1" s="536"/>
      <c r="KRO1" s="536"/>
      <c r="KRP1" s="536"/>
      <c r="KRQ1" s="536"/>
      <c r="KRR1" s="536"/>
      <c r="KRS1" s="536"/>
      <c r="KRT1" s="536"/>
      <c r="KRU1" s="536"/>
      <c r="KRV1" s="536"/>
      <c r="KRW1" s="536"/>
      <c r="KRX1" s="536"/>
      <c r="KRY1" s="536"/>
      <c r="KRZ1" s="536"/>
      <c r="KSA1" s="536"/>
      <c r="KSB1" s="536"/>
      <c r="KSC1" s="536"/>
      <c r="KSD1" s="536"/>
      <c r="KSE1" s="536"/>
      <c r="KSF1" s="536"/>
      <c r="KSG1" s="536"/>
      <c r="KSH1" s="536"/>
      <c r="KSI1" s="536"/>
      <c r="KSJ1" s="536"/>
      <c r="KSK1" s="536"/>
      <c r="KSL1" s="536"/>
      <c r="KSM1" s="536"/>
      <c r="KSN1" s="536"/>
      <c r="KSO1" s="536"/>
      <c r="KSP1" s="536"/>
      <c r="KSQ1" s="536"/>
      <c r="KSR1" s="536"/>
      <c r="KSS1" s="536"/>
      <c r="KST1" s="536"/>
      <c r="KSU1" s="536"/>
      <c r="KSV1" s="536"/>
      <c r="KSW1" s="536"/>
      <c r="KSX1" s="536"/>
      <c r="KSY1" s="536"/>
      <c r="KSZ1" s="536"/>
      <c r="KTA1" s="536"/>
      <c r="KTB1" s="536"/>
      <c r="KTC1" s="536"/>
      <c r="KTD1" s="536"/>
      <c r="KTE1" s="536"/>
      <c r="KTF1" s="536"/>
      <c r="KTG1" s="536"/>
      <c r="KTH1" s="536"/>
      <c r="KTI1" s="536"/>
      <c r="KTJ1" s="536"/>
      <c r="KTK1" s="536"/>
      <c r="KTL1" s="536"/>
      <c r="KTM1" s="536"/>
      <c r="KTN1" s="536"/>
      <c r="KTO1" s="536"/>
      <c r="KTP1" s="536"/>
      <c r="KTQ1" s="536"/>
      <c r="KTR1" s="536"/>
      <c r="KTS1" s="536"/>
      <c r="KTT1" s="536"/>
      <c r="KTU1" s="536"/>
      <c r="KTV1" s="536"/>
      <c r="KTW1" s="536"/>
      <c r="KTX1" s="536"/>
      <c r="KTY1" s="536"/>
      <c r="KTZ1" s="536"/>
      <c r="KUA1" s="536"/>
      <c r="KUB1" s="536"/>
      <c r="KUC1" s="536"/>
      <c r="KUD1" s="536"/>
      <c r="KUE1" s="536"/>
      <c r="KUF1" s="536"/>
      <c r="KUG1" s="536"/>
      <c r="KUH1" s="536"/>
      <c r="KUI1" s="536"/>
      <c r="KUJ1" s="536"/>
      <c r="KUK1" s="536"/>
      <c r="KUL1" s="536"/>
      <c r="KUM1" s="536"/>
      <c r="KUN1" s="536"/>
      <c r="KUO1" s="536"/>
      <c r="KUP1" s="536"/>
      <c r="KUQ1" s="536"/>
      <c r="KUR1" s="536"/>
      <c r="KUS1" s="536"/>
      <c r="KUT1" s="536"/>
      <c r="KUU1" s="536"/>
      <c r="KUV1" s="536"/>
      <c r="KUW1" s="536"/>
      <c r="KUX1" s="536"/>
      <c r="KUY1" s="536"/>
      <c r="KUZ1" s="536"/>
      <c r="KVA1" s="536"/>
      <c r="KVB1" s="536"/>
      <c r="KVC1" s="536"/>
      <c r="KVD1" s="536"/>
      <c r="KVE1" s="536"/>
      <c r="KVF1" s="536"/>
      <c r="KVG1" s="536"/>
      <c r="KVH1" s="536"/>
      <c r="KVI1" s="536"/>
      <c r="KVJ1" s="536"/>
      <c r="KVK1" s="536"/>
      <c r="KVL1" s="536"/>
      <c r="KVM1" s="536"/>
      <c r="KVN1" s="536"/>
      <c r="KVO1" s="536"/>
      <c r="KVP1" s="536"/>
      <c r="KVQ1" s="536"/>
      <c r="KVR1" s="536"/>
      <c r="KVS1" s="536"/>
      <c r="KVT1" s="536"/>
      <c r="KVU1" s="536"/>
      <c r="KVV1" s="536"/>
      <c r="KVW1" s="536"/>
      <c r="KVX1" s="536"/>
      <c r="KVY1" s="536"/>
      <c r="KVZ1" s="536"/>
      <c r="KWA1" s="536"/>
      <c r="KWB1" s="536"/>
      <c r="KWC1" s="536"/>
      <c r="KWD1" s="536"/>
      <c r="KWE1" s="536"/>
      <c r="KWF1" s="536"/>
      <c r="KWG1" s="536"/>
      <c r="KWH1" s="536"/>
      <c r="KWI1" s="536"/>
      <c r="KWJ1" s="536"/>
      <c r="KWK1" s="536"/>
      <c r="KWL1" s="536"/>
      <c r="KWM1" s="536"/>
      <c r="KWN1" s="536"/>
      <c r="KWO1" s="536"/>
      <c r="KWP1" s="536"/>
      <c r="KWQ1" s="536"/>
      <c r="KWR1" s="536"/>
      <c r="KWS1" s="536"/>
      <c r="KWT1" s="536"/>
      <c r="KWU1" s="536"/>
      <c r="KWV1" s="536"/>
      <c r="KWW1" s="536"/>
      <c r="KWX1" s="536"/>
      <c r="KWY1" s="536"/>
      <c r="KWZ1" s="536"/>
      <c r="KXA1" s="536"/>
      <c r="KXB1" s="536"/>
      <c r="KXC1" s="536"/>
      <c r="KXD1" s="536"/>
      <c r="KXE1" s="536"/>
      <c r="KXF1" s="536"/>
      <c r="KXG1" s="536"/>
      <c r="KXH1" s="536"/>
      <c r="KXI1" s="536"/>
      <c r="KXJ1" s="536"/>
      <c r="KXK1" s="536"/>
      <c r="KXL1" s="536"/>
      <c r="KXM1" s="536"/>
      <c r="KXN1" s="536"/>
      <c r="KXO1" s="536"/>
      <c r="KXP1" s="536"/>
      <c r="KXQ1" s="536"/>
      <c r="KXR1" s="536"/>
      <c r="KXS1" s="536"/>
      <c r="KXT1" s="536"/>
      <c r="KXU1" s="536"/>
      <c r="KXV1" s="536"/>
      <c r="KXW1" s="536"/>
      <c r="KXX1" s="536"/>
      <c r="KXY1" s="536"/>
      <c r="KXZ1" s="536"/>
      <c r="KYA1" s="536"/>
      <c r="KYB1" s="536"/>
      <c r="KYC1" s="536"/>
      <c r="KYD1" s="536"/>
      <c r="KYE1" s="536"/>
      <c r="KYF1" s="536"/>
      <c r="KYG1" s="536"/>
      <c r="KYH1" s="536"/>
      <c r="KYI1" s="536"/>
      <c r="KYJ1" s="536"/>
      <c r="KYK1" s="536"/>
      <c r="KYL1" s="536"/>
      <c r="KYM1" s="536"/>
      <c r="KYN1" s="536"/>
      <c r="KYO1" s="536"/>
      <c r="KYP1" s="536"/>
      <c r="KYQ1" s="536"/>
      <c r="KYR1" s="536"/>
      <c r="KYS1" s="536"/>
      <c r="KYT1" s="536"/>
      <c r="KYU1" s="536"/>
      <c r="KYV1" s="536"/>
      <c r="KYW1" s="536"/>
      <c r="KYX1" s="536"/>
      <c r="KYY1" s="536"/>
      <c r="KYZ1" s="536"/>
      <c r="KZA1" s="536"/>
      <c r="KZB1" s="536"/>
      <c r="KZC1" s="536"/>
      <c r="KZD1" s="536"/>
      <c r="KZE1" s="536"/>
      <c r="KZF1" s="536"/>
      <c r="KZG1" s="536"/>
      <c r="KZH1" s="536"/>
      <c r="KZI1" s="536"/>
      <c r="KZJ1" s="536"/>
      <c r="KZK1" s="536"/>
      <c r="KZL1" s="536"/>
      <c r="KZM1" s="536"/>
      <c r="KZN1" s="536"/>
      <c r="KZO1" s="536"/>
      <c r="KZP1" s="536"/>
      <c r="KZQ1" s="536"/>
      <c r="KZR1" s="536"/>
      <c r="KZS1" s="536"/>
      <c r="KZT1" s="536"/>
      <c r="KZU1" s="536"/>
      <c r="KZV1" s="536"/>
      <c r="KZW1" s="536"/>
      <c r="KZX1" s="536"/>
      <c r="KZY1" s="536"/>
      <c r="KZZ1" s="536"/>
      <c r="LAA1" s="536"/>
      <c r="LAB1" s="536"/>
      <c r="LAC1" s="536"/>
      <c r="LAD1" s="536"/>
      <c r="LAE1" s="536"/>
      <c r="LAF1" s="536"/>
      <c r="LAG1" s="536"/>
      <c r="LAH1" s="536"/>
      <c r="LAI1" s="536"/>
      <c r="LAJ1" s="536"/>
      <c r="LAK1" s="536"/>
      <c r="LAL1" s="536"/>
      <c r="LAM1" s="536"/>
      <c r="LAN1" s="536"/>
      <c r="LAO1" s="536"/>
      <c r="LAP1" s="536"/>
      <c r="LAQ1" s="536"/>
      <c r="LAR1" s="536"/>
      <c r="LAS1" s="536"/>
      <c r="LAT1" s="536"/>
      <c r="LAU1" s="536"/>
      <c r="LAV1" s="536"/>
      <c r="LAW1" s="536"/>
      <c r="LAX1" s="536"/>
      <c r="LAY1" s="536"/>
      <c r="LAZ1" s="536"/>
      <c r="LBA1" s="536"/>
      <c r="LBB1" s="536"/>
      <c r="LBC1" s="536"/>
      <c r="LBD1" s="536"/>
      <c r="LBE1" s="536"/>
      <c r="LBF1" s="536"/>
      <c r="LBG1" s="536"/>
      <c r="LBH1" s="536"/>
      <c r="LBI1" s="536"/>
      <c r="LBJ1" s="536"/>
      <c r="LBK1" s="536"/>
      <c r="LBL1" s="536"/>
      <c r="LBM1" s="536"/>
      <c r="LBN1" s="536"/>
      <c r="LBO1" s="536"/>
      <c r="LBP1" s="536"/>
      <c r="LBQ1" s="536"/>
      <c r="LBR1" s="536"/>
      <c r="LBS1" s="536"/>
      <c r="LBT1" s="536"/>
      <c r="LBU1" s="536"/>
      <c r="LBV1" s="536"/>
      <c r="LBW1" s="536"/>
      <c r="LBX1" s="536"/>
      <c r="LBY1" s="536"/>
      <c r="LBZ1" s="536"/>
      <c r="LCA1" s="536"/>
      <c r="LCB1" s="536"/>
      <c r="LCC1" s="536"/>
      <c r="LCD1" s="536"/>
      <c r="LCE1" s="536"/>
      <c r="LCF1" s="536"/>
      <c r="LCG1" s="536"/>
      <c r="LCH1" s="536"/>
      <c r="LCI1" s="536"/>
      <c r="LCJ1" s="536"/>
      <c r="LCK1" s="536"/>
      <c r="LCL1" s="536"/>
      <c r="LCM1" s="536"/>
      <c r="LCN1" s="536"/>
      <c r="LCO1" s="536"/>
      <c r="LCP1" s="536"/>
      <c r="LCQ1" s="536"/>
      <c r="LCR1" s="536"/>
      <c r="LCS1" s="536"/>
      <c r="LCT1" s="536"/>
      <c r="LCU1" s="536"/>
      <c r="LCV1" s="536"/>
      <c r="LCW1" s="536"/>
      <c r="LCX1" s="536"/>
      <c r="LCY1" s="536"/>
      <c r="LCZ1" s="536"/>
      <c r="LDA1" s="536"/>
      <c r="LDB1" s="536"/>
      <c r="LDC1" s="536"/>
      <c r="LDD1" s="536"/>
      <c r="LDE1" s="536"/>
      <c r="LDF1" s="536"/>
      <c r="LDG1" s="536"/>
      <c r="LDH1" s="536"/>
      <c r="LDI1" s="536"/>
      <c r="LDJ1" s="536"/>
      <c r="LDK1" s="536"/>
      <c r="LDL1" s="536"/>
      <c r="LDM1" s="536"/>
      <c r="LDN1" s="536"/>
      <c r="LDO1" s="536"/>
      <c r="LDP1" s="536"/>
      <c r="LDQ1" s="536"/>
      <c r="LDR1" s="536"/>
      <c r="LDS1" s="536"/>
      <c r="LDT1" s="536"/>
      <c r="LDU1" s="536"/>
      <c r="LDV1" s="536"/>
      <c r="LDW1" s="536"/>
      <c r="LDX1" s="536"/>
      <c r="LDY1" s="536"/>
      <c r="LDZ1" s="536"/>
      <c r="LEA1" s="536"/>
      <c r="LEB1" s="536"/>
      <c r="LEC1" s="536"/>
      <c r="LED1" s="536"/>
      <c r="LEE1" s="536"/>
      <c r="LEF1" s="536"/>
      <c r="LEG1" s="536"/>
      <c r="LEH1" s="536"/>
      <c r="LEI1" s="536"/>
      <c r="LEJ1" s="536"/>
      <c r="LEK1" s="536"/>
      <c r="LEL1" s="536"/>
      <c r="LEM1" s="536"/>
      <c r="LEN1" s="536"/>
      <c r="LEO1" s="536"/>
      <c r="LEP1" s="536"/>
      <c r="LEQ1" s="536"/>
      <c r="LER1" s="536"/>
      <c r="LES1" s="536"/>
      <c r="LET1" s="536"/>
      <c r="LEU1" s="536"/>
      <c r="LEV1" s="536"/>
      <c r="LEW1" s="536"/>
      <c r="LEX1" s="536"/>
      <c r="LEY1" s="536"/>
      <c r="LEZ1" s="536"/>
      <c r="LFA1" s="536"/>
      <c r="LFB1" s="536"/>
      <c r="LFC1" s="536"/>
      <c r="LFD1" s="536"/>
      <c r="LFE1" s="536"/>
      <c r="LFF1" s="536"/>
      <c r="LFG1" s="536"/>
      <c r="LFH1" s="536"/>
      <c r="LFI1" s="536"/>
      <c r="LFJ1" s="536"/>
      <c r="LFK1" s="536"/>
      <c r="LFL1" s="536"/>
      <c r="LFM1" s="536"/>
      <c r="LFN1" s="536"/>
      <c r="LFO1" s="536"/>
      <c r="LFP1" s="536"/>
      <c r="LFQ1" s="536"/>
      <c r="LFR1" s="536"/>
      <c r="LFS1" s="536"/>
      <c r="LFT1" s="536"/>
      <c r="LFU1" s="536"/>
      <c r="LFV1" s="536"/>
      <c r="LFW1" s="536"/>
      <c r="LFX1" s="536"/>
      <c r="LFY1" s="536"/>
      <c r="LFZ1" s="536"/>
      <c r="LGA1" s="536"/>
      <c r="LGB1" s="536"/>
      <c r="LGC1" s="536"/>
      <c r="LGD1" s="536"/>
      <c r="LGE1" s="536"/>
      <c r="LGF1" s="536"/>
      <c r="LGG1" s="536"/>
      <c r="LGH1" s="536"/>
      <c r="LGI1" s="536"/>
      <c r="LGJ1" s="536"/>
      <c r="LGK1" s="536"/>
      <c r="LGL1" s="536"/>
      <c r="LGM1" s="536"/>
      <c r="LGN1" s="536"/>
      <c r="LGO1" s="536"/>
      <c r="LGP1" s="536"/>
      <c r="LGQ1" s="536"/>
      <c r="LGR1" s="536"/>
      <c r="LGS1" s="536"/>
      <c r="LGT1" s="536"/>
      <c r="LGU1" s="536"/>
      <c r="LGV1" s="536"/>
      <c r="LGW1" s="536"/>
      <c r="LGX1" s="536"/>
      <c r="LGY1" s="536"/>
      <c r="LGZ1" s="536"/>
      <c r="LHA1" s="536"/>
      <c r="LHB1" s="536"/>
      <c r="LHC1" s="536"/>
      <c r="LHD1" s="536"/>
      <c r="LHE1" s="536"/>
      <c r="LHF1" s="536"/>
      <c r="LHG1" s="536"/>
      <c r="LHH1" s="536"/>
      <c r="LHI1" s="536"/>
      <c r="LHJ1" s="536"/>
      <c r="LHK1" s="536"/>
      <c r="LHL1" s="536"/>
      <c r="LHM1" s="536"/>
      <c r="LHN1" s="536"/>
      <c r="LHO1" s="536"/>
      <c r="LHP1" s="536"/>
      <c r="LHQ1" s="536"/>
      <c r="LHR1" s="536"/>
      <c r="LHS1" s="536"/>
      <c r="LHT1" s="536"/>
      <c r="LHU1" s="536"/>
      <c r="LHV1" s="536"/>
      <c r="LHW1" s="536"/>
      <c r="LHX1" s="536"/>
      <c r="LHY1" s="536"/>
      <c r="LHZ1" s="536"/>
      <c r="LIA1" s="536"/>
      <c r="LIB1" s="536"/>
      <c r="LIC1" s="536"/>
      <c r="LID1" s="536"/>
      <c r="LIE1" s="536"/>
      <c r="LIF1" s="536"/>
      <c r="LIG1" s="536"/>
      <c r="LIH1" s="536"/>
      <c r="LII1" s="536"/>
      <c r="LIJ1" s="536"/>
      <c r="LIK1" s="536"/>
      <c r="LIL1" s="536"/>
      <c r="LIM1" s="536"/>
      <c r="LIN1" s="536"/>
      <c r="LIO1" s="536"/>
      <c r="LIP1" s="536"/>
      <c r="LIQ1" s="536"/>
      <c r="LIR1" s="536"/>
      <c r="LIS1" s="536"/>
      <c r="LIT1" s="536"/>
      <c r="LIU1" s="536"/>
      <c r="LIV1" s="536"/>
      <c r="LIW1" s="536"/>
      <c r="LIX1" s="536"/>
      <c r="LIY1" s="536"/>
      <c r="LIZ1" s="536"/>
      <c r="LJA1" s="536"/>
      <c r="LJB1" s="536"/>
      <c r="LJC1" s="536"/>
      <c r="LJD1" s="536"/>
      <c r="LJE1" s="536"/>
      <c r="LJF1" s="536"/>
      <c r="LJG1" s="536"/>
      <c r="LJH1" s="536"/>
      <c r="LJI1" s="536"/>
      <c r="LJJ1" s="536"/>
      <c r="LJK1" s="536"/>
      <c r="LJL1" s="536"/>
      <c r="LJM1" s="536"/>
      <c r="LJN1" s="536"/>
      <c r="LJO1" s="536"/>
      <c r="LJP1" s="536"/>
      <c r="LJQ1" s="536"/>
      <c r="LJR1" s="536"/>
      <c r="LJS1" s="536"/>
      <c r="LJT1" s="536"/>
      <c r="LJU1" s="536"/>
      <c r="LJV1" s="536"/>
      <c r="LJW1" s="536"/>
      <c r="LJX1" s="536"/>
      <c r="LJY1" s="536"/>
      <c r="LJZ1" s="536"/>
      <c r="LKA1" s="536"/>
      <c r="LKB1" s="536"/>
      <c r="LKC1" s="536"/>
      <c r="LKD1" s="536"/>
      <c r="LKE1" s="536"/>
      <c r="LKF1" s="536"/>
      <c r="LKG1" s="536"/>
      <c r="LKH1" s="536"/>
      <c r="LKI1" s="536"/>
      <c r="LKJ1" s="536"/>
      <c r="LKK1" s="536"/>
      <c r="LKL1" s="536"/>
      <c r="LKM1" s="536"/>
      <c r="LKN1" s="536"/>
      <c r="LKO1" s="536"/>
      <c r="LKP1" s="536"/>
      <c r="LKQ1" s="536"/>
      <c r="LKR1" s="536"/>
      <c r="LKS1" s="536"/>
      <c r="LKT1" s="536"/>
      <c r="LKU1" s="536"/>
      <c r="LKV1" s="536"/>
      <c r="LKW1" s="536"/>
      <c r="LKX1" s="536"/>
      <c r="LKY1" s="536"/>
      <c r="LKZ1" s="536"/>
      <c r="LLA1" s="536"/>
      <c r="LLB1" s="536"/>
      <c r="LLC1" s="536"/>
      <c r="LLD1" s="536"/>
      <c r="LLE1" s="536"/>
      <c r="LLF1" s="536"/>
      <c r="LLG1" s="536"/>
      <c r="LLH1" s="536"/>
      <c r="LLI1" s="536"/>
      <c r="LLJ1" s="536"/>
      <c r="LLK1" s="536"/>
      <c r="LLL1" s="536"/>
      <c r="LLM1" s="536"/>
      <c r="LLN1" s="536"/>
      <c r="LLO1" s="536"/>
      <c r="LLP1" s="536"/>
      <c r="LLQ1" s="536"/>
      <c r="LLR1" s="536"/>
      <c r="LLS1" s="536"/>
      <c r="LLT1" s="536"/>
      <c r="LLU1" s="536"/>
      <c r="LLV1" s="536"/>
      <c r="LLW1" s="536"/>
      <c r="LLX1" s="536"/>
      <c r="LLY1" s="536"/>
      <c r="LLZ1" s="536"/>
      <c r="LMA1" s="536"/>
      <c r="LMB1" s="536"/>
      <c r="LMC1" s="536"/>
      <c r="LMD1" s="536"/>
      <c r="LME1" s="536"/>
      <c r="LMF1" s="536"/>
      <c r="LMG1" s="536"/>
      <c r="LMH1" s="536"/>
      <c r="LMI1" s="536"/>
      <c r="LMJ1" s="536"/>
      <c r="LMK1" s="536"/>
      <c r="LML1" s="536"/>
      <c r="LMM1" s="536"/>
      <c r="LMN1" s="536"/>
      <c r="LMO1" s="536"/>
      <c r="LMP1" s="536"/>
      <c r="LMQ1" s="536"/>
      <c r="LMR1" s="536"/>
      <c r="LMS1" s="536"/>
      <c r="LMT1" s="536"/>
      <c r="LMU1" s="536"/>
      <c r="LMV1" s="536"/>
      <c r="LMW1" s="536"/>
      <c r="LMX1" s="536"/>
      <c r="LMY1" s="536"/>
      <c r="LMZ1" s="536"/>
      <c r="LNA1" s="536"/>
      <c r="LNB1" s="536"/>
      <c r="LNC1" s="536"/>
      <c r="LND1" s="536"/>
      <c r="LNE1" s="536"/>
      <c r="LNF1" s="536"/>
      <c r="LNG1" s="536"/>
      <c r="LNH1" s="536"/>
      <c r="LNI1" s="536"/>
      <c r="LNJ1" s="536"/>
      <c r="LNK1" s="536"/>
      <c r="LNL1" s="536"/>
      <c r="LNM1" s="536"/>
      <c r="LNN1" s="536"/>
      <c r="LNO1" s="536"/>
      <c r="LNP1" s="536"/>
      <c r="LNQ1" s="536"/>
      <c r="LNR1" s="536"/>
      <c r="LNS1" s="536"/>
      <c r="LNT1" s="536"/>
      <c r="LNU1" s="536"/>
      <c r="LNV1" s="536"/>
      <c r="LNW1" s="536"/>
      <c r="LNX1" s="536"/>
      <c r="LNY1" s="536"/>
      <c r="LNZ1" s="536"/>
      <c r="LOA1" s="536"/>
      <c r="LOB1" s="536"/>
      <c r="LOC1" s="536"/>
      <c r="LOD1" s="536"/>
      <c r="LOE1" s="536"/>
      <c r="LOF1" s="536"/>
      <c r="LOG1" s="536"/>
      <c r="LOH1" s="536"/>
      <c r="LOI1" s="536"/>
      <c r="LOJ1" s="536"/>
      <c r="LOK1" s="536"/>
      <c r="LOL1" s="536"/>
      <c r="LOM1" s="536"/>
      <c r="LON1" s="536"/>
      <c r="LOO1" s="536"/>
      <c r="LOP1" s="536"/>
      <c r="LOQ1" s="536"/>
      <c r="LOR1" s="536"/>
      <c r="LOS1" s="536"/>
      <c r="LOT1" s="536"/>
      <c r="LOU1" s="536"/>
      <c r="LOV1" s="536"/>
      <c r="LOW1" s="536"/>
      <c r="LOX1" s="536"/>
      <c r="LOY1" s="536"/>
      <c r="LOZ1" s="536"/>
      <c r="LPA1" s="536"/>
      <c r="LPB1" s="536"/>
      <c r="LPC1" s="536"/>
      <c r="LPD1" s="536"/>
      <c r="LPE1" s="536"/>
      <c r="LPF1" s="536"/>
      <c r="LPG1" s="536"/>
      <c r="LPH1" s="536"/>
      <c r="LPI1" s="536"/>
      <c r="LPJ1" s="536"/>
      <c r="LPK1" s="536"/>
      <c r="LPL1" s="536"/>
      <c r="LPM1" s="536"/>
      <c r="LPN1" s="536"/>
      <c r="LPO1" s="536"/>
      <c r="LPP1" s="536"/>
      <c r="LPQ1" s="536"/>
      <c r="LPR1" s="536"/>
      <c r="LPS1" s="536"/>
      <c r="LPT1" s="536"/>
      <c r="LPU1" s="536"/>
      <c r="LPV1" s="536"/>
      <c r="LPW1" s="536"/>
      <c r="LPX1" s="536"/>
      <c r="LPY1" s="536"/>
      <c r="LPZ1" s="536"/>
      <c r="LQA1" s="536"/>
      <c r="LQB1" s="536"/>
      <c r="LQC1" s="536"/>
      <c r="LQD1" s="536"/>
      <c r="LQE1" s="536"/>
      <c r="LQF1" s="536"/>
      <c r="LQG1" s="536"/>
      <c r="LQH1" s="536"/>
      <c r="LQI1" s="536"/>
      <c r="LQJ1" s="536"/>
      <c r="LQK1" s="536"/>
      <c r="LQL1" s="536"/>
      <c r="LQM1" s="536"/>
      <c r="LQN1" s="536"/>
      <c r="LQO1" s="536"/>
      <c r="LQP1" s="536"/>
      <c r="LQQ1" s="536"/>
      <c r="LQR1" s="536"/>
      <c r="LQS1" s="536"/>
      <c r="LQT1" s="536"/>
      <c r="LQU1" s="536"/>
      <c r="LQV1" s="536"/>
      <c r="LQW1" s="536"/>
      <c r="LQX1" s="536"/>
      <c r="LQY1" s="536"/>
      <c r="LQZ1" s="536"/>
      <c r="LRA1" s="536"/>
      <c r="LRB1" s="536"/>
      <c r="LRC1" s="536"/>
      <c r="LRD1" s="536"/>
      <c r="LRE1" s="536"/>
      <c r="LRF1" s="536"/>
      <c r="LRG1" s="536"/>
      <c r="LRH1" s="536"/>
      <c r="LRI1" s="536"/>
      <c r="LRJ1" s="536"/>
      <c r="LRK1" s="536"/>
      <c r="LRL1" s="536"/>
      <c r="LRM1" s="536"/>
      <c r="LRN1" s="536"/>
      <c r="LRO1" s="536"/>
      <c r="LRP1" s="536"/>
      <c r="LRQ1" s="536"/>
      <c r="LRR1" s="536"/>
      <c r="LRS1" s="536"/>
      <c r="LRT1" s="536"/>
      <c r="LRU1" s="536"/>
      <c r="LRV1" s="536"/>
      <c r="LRW1" s="536"/>
      <c r="LRX1" s="536"/>
      <c r="LRY1" s="536"/>
      <c r="LRZ1" s="536"/>
      <c r="LSA1" s="536"/>
      <c r="LSB1" s="536"/>
      <c r="LSC1" s="536"/>
      <c r="LSD1" s="536"/>
      <c r="LSE1" s="536"/>
      <c r="LSF1" s="536"/>
      <c r="LSG1" s="536"/>
      <c r="LSH1" s="536"/>
      <c r="LSI1" s="536"/>
      <c r="LSJ1" s="536"/>
      <c r="LSK1" s="536"/>
      <c r="LSL1" s="536"/>
      <c r="LSM1" s="536"/>
      <c r="LSN1" s="536"/>
      <c r="LSO1" s="536"/>
      <c r="LSP1" s="536"/>
      <c r="LSQ1" s="536"/>
      <c r="LSR1" s="536"/>
      <c r="LSS1" s="536"/>
      <c r="LST1" s="536"/>
      <c r="LSU1" s="536"/>
      <c r="LSV1" s="536"/>
      <c r="LSW1" s="536"/>
      <c r="LSX1" s="536"/>
      <c r="LSY1" s="536"/>
      <c r="LSZ1" s="536"/>
      <c r="LTA1" s="536"/>
      <c r="LTB1" s="536"/>
      <c r="LTC1" s="536"/>
      <c r="LTD1" s="536"/>
      <c r="LTE1" s="536"/>
      <c r="LTF1" s="536"/>
      <c r="LTG1" s="536"/>
      <c r="LTH1" s="536"/>
      <c r="LTI1" s="536"/>
      <c r="LTJ1" s="536"/>
      <c r="LTK1" s="536"/>
      <c r="LTL1" s="536"/>
      <c r="LTM1" s="536"/>
      <c r="LTN1" s="536"/>
      <c r="LTO1" s="536"/>
      <c r="LTP1" s="536"/>
      <c r="LTQ1" s="536"/>
      <c r="LTR1" s="536"/>
      <c r="LTS1" s="536"/>
      <c r="LTT1" s="536"/>
      <c r="LTU1" s="536"/>
      <c r="LTV1" s="536"/>
      <c r="LTW1" s="536"/>
      <c r="LTX1" s="536"/>
      <c r="LTY1" s="536"/>
      <c r="LTZ1" s="536"/>
      <c r="LUA1" s="536"/>
      <c r="LUB1" s="536"/>
      <c r="LUC1" s="536"/>
      <c r="LUD1" s="536"/>
      <c r="LUE1" s="536"/>
      <c r="LUF1" s="536"/>
      <c r="LUG1" s="536"/>
      <c r="LUH1" s="536"/>
      <c r="LUI1" s="536"/>
      <c r="LUJ1" s="536"/>
      <c r="LUK1" s="536"/>
      <c r="LUL1" s="536"/>
      <c r="LUM1" s="536"/>
      <c r="LUN1" s="536"/>
      <c r="LUO1" s="536"/>
      <c r="LUP1" s="536"/>
      <c r="LUQ1" s="536"/>
      <c r="LUR1" s="536"/>
      <c r="LUS1" s="536"/>
      <c r="LUT1" s="536"/>
      <c r="LUU1" s="536"/>
      <c r="LUV1" s="536"/>
      <c r="LUW1" s="536"/>
      <c r="LUX1" s="536"/>
      <c r="LUY1" s="536"/>
      <c r="LUZ1" s="536"/>
      <c r="LVA1" s="536"/>
      <c r="LVB1" s="536"/>
      <c r="LVC1" s="536"/>
      <c r="LVD1" s="536"/>
      <c r="LVE1" s="536"/>
      <c r="LVF1" s="536"/>
      <c r="LVG1" s="536"/>
      <c r="LVH1" s="536"/>
      <c r="LVI1" s="536"/>
      <c r="LVJ1" s="536"/>
      <c r="LVK1" s="536"/>
      <c r="LVL1" s="536"/>
      <c r="LVM1" s="536"/>
      <c r="LVN1" s="536"/>
      <c r="LVO1" s="536"/>
      <c r="LVP1" s="536"/>
      <c r="LVQ1" s="536"/>
      <c r="LVR1" s="536"/>
      <c r="LVS1" s="536"/>
      <c r="LVT1" s="536"/>
      <c r="LVU1" s="536"/>
      <c r="LVV1" s="536"/>
      <c r="LVW1" s="536"/>
      <c r="LVX1" s="536"/>
      <c r="LVY1" s="536"/>
      <c r="LVZ1" s="536"/>
      <c r="LWA1" s="536"/>
      <c r="LWB1" s="536"/>
      <c r="LWC1" s="536"/>
      <c r="LWD1" s="536"/>
      <c r="LWE1" s="536"/>
      <c r="LWF1" s="536"/>
      <c r="LWG1" s="536"/>
      <c r="LWH1" s="536"/>
      <c r="LWI1" s="536"/>
      <c r="LWJ1" s="536"/>
      <c r="LWK1" s="536"/>
      <c r="LWL1" s="536"/>
      <c r="LWM1" s="536"/>
      <c r="LWN1" s="536"/>
      <c r="LWO1" s="536"/>
      <c r="LWP1" s="536"/>
      <c r="LWQ1" s="536"/>
      <c r="LWR1" s="536"/>
      <c r="LWS1" s="536"/>
      <c r="LWT1" s="536"/>
      <c r="LWU1" s="536"/>
      <c r="LWV1" s="536"/>
      <c r="LWW1" s="536"/>
      <c r="LWX1" s="536"/>
      <c r="LWY1" s="536"/>
      <c r="LWZ1" s="536"/>
      <c r="LXA1" s="536"/>
      <c r="LXB1" s="536"/>
      <c r="LXC1" s="536"/>
      <c r="LXD1" s="536"/>
      <c r="LXE1" s="536"/>
      <c r="LXF1" s="536"/>
      <c r="LXG1" s="536"/>
      <c r="LXH1" s="536"/>
      <c r="LXI1" s="536"/>
      <c r="LXJ1" s="536"/>
      <c r="LXK1" s="536"/>
      <c r="LXL1" s="536"/>
      <c r="LXM1" s="536"/>
      <c r="LXN1" s="536"/>
      <c r="LXO1" s="536"/>
      <c r="LXP1" s="536"/>
      <c r="LXQ1" s="536"/>
      <c r="LXR1" s="536"/>
      <c r="LXS1" s="536"/>
      <c r="LXT1" s="536"/>
      <c r="LXU1" s="536"/>
      <c r="LXV1" s="536"/>
      <c r="LXW1" s="536"/>
      <c r="LXX1" s="536"/>
      <c r="LXY1" s="536"/>
      <c r="LXZ1" s="536"/>
      <c r="LYA1" s="536"/>
      <c r="LYB1" s="536"/>
      <c r="LYC1" s="536"/>
      <c r="LYD1" s="536"/>
      <c r="LYE1" s="536"/>
      <c r="LYF1" s="536"/>
      <c r="LYG1" s="536"/>
      <c r="LYH1" s="536"/>
      <c r="LYI1" s="536"/>
      <c r="LYJ1" s="536"/>
      <c r="LYK1" s="536"/>
      <c r="LYL1" s="536"/>
      <c r="LYM1" s="536"/>
      <c r="LYN1" s="536"/>
      <c r="LYO1" s="536"/>
      <c r="LYP1" s="536"/>
      <c r="LYQ1" s="536"/>
      <c r="LYR1" s="536"/>
      <c r="LYS1" s="536"/>
      <c r="LYT1" s="536"/>
      <c r="LYU1" s="536"/>
      <c r="LYV1" s="536"/>
      <c r="LYW1" s="536"/>
      <c r="LYX1" s="536"/>
      <c r="LYY1" s="536"/>
      <c r="LYZ1" s="536"/>
      <c r="LZA1" s="536"/>
      <c r="LZB1" s="536"/>
      <c r="LZC1" s="536"/>
      <c r="LZD1" s="536"/>
      <c r="LZE1" s="536"/>
      <c r="LZF1" s="536"/>
      <c r="LZG1" s="536"/>
      <c r="LZH1" s="536"/>
      <c r="LZI1" s="536"/>
      <c r="LZJ1" s="536"/>
      <c r="LZK1" s="536"/>
      <c r="LZL1" s="536"/>
      <c r="LZM1" s="536"/>
      <c r="LZN1" s="536"/>
      <c r="LZO1" s="536"/>
      <c r="LZP1" s="536"/>
      <c r="LZQ1" s="536"/>
      <c r="LZR1" s="536"/>
      <c r="LZS1" s="536"/>
      <c r="LZT1" s="536"/>
      <c r="LZU1" s="536"/>
      <c r="LZV1" s="536"/>
      <c r="LZW1" s="536"/>
      <c r="LZX1" s="536"/>
      <c r="LZY1" s="536"/>
      <c r="LZZ1" s="536"/>
      <c r="MAA1" s="536"/>
      <c r="MAB1" s="536"/>
      <c r="MAC1" s="536"/>
      <c r="MAD1" s="536"/>
      <c r="MAE1" s="536"/>
      <c r="MAF1" s="536"/>
      <c r="MAG1" s="536"/>
      <c r="MAH1" s="536"/>
      <c r="MAI1" s="536"/>
      <c r="MAJ1" s="536"/>
      <c r="MAK1" s="536"/>
      <c r="MAL1" s="536"/>
      <c r="MAM1" s="536"/>
      <c r="MAN1" s="536"/>
      <c r="MAO1" s="536"/>
      <c r="MAP1" s="536"/>
      <c r="MAQ1" s="536"/>
      <c r="MAR1" s="536"/>
      <c r="MAS1" s="536"/>
      <c r="MAT1" s="536"/>
      <c r="MAU1" s="536"/>
      <c r="MAV1" s="536"/>
      <c r="MAW1" s="536"/>
      <c r="MAX1" s="536"/>
      <c r="MAY1" s="536"/>
      <c r="MAZ1" s="536"/>
      <c r="MBA1" s="536"/>
      <c r="MBB1" s="536"/>
      <c r="MBC1" s="536"/>
      <c r="MBD1" s="536"/>
      <c r="MBE1" s="536"/>
      <c r="MBF1" s="536"/>
      <c r="MBG1" s="536"/>
      <c r="MBH1" s="536"/>
      <c r="MBI1" s="536"/>
      <c r="MBJ1" s="536"/>
      <c r="MBK1" s="536"/>
      <c r="MBL1" s="536"/>
      <c r="MBM1" s="536"/>
      <c r="MBN1" s="536"/>
      <c r="MBO1" s="536"/>
      <c r="MBP1" s="536"/>
      <c r="MBQ1" s="536"/>
      <c r="MBR1" s="536"/>
      <c r="MBS1" s="536"/>
      <c r="MBT1" s="536"/>
      <c r="MBU1" s="536"/>
      <c r="MBV1" s="536"/>
      <c r="MBW1" s="536"/>
      <c r="MBX1" s="536"/>
      <c r="MBY1" s="536"/>
      <c r="MBZ1" s="536"/>
      <c r="MCA1" s="536"/>
      <c r="MCB1" s="536"/>
      <c r="MCC1" s="536"/>
      <c r="MCD1" s="536"/>
      <c r="MCE1" s="536"/>
      <c r="MCF1" s="536"/>
      <c r="MCG1" s="536"/>
      <c r="MCH1" s="536"/>
      <c r="MCI1" s="536"/>
      <c r="MCJ1" s="536"/>
      <c r="MCK1" s="536"/>
      <c r="MCL1" s="536"/>
      <c r="MCM1" s="536"/>
      <c r="MCN1" s="536"/>
      <c r="MCO1" s="536"/>
      <c r="MCP1" s="536"/>
      <c r="MCQ1" s="536"/>
      <c r="MCR1" s="536"/>
      <c r="MCS1" s="536"/>
      <c r="MCT1" s="536"/>
      <c r="MCU1" s="536"/>
      <c r="MCV1" s="536"/>
      <c r="MCW1" s="536"/>
      <c r="MCX1" s="536"/>
      <c r="MCY1" s="536"/>
      <c r="MCZ1" s="536"/>
      <c r="MDA1" s="536"/>
      <c r="MDB1" s="536"/>
      <c r="MDC1" s="536"/>
      <c r="MDD1" s="536"/>
      <c r="MDE1" s="536"/>
      <c r="MDF1" s="536"/>
      <c r="MDG1" s="536"/>
      <c r="MDH1" s="536"/>
      <c r="MDI1" s="536"/>
      <c r="MDJ1" s="536"/>
      <c r="MDK1" s="536"/>
      <c r="MDL1" s="536"/>
      <c r="MDM1" s="536"/>
      <c r="MDN1" s="536"/>
      <c r="MDO1" s="536"/>
      <c r="MDP1" s="536"/>
      <c r="MDQ1" s="536"/>
      <c r="MDR1" s="536"/>
      <c r="MDS1" s="536"/>
      <c r="MDT1" s="536"/>
      <c r="MDU1" s="536"/>
      <c r="MDV1" s="536"/>
      <c r="MDW1" s="536"/>
      <c r="MDX1" s="536"/>
      <c r="MDY1" s="536"/>
      <c r="MDZ1" s="536"/>
      <c r="MEA1" s="536"/>
      <c r="MEB1" s="536"/>
      <c r="MEC1" s="536"/>
      <c r="MED1" s="536"/>
      <c r="MEE1" s="536"/>
      <c r="MEF1" s="536"/>
      <c r="MEG1" s="536"/>
      <c r="MEH1" s="536"/>
      <c r="MEI1" s="536"/>
      <c r="MEJ1" s="536"/>
      <c r="MEK1" s="536"/>
      <c r="MEL1" s="536"/>
      <c r="MEM1" s="536"/>
      <c r="MEN1" s="536"/>
      <c r="MEO1" s="536"/>
      <c r="MEP1" s="536"/>
      <c r="MEQ1" s="536"/>
      <c r="MER1" s="536"/>
      <c r="MES1" s="536"/>
      <c r="MET1" s="536"/>
      <c r="MEU1" s="536"/>
      <c r="MEV1" s="536"/>
      <c r="MEW1" s="536"/>
      <c r="MEX1" s="536"/>
      <c r="MEY1" s="536"/>
      <c r="MEZ1" s="536"/>
      <c r="MFA1" s="536"/>
      <c r="MFB1" s="536"/>
      <c r="MFC1" s="536"/>
      <c r="MFD1" s="536"/>
      <c r="MFE1" s="536"/>
      <c r="MFF1" s="536"/>
      <c r="MFG1" s="536"/>
      <c r="MFH1" s="536"/>
      <c r="MFI1" s="536"/>
      <c r="MFJ1" s="536"/>
      <c r="MFK1" s="536"/>
      <c r="MFL1" s="536"/>
      <c r="MFM1" s="536"/>
      <c r="MFN1" s="536"/>
      <c r="MFO1" s="536"/>
      <c r="MFP1" s="536"/>
      <c r="MFQ1" s="536"/>
      <c r="MFR1" s="536"/>
      <c r="MFS1" s="536"/>
      <c r="MFT1" s="536"/>
      <c r="MFU1" s="536"/>
      <c r="MFV1" s="536"/>
      <c r="MFW1" s="536"/>
      <c r="MFX1" s="536"/>
      <c r="MFY1" s="536"/>
      <c r="MFZ1" s="536"/>
      <c r="MGA1" s="536"/>
      <c r="MGB1" s="536"/>
      <c r="MGC1" s="536"/>
      <c r="MGD1" s="536"/>
      <c r="MGE1" s="536"/>
      <c r="MGF1" s="536"/>
      <c r="MGG1" s="536"/>
      <c r="MGH1" s="536"/>
      <c r="MGI1" s="536"/>
      <c r="MGJ1" s="536"/>
      <c r="MGK1" s="536"/>
      <c r="MGL1" s="536"/>
      <c r="MGM1" s="536"/>
      <c r="MGN1" s="536"/>
      <c r="MGO1" s="536"/>
      <c r="MGP1" s="536"/>
      <c r="MGQ1" s="536"/>
      <c r="MGR1" s="536"/>
      <c r="MGS1" s="536"/>
      <c r="MGT1" s="536"/>
      <c r="MGU1" s="536"/>
      <c r="MGV1" s="536"/>
      <c r="MGW1" s="536"/>
      <c r="MGX1" s="536"/>
      <c r="MGY1" s="536"/>
      <c r="MGZ1" s="536"/>
      <c r="MHA1" s="536"/>
      <c r="MHB1" s="536"/>
      <c r="MHC1" s="536"/>
      <c r="MHD1" s="536"/>
      <c r="MHE1" s="536"/>
      <c r="MHF1" s="536"/>
      <c r="MHG1" s="536"/>
      <c r="MHH1" s="536"/>
      <c r="MHI1" s="536"/>
      <c r="MHJ1" s="536"/>
      <c r="MHK1" s="536"/>
      <c r="MHL1" s="536"/>
      <c r="MHM1" s="536"/>
      <c r="MHN1" s="536"/>
      <c r="MHO1" s="536"/>
      <c r="MHP1" s="536"/>
      <c r="MHQ1" s="536"/>
      <c r="MHR1" s="536"/>
      <c r="MHS1" s="536"/>
      <c r="MHT1" s="536"/>
      <c r="MHU1" s="536"/>
      <c r="MHV1" s="536"/>
      <c r="MHW1" s="536"/>
      <c r="MHX1" s="536"/>
      <c r="MHY1" s="536"/>
      <c r="MHZ1" s="536"/>
      <c r="MIA1" s="536"/>
      <c r="MIB1" s="536"/>
      <c r="MIC1" s="536"/>
      <c r="MID1" s="536"/>
      <c r="MIE1" s="536"/>
      <c r="MIF1" s="536"/>
      <c r="MIG1" s="536"/>
      <c r="MIH1" s="536"/>
      <c r="MII1" s="536"/>
      <c r="MIJ1" s="536"/>
      <c r="MIK1" s="536"/>
      <c r="MIL1" s="536"/>
      <c r="MIM1" s="536"/>
      <c r="MIN1" s="536"/>
      <c r="MIO1" s="536"/>
      <c r="MIP1" s="536"/>
      <c r="MIQ1" s="536"/>
      <c r="MIR1" s="536"/>
      <c r="MIS1" s="536"/>
      <c r="MIT1" s="536"/>
      <c r="MIU1" s="536"/>
      <c r="MIV1" s="536"/>
      <c r="MIW1" s="536"/>
      <c r="MIX1" s="536"/>
      <c r="MIY1" s="536"/>
      <c r="MIZ1" s="536"/>
      <c r="MJA1" s="536"/>
      <c r="MJB1" s="536"/>
      <c r="MJC1" s="536"/>
      <c r="MJD1" s="536"/>
      <c r="MJE1" s="536"/>
      <c r="MJF1" s="536"/>
      <c r="MJG1" s="536"/>
      <c r="MJH1" s="536"/>
      <c r="MJI1" s="536"/>
      <c r="MJJ1" s="536"/>
      <c r="MJK1" s="536"/>
      <c r="MJL1" s="536"/>
      <c r="MJM1" s="536"/>
      <c r="MJN1" s="536"/>
      <c r="MJO1" s="536"/>
      <c r="MJP1" s="536"/>
      <c r="MJQ1" s="536"/>
      <c r="MJR1" s="536"/>
      <c r="MJS1" s="536"/>
      <c r="MJT1" s="536"/>
      <c r="MJU1" s="536"/>
      <c r="MJV1" s="536"/>
      <c r="MJW1" s="536"/>
      <c r="MJX1" s="536"/>
      <c r="MJY1" s="536"/>
      <c r="MJZ1" s="536"/>
      <c r="MKA1" s="536"/>
      <c r="MKB1" s="536"/>
      <c r="MKC1" s="536"/>
      <c r="MKD1" s="536"/>
      <c r="MKE1" s="536"/>
      <c r="MKF1" s="536"/>
      <c r="MKG1" s="536"/>
      <c r="MKH1" s="536"/>
      <c r="MKI1" s="536"/>
      <c r="MKJ1" s="536"/>
      <c r="MKK1" s="536"/>
      <c r="MKL1" s="536"/>
      <c r="MKM1" s="536"/>
      <c r="MKN1" s="536"/>
      <c r="MKO1" s="536"/>
      <c r="MKP1" s="536"/>
      <c r="MKQ1" s="536"/>
      <c r="MKR1" s="536"/>
      <c r="MKS1" s="536"/>
      <c r="MKT1" s="536"/>
      <c r="MKU1" s="536"/>
      <c r="MKV1" s="536"/>
      <c r="MKW1" s="536"/>
      <c r="MKX1" s="536"/>
      <c r="MKY1" s="536"/>
      <c r="MKZ1" s="536"/>
      <c r="MLA1" s="536"/>
      <c r="MLB1" s="536"/>
      <c r="MLC1" s="536"/>
      <c r="MLD1" s="536"/>
      <c r="MLE1" s="536"/>
      <c r="MLF1" s="536"/>
      <c r="MLG1" s="536"/>
      <c r="MLH1" s="536"/>
      <c r="MLI1" s="536"/>
      <c r="MLJ1" s="536"/>
      <c r="MLK1" s="536"/>
      <c r="MLL1" s="536"/>
      <c r="MLM1" s="536"/>
      <c r="MLN1" s="536"/>
      <c r="MLO1" s="536"/>
      <c r="MLP1" s="536"/>
      <c r="MLQ1" s="536"/>
      <c r="MLR1" s="536"/>
      <c r="MLS1" s="536"/>
      <c r="MLT1" s="536"/>
      <c r="MLU1" s="536"/>
      <c r="MLV1" s="536"/>
      <c r="MLW1" s="536"/>
      <c r="MLX1" s="536"/>
      <c r="MLY1" s="536"/>
      <c r="MLZ1" s="536"/>
      <c r="MMA1" s="536"/>
      <c r="MMB1" s="536"/>
      <c r="MMC1" s="536"/>
      <c r="MMD1" s="536"/>
      <c r="MME1" s="536"/>
      <c r="MMF1" s="536"/>
      <c r="MMG1" s="536"/>
      <c r="MMH1" s="536"/>
      <c r="MMI1" s="536"/>
      <c r="MMJ1" s="536"/>
      <c r="MMK1" s="536"/>
      <c r="MML1" s="536"/>
      <c r="MMM1" s="536"/>
      <c r="MMN1" s="536"/>
      <c r="MMO1" s="536"/>
      <c r="MMP1" s="536"/>
      <c r="MMQ1" s="536"/>
      <c r="MMR1" s="536"/>
      <c r="MMS1" s="536"/>
      <c r="MMT1" s="536"/>
      <c r="MMU1" s="536"/>
      <c r="MMV1" s="536"/>
      <c r="MMW1" s="536"/>
      <c r="MMX1" s="536"/>
      <c r="MMY1" s="536"/>
      <c r="MMZ1" s="536"/>
      <c r="MNA1" s="536"/>
      <c r="MNB1" s="536"/>
      <c r="MNC1" s="536"/>
      <c r="MND1" s="536"/>
      <c r="MNE1" s="536"/>
      <c r="MNF1" s="536"/>
      <c r="MNG1" s="536"/>
      <c r="MNH1" s="536"/>
      <c r="MNI1" s="536"/>
      <c r="MNJ1" s="536"/>
      <c r="MNK1" s="536"/>
      <c r="MNL1" s="536"/>
      <c r="MNM1" s="536"/>
      <c r="MNN1" s="536"/>
      <c r="MNO1" s="536"/>
      <c r="MNP1" s="536"/>
      <c r="MNQ1" s="536"/>
      <c r="MNR1" s="536"/>
      <c r="MNS1" s="536"/>
      <c r="MNT1" s="536"/>
      <c r="MNU1" s="536"/>
      <c r="MNV1" s="536"/>
      <c r="MNW1" s="536"/>
      <c r="MNX1" s="536"/>
      <c r="MNY1" s="536"/>
      <c r="MNZ1" s="536"/>
      <c r="MOA1" s="536"/>
      <c r="MOB1" s="536"/>
      <c r="MOC1" s="536"/>
      <c r="MOD1" s="536"/>
      <c r="MOE1" s="536"/>
      <c r="MOF1" s="536"/>
      <c r="MOG1" s="536"/>
      <c r="MOH1" s="536"/>
      <c r="MOI1" s="536"/>
      <c r="MOJ1" s="536"/>
      <c r="MOK1" s="536"/>
      <c r="MOL1" s="536"/>
      <c r="MOM1" s="536"/>
      <c r="MON1" s="536"/>
      <c r="MOO1" s="536"/>
      <c r="MOP1" s="536"/>
      <c r="MOQ1" s="536"/>
      <c r="MOR1" s="536"/>
      <c r="MOS1" s="536"/>
      <c r="MOT1" s="536"/>
      <c r="MOU1" s="536"/>
      <c r="MOV1" s="536"/>
      <c r="MOW1" s="536"/>
      <c r="MOX1" s="536"/>
      <c r="MOY1" s="536"/>
      <c r="MOZ1" s="536"/>
      <c r="MPA1" s="536"/>
      <c r="MPB1" s="536"/>
      <c r="MPC1" s="536"/>
      <c r="MPD1" s="536"/>
      <c r="MPE1" s="536"/>
      <c r="MPF1" s="536"/>
      <c r="MPG1" s="536"/>
      <c r="MPH1" s="536"/>
      <c r="MPI1" s="536"/>
      <c r="MPJ1" s="536"/>
      <c r="MPK1" s="536"/>
      <c r="MPL1" s="536"/>
      <c r="MPM1" s="536"/>
      <c r="MPN1" s="536"/>
      <c r="MPO1" s="536"/>
      <c r="MPP1" s="536"/>
      <c r="MPQ1" s="536"/>
      <c r="MPR1" s="536"/>
      <c r="MPS1" s="536"/>
      <c r="MPT1" s="536"/>
      <c r="MPU1" s="536"/>
      <c r="MPV1" s="536"/>
      <c r="MPW1" s="536"/>
      <c r="MPX1" s="536"/>
      <c r="MPY1" s="536"/>
      <c r="MPZ1" s="536"/>
      <c r="MQA1" s="536"/>
      <c r="MQB1" s="536"/>
      <c r="MQC1" s="536"/>
      <c r="MQD1" s="536"/>
      <c r="MQE1" s="536"/>
      <c r="MQF1" s="536"/>
      <c r="MQG1" s="536"/>
      <c r="MQH1" s="536"/>
      <c r="MQI1" s="536"/>
      <c r="MQJ1" s="536"/>
      <c r="MQK1" s="536"/>
      <c r="MQL1" s="536"/>
      <c r="MQM1" s="536"/>
      <c r="MQN1" s="536"/>
      <c r="MQO1" s="536"/>
      <c r="MQP1" s="536"/>
      <c r="MQQ1" s="536"/>
      <c r="MQR1" s="536"/>
      <c r="MQS1" s="536"/>
      <c r="MQT1" s="536"/>
      <c r="MQU1" s="536"/>
      <c r="MQV1" s="536"/>
      <c r="MQW1" s="536"/>
      <c r="MQX1" s="536"/>
      <c r="MQY1" s="536"/>
      <c r="MQZ1" s="536"/>
      <c r="MRA1" s="536"/>
      <c r="MRB1" s="536"/>
      <c r="MRC1" s="536"/>
      <c r="MRD1" s="536"/>
      <c r="MRE1" s="536"/>
      <c r="MRF1" s="536"/>
      <c r="MRG1" s="536"/>
      <c r="MRH1" s="536"/>
      <c r="MRI1" s="536"/>
      <c r="MRJ1" s="536"/>
      <c r="MRK1" s="536"/>
      <c r="MRL1" s="536"/>
      <c r="MRM1" s="536"/>
      <c r="MRN1" s="536"/>
      <c r="MRO1" s="536"/>
      <c r="MRP1" s="536"/>
      <c r="MRQ1" s="536"/>
      <c r="MRR1" s="536"/>
      <c r="MRS1" s="536"/>
      <c r="MRT1" s="536"/>
      <c r="MRU1" s="536"/>
      <c r="MRV1" s="536"/>
      <c r="MRW1" s="536"/>
      <c r="MRX1" s="536"/>
      <c r="MRY1" s="536"/>
      <c r="MRZ1" s="536"/>
      <c r="MSA1" s="536"/>
      <c r="MSB1" s="536"/>
      <c r="MSC1" s="536"/>
      <c r="MSD1" s="536"/>
      <c r="MSE1" s="536"/>
      <c r="MSF1" s="536"/>
      <c r="MSG1" s="536"/>
      <c r="MSH1" s="536"/>
      <c r="MSI1" s="536"/>
      <c r="MSJ1" s="536"/>
      <c r="MSK1" s="536"/>
      <c r="MSL1" s="536"/>
      <c r="MSM1" s="536"/>
      <c r="MSN1" s="536"/>
      <c r="MSO1" s="536"/>
      <c r="MSP1" s="536"/>
      <c r="MSQ1" s="536"/>
      <c r="MSR1" s="536"/>
      <c r="MSS1" s="536"/>
      <c r="MST1" s="536"/>
      <c r="MSU1" s="536"/>
      <c r="MSV1" s="536"/>
      <c r="MSW1" s="536"/>
      <c r="MSX1" s="536"/>
      <c r="MSY1" s="536"/>
      <c r="MSZ1" s="536"/>
      <c r="MTA1" s="536"/>
      <c r="MTB1" s="536"/>
      <c r="MTC1" s="536"/>
      <c r="MTD1" s="536"/>
      <c r="MTE1" s="536"/>
      <c r="MTF1" s="536"/>
      <c r="MTG1" s="536"/>
      <c r="MTH1" s="536"/>
      <c r="MTI1" s="536"/>
      <c r="MTJ1" s="536"/>
      <c r="MTK1" s="536"/>
      <c r="MTL1" s="536"/>
      <c r="MTM1" s="536"/>
      <c r="MTN1" s="536"/>
      <c r="MTO1" s="536"/>
      <c r="MTP1" s="536"/>
      <c r="MTQ1" s="536"/>
      <c r="MTR1" s="536"/>
      <c r="MTS1" s="536"/>
      <c r="MTT1" s="536"/>
      <c r="MTU1" s="536"/>
      <c r="MTV1" s="536"/>
      <c r="MTW1" s="536"/>
      <c r="MTX1" s="536"/>
      <c r="MTY1" s="536"/>
      <c r="MTZ1" s="536"/>
      <c r="MUA1" s="536"/>
      <c r="MUB1" s="536"/>
      <c r="MUC1" s="536"/>
      <c r="MUD1" s="536"/>
      <c r="MUE1" s="536"/>
      <c r="MUF1" s="536"/>
      <c r="MUG1" s="536"/>
      <c r="MUH1" s="536"/>
      <c r="MUI1" s="536"/>
      <c r="MUJ1" s="536"/>
      <c r="MUK1" s="536"/>
      <c r="MUL1" s="536"/>
      <c r="MUM1" s="536"/>
      <c r="MUN1" s="536"/>
      <c r="MUO1" s="536"/>
      <c r="MUP1" s="536"/>
      <c r="MUQ1" s="536"/>
      <c r="MUR1" s="536"/>
      <c r="MUS1" s="536"/>
      <c r="MUT1" s="536"/>
      <c r="MUU1" s="536"/>
      <c r="MUV1" s="536"/>
      <c r="MUW1" s="536"/>
      <c r="MUX1" s="536"/>
      <c r="MUY1" s="536"/>
      <c r="MUZ1" s="536"/>
      <c r="MVA1" s="536"/>
      <c r="MVB1" s="536"/>
      <c r="MVC1" s="536"/>
      <c r="MVD1" s="536"/>
      <c r="MVE1" s="536"/>
      <c r="MVF1" s="536"/>
      <c r="MVG1" s="536"/>
      <c r="MVH1" s="536"/>
      <c r="MVI1" s="536"/>
      <c r="MVJ1" s="536"/>
      <c r="MVK1" s="536"/>
      <c r="MVL1" s="536"/>
      <c r="MVM1" s="536"/>
      <c r="MVN1" s="536"/>
      <c r="MVO1" s="536"/>
      <c r="MVP1" s="536"/>
      <c r="MVQ1" s="536"/>
      <c r="MVR1" s="536"/>
      <c r="MVS1" s="536"/>
      <c r="MVT1" s="536"/>
      <c r="MVU1" s="536"/>
      <c r="MVV1" s="536"/>
      <c r="MVW1" s="536"/>
      <c r="MVX1" s="536"/>
      <c r="MVY1" s="536"/>
      <c r="MVZ1" s="536"/>
      <c r="MWA1" s="536"/>
      <c r="MWB1" s="536"/>
      <c r="MWC1" s="536"/>
      <c r="MWD1" s="536"/>
      <c r="MWE1" s="536"/>
      <c r="MWF1" s="536"/>
      <c r="MWG1" s="536"/>
      <c r="MWH1" s="536"/>
      <c r="MWI1" s="536"/>
      <c r="MWJ1" s="536"/>
      <c r="MWK1" s="536"/>
      <c r="MWL1" s="536"/>
      <c r="MWM1" s="536"/>
      <c r="MWN1" s="536"/>
      <c r="MWO1" s="536"/>
      <c r="MWP1" s="536"/>
      <c r="MWQ1" s="536"/>
      <c r="MWR1" s="536"/>
      <c r="MWS1" s="536"/>
      <c r="MWT1" s="536"/>
      <c r="MWU1" s="536"/>
      <c r="MWV1" s="536"/>
      <c r="MWW1" s="536"/>
      <c r="MWX1" s="536"/>
      <c r="MWY1" s="536"/>
      <c r="MWZ1" s="536"/>
      <c r="MXA1" s="536"/>
      <c r="MXB1" s="536"/>
      <c r="MXC1" s="536"/>
      <c r="MXD1" s="536"/>
      <c r="MXE1" s="536"/>
      <c r="MXF1" s="536"/>
      <c r="MXG1" s="536"/>
      <c r="MXH1" s="536"/>
      <c r="MXI1" s="536"/>
      <c r="MXJ1" s="536"/>
      <c r="MXK1" s="536"/>
      <c r="MXL1" s="536"/>
      <c r="MXM1" s="536"/>
      <c r="MXN1" s="536"/>
      <c r="MXO1" s="536"/>
      <c r="MXP1" s="536"/>
      <c r="MXQ1" s="536"/>
      <c r="MXR1" s="536"/>
      <c r="MXS1" s="536"/>
      <c r="MXT1" s="536"/>
      <c r="MXU1" s="536"/>
      <c r="MXV1" s="536"/>
      <c r="MXW1" s="536"/>
      <c r="MXX1" s="536"/>
      <c r="MXY1" s="536"/>
      <c r="MXZ1" s="536"/>
      <c r="MYA1" s="536"/>
      <c r="MYB1" s="536"/>
      <c r="MYC1" s="536"/>
      <c r="MYD1" s="536"/>
      <c r="MYE1" s="536"/>
      <c r="MYF1" s="536"/>
      <c r="MYG1" s="536"/>
      <c r="MYH1" s="536"/>
      <c r="MYI1" s="536"/>
      <c r="MYJ1" s="536"/>
      <c r="MYK1" s="536"/>
      <c r="MYL1" s="536"/>
      <c r="MYM1" s="536"/>
      <c r="MYN1" s="536"/>
      <c r="MYO1" s="536"/>
      <c r="MYP1" s="536"/>
      <c r="MYQ1" s="536"/>
      <c r="MYR1" s="536"/>
      <c r="MYS1" s="536"/>
      <c r="MYT1" s="536"/>
      <c r="MYU1" s="536"/>
      <c r="MYV1" s="536"/>
      <c r="MYW1" s="536"/>
      <c r="MYX1" s="536"/>
      <c r="MYY1" s="536"/>
      <c r="MYZ1" s="536"/>
      <c r="MZA1" s="536"/>
      <c r="MZB1" s="536"/>
      <c r="MZC1" s="536"/>
      <c r="MZD1" s="536"/>
      <c r="MZE1" s="536"/>
      <c r="MZF1" s="536"/>
      <c r="MZG1" s="536"/>
      <c r="MZH1" s="536"/>
      <c r="MZI1" s="536"/>
      <c r="MZJ1" s="536"/>
      <c r="MZK1" s="536"/>
      <c r="MZL1" s="536"/>
      <c r="MZM1" s="536"/>
      <c r="MZN1" s="536"/>
      <c r="MZO1" s="536"/>
      <c r="MZP1" s="536"/>
      <c r="MZQ1" s="536"/>
      <c r="MZR1" s="536"/>
      <c r="MZS1" s="536"/>
      <c r="MZT1" s="536"/>
      <c r="MZU1" s="536"/>
      <c r="MZV1" s="536"/>
      <c r="MZW1" s="536"/>
      <c r="MZX1" s="536"/>
      <c r="MZY1" s="536"/>
      <c r="MZZ1" s="536"/>
      <c r="NAA1" s="536"/>
      <c r="NAB1" s="536"/>
      <c r="NAC1" s="536"/>
      <c r="NAD1" s="536"/>
      <c r="NAE1" s="536"/>
      <c r="NAF1" s="536"/>
      <c r="NAG1" s="536"/>
      <c r="NAH1" s="536"/>
      <c r="NAI1" s="536"/>
      <c r="NAJ1" s="536"/>
      <c r="NAK1" s="536"/>
      <c r="NAL1" s="536"/>
      <c r="NAM1" s="536"/>
      <c r="NAN1" s="536"/>
      <c r="NAO1" s="536"/>
      <c r="NAP1" s="536"/>
      <c r="NAQ1" s="536"/>
      <c r="NAR1" s="536"/>
      <c r="NAS1" s="536"/>
      <c r="NAT1" s="536"/>
      <c r="NAU1" s="536"/>
      <c r="NAV1" s="536"/>
      <c r="NAW1" s="536"/>
      <c r="NAX1" s="536"/>
      <c r="NAY1" s="536"/>
      <c r="NAZ1" s="536"/>
      <c r="NBA1" s="536"/>
      <c r="NBB1" s="536"/>
      <c r="NBC1" s="536"/>
      <c r="NBD1" s="536"/>
      <c r="NBE1" s="536"/>
      <c r="NBF1" s="536"/>
      <c r="NBG1" s="536"/>
      <c r="NBH1" s="536"/>
      <c r="NBI1" s="536"/>
      <c r="NBJ1" s="536"/>
      <c r="NBK1" s="536"/>
      <c r="NBL1" s="536"/>
      <c r="NBM1" s="536"/>
      <c r="NBN1" s="536"/>
      <c r="NBO1" s="536"/>
      <c r="NBP1" s="536"/>
      <c r="NBQ1" s="536"/>
      <c r="NBR1" s="536"/>
      <c r="NBS1" s="536"/>
      <c r="NBT1" s="536"/>
      <c r="NBU1" s="536"/>
      <c r="NBV1" s="536"/>
      <c r="NBW1" s="536"/>
      <c r="NBX1" s="536"/>
      <c r="NBY1" s="536"/>
      <c r="NBZ1" s="536"/>
      <c r="NCA1" s="536"/>
      <c r="NCB1" s="536"/>
      <c r="NCC1" s="536"/>
      <c r="NCD1" s="536"/>
      <c r="NCE1" s="536"/>
      <c r="NCF1" s="536"/>
      <c r="NCG1" s="536"/>
      <c r="NCH1" s="536"/>
      <c r="NCI1" s="536"/>
      <c r="NCJ1" s="536"/>
      <c r="NCK1" s="536"/>
      <c r="NCL1" s="536"/>
      <c r="NCM1" s="536"/>
      <c r="NCN1" s="536"/>
      <c r="NCO1" s="536"/>
      <c r="NCP1" s="536"/>
      <c r="NCQ1" s="536"/>
      <c r="NCR1" s="536"/>
      <c r="NCS1" s="536"/>
      <c r="NCT1" s="536"/>
      <c r="NCU1" s="536"/>
      <c r="NCV1" s="536"/>
      <c r="NCW1" s="536"/>
      <c r="NCX1" s="536"/>
      <c r="NCY1" s="536"/>
      <c r="NCZ1" s="536"/>
      <c r="NDA1" s="536"/>
      <c r="NDB1" s="536"/>
      <c r="NDC1" s="536"/>
      <c r="NDD1" s="536"/>
      <c r="NDE1" s="536"/>
      <c r="NDF1" s="536"/>
      <c r="NDG1" s="536"/>
      <c r="NDH1" s="536"/>
      <c r="NDI1" s="536"/>
      <c r="NDJ1" s="536"/>
      <c r="NDK1" s="536"/>
      <c r="NDL1" s="536"/>
      <c r="NDM1" s="536"/>
      <c r="NDN1" s="536"/>
      <c r="NDO1" s="536"/>
      <c r="NDP1" s="536"/>
      <c r="NDQ1" s="536"/>
      <c r="NDR1" s="536"/>
      <c r="NDS1" s="536"/>
      <c r="NDT1" s="536"/>
      <c r="NDU1" s="536"/>
      <c r="NDV1" s="536"/>
      <c r="NDW1" s="536"/>
      <c r="NDX1" s="536"/>
      <c r="NDY1" s="536"/>
      <c r="NDZ1" s="536"/>
      <c r="NEA1" s="536"/>
      <c r="NEB1" s="536"/>
      <c r="NEC1" s="536"/>
      <c r="NED1" s="536"/>
      <c r="NEE1" s="536"/>
      <c r="NEF1" s="536"/>
      <c r="NEG1" s="536"/>
      <c r="NEH1" s="536"/>
      <c r="NEI1" s="536"/>
      <c r="NEJ1" s="536"/>
      <c r="NEK1" s="536"/>
      <c r="NEL1" s="536"/>
      <c r="NEM1" s="536"/>
      <c r="NEN1" s="536"/>
      <c r="NEO1" s="536"/>
      <c r="NEP1" s="536"/>
      <c r="NEQ1" s="536"/>
      <c r="NER1" s="536"/>
      <c r="NES1" s="536"/>
      <c r="NET1" s="536"/>
      <c r="NEU1" s="536"/>
      <c r="NEV1" s="536"/>
      <c r="NEW1" s="536"/>
      <c r="NEX1" s="536"/>
      <c r="NEY1" s="536"/>
      <c r="NEZ1" s="536"/>
      <c r="NFA1" s="536"/>
      <c r="NFB1" s="536"/>
      <c r="NFC1" s="536"/>
      <c r="NFD1" s="536"/>
      <c r="NFE1" s="536"/>
      <c r="NFF1" s="536"/>
      <c r="NFG1" s="536"/>
      <c r="NFH1" s="536"/>
      <c r="NFI1" s="536"/>
      <c r="NFJ1" s="536"/>
      <c r="NFK1" s="536"/>
      <c r="NFL1" s="536"/>
      <c r="NFM1" s="536"/>
      <c r="NFN1" s="536"/>
      <c r="NFO1" s="536"/>
      <c r="NFP1" s="536"/>
      <c r="NFQ1" s="536"/>
      <c r="NFR1" s="536"/>
      <c r="NFS1" s="536"/>
      <c r="NFT1" s="536"/>
      <c r="NFU1" s="536"/>
      <c r="NFV1" s="536"/>
      <c r="NFW1" s="536"/>
      <c r="NFX1" s="536"/>
      <c r="NFY1" s="536"/>
      <c r="NFZ1" s="536"/>
      <c r="NGA1" s="536"/>
      <c r="NGB1" s="536"/>
      <c r="NGC1" s="536"/>
      <c r="NGD1" s="536"/>
      <c r="NGE1" s="536"/>
      <c r="NGF1" s="536"/>
      <c r="NGG1" s="536"/>
      <c r="NGH1" s="536"/>
      <c r="NGI1" s="536"/>
      <c r="NGJ1" s="536"/>
      <c r="NGK1" s="536"/>
      <c r="NGL1" s="536"/>
      <c r="NGM1" s="536"/>
      <c r="NGN1" s="536"/>
      <c r="NGO1" s="536"/>
      <c r="NGP1" s="536"/>
      <c r="NGQ1" s="536"/>
      <c r="NGR1" s="536"/>
      <c r="NGS1" s="536"/>
      <c r="NGT1" s="536"/>
      <c r="NGU1" s="536"/>
      <c r="NGV1" s="536"/>
      <c r="NGW1" s="536"/>
      <c r="NGX1" s="536"/>
      <c r="NGY1" s="536"/>
      <c r="NGZ1" s="536"/>
      <c r="NHA1" s="536"/>
      <c r="NHB1" s="536"/>
      <c r="NHC1" s="536"/>
      <c r="NHD1" s="536"/>
      <c r="NHE1" s="536"/>
      <c r="NHF1" s="536"/>
      <c r="NHG1" s="536"/>
      <c r="NHH1" s="536"/>
      <c r="NHI1" s="536"/>
      <c r="NHJ1" s="536"/>
      <c r="NHK1" s="536"/>
      <c r="NHL1" s="536"/>
      <c r="NHM1" s="536"/>
      <c r="NHN1" s="536"/>
      <c r="NHO1" s="536"/>
      <c r="NHP1" s="536"/>
      <c r="NHQ1" s="536"/>
      <c r="NHR1" s="536"/>
      <c r="NHS1" s="536"/>
      <c r="NHT1" s="536"/>
      <c r="NHU1" s="536"/>
      <c r="NHV1" s="536"/>
      <c r="NHW1" s="536"/>
      <c r="NHX1" s="536"/>
      <c r="NHY1" s="536"/>
      <c r="NHZ1" s="536"/>
      <c r="NIA1" s="536"/>
      <c r="NIB1" s="536"/>
      <c r="NIC1" s="536"/>
      <c r="NID1" s="536"/>
      <c r="NIE1" s="536"/>
      <c r="NIF1" s="536"/>
      <c r="NIG1" s="536"/>
      <c r="NIH1" s="536"/>
      <c r="NII1" s="536"/>
      <c r="NIJ1" s="536"/>
      <c r="NIK1" s="536"/>
      <c r="NIL1" s="536"/>
      <c r="NIM1" s="536"/>
      <c r="NIN1" s="536"/>
      <c r="NIO1" s="536"/>
      <c r="NIP1" s="536"/>
      <c r="NIQ1" s="536"/>
      <c r="NIR1" s="536"/>
      <c r="NIS1" s="536"/>
      <c r="NIT1" s="536"/>
      <c r="NIU1" s="536"/>
      <c r="NIV1" s="536"/>
      <c r="NIW1" s="536"/>
      <c r="NIX1" s="536"/>
      <c r="NIY1" s="536"/>
      <c r="NIZ1" s="536"/>
      <c r="NJA1" s="536"/>
      <c r="NJB1" s="536"/>
      <c r="NJC1" s="536"/>
      <c r="NJD1" s="536"/>
      <c r="NJE1" s="536"/>
      <c r="NJF1" s="536"/>
      <c r="NJG1" s="536"/>
      <c r="NJH1" s="536"/>
      <c r="NJI1" s="536"/>
      <c r="NJJ1" s="536"/>
      <c r="NJK1" s="536"/>
      <c r="NJL1" s="536"/>
      <c r="NJM1" s="536"/>
      <c r="NJN1" s="536"/>
      <c r="NJO1" s="536"/>
      <c r="NJP1" s="536"/>
      <c r="NJQ1" s="536"/>
      <c r="NJR1" s="536"/>
      <c r="NJS1" s="536"/>
      <c r="NJT1" s="536"/>
      <c r="NJU1" s="536"/>
      <c r="NJV1" s="536"/>
      <c r="NJW1" s="536"/>
      <c r="NJX1" s="536"/>
      <c r="NJY1" s="536"/>
      <c r="NJZ1" s="536"/>
      <c r="NKA1" s="536"/>
      <c r="NKB1" s="536"/>
      <c r="NKC1" s="536"/>
      <c r="NKD1" s="536"/>
      <c r="NKE1" s="536"/>
      <c r="NKF1" s="536"/>
      <c r="NKG1" s="536"/>
      <c r="NKH1" s="536"/>
      <c r="NKI1" s="536"/>
      <c r="NKJ1" s="536"/>
      <c r="NKK1" s="536"/>
      <c r="NKL1" s="536"/>
      <c r="NKM1" s="536"/>
      <c r="NKN1" s="536"/>
      <c r="NKO1" s="536"/>
      <c r="NKP1" s="536"/>
      <c r="NKQ1" s="536"/>
      <c r="NKR1" s="536"/>
      <c r="NKS1" s="536"/>
      <c r="NKT1" s="536"/>
      <c r="NKU1" s="536"/>
      <c r="NKV1" s="536"/>
      <c r="NKW1" s="536"/>
      <c r="NKX1" s="536"/>
      <c r="NKY1" s="536"/>
      <c r="NKZ1" s="536"/>
      <c r="NLA1" s="536"/>
      <c r="NLB1" s="536"/>
      <c r="NLC1" s="536"/>
      <c r="NLD1" s="536"/>
      <c r="NLE1" s="536"/>
      <c r="NLF1" s="536"/>
      <c r="NLG1" s="536"/>
      <c r="NLH1" s="536"/>
      <c r="NLI1" s="536"/>
      <c r="NLJ1" s="536"/>
      <c r="NLK1" s="536"/>
      <c r="NLL1" s="536"/>
      <c r="NLM1" s="536"/>
      <c r="NLN1" s="536"/>
      <c r="NLO1" s="536"/>
      <c r="NLP1" s="536"/>
      <c r="NLQ1" s="536"/>
      <c r="NLR1" s="536"/>
      <c r="NLS1" s="536"/>
      <c r="NLT1" s="536"/>
      <c r="NLU1" s="536"/>
      <c r="NLV1" s="536"/>
      <c r="NLW1" s="536"/>
      <c r="NLX1" s="536"/>
      <c r="NLY1" s="536"/>
      <c r="NLZ1" s="536"/>
      <c r="NMA1" s="536"/>
      <c r="NMB1" s="536"/>
      <c r="NMC1" s="536"/>
      <c r="NMD1" s="536"/>
      <c r="NME1" s="536"/>
      <c r="NMF1" s="536"/>
      <c r="NMG1" s="536"/>
      <c r="NMH1" s="536"/>
      <c r="NMI1" s="536"/>
      <c r="NMJ1" s="536"/>
      <c r="NMK1" s="536"/>
      <c r="NML1" s="536"/>
      <c r="NMM1" s="536"/>
      <c r="NMN1" s="536"/>
      <c r="NMO1" s="536"/>
      <c r="NMP1" s="536"/>
      <c r="NMQ1" s="536"/>
      <c r="NMR1" s="536"/>
      <c r="NMS1" s="536"/>
      <c r="NMT1" s="536"/>
      <c r="NMU1" s="536"/>
      <c r="NMV1" s="536"/>
      <c r="NMW1" s="536"/>
      <c r="NMX1" s="536"/>
      <c r="NMY1" s="536"/>
      <c r="NMZ1" s="536"/>
      <c r="NNA1" s="536"/>
      <c r="NNB1" s="536"/>
      <c r="NNC1" s="536"/>
      <c r="NND1" s="536"/>
      <c r="NNE1" s="536"/>
      <c r="NNF1" s="536"/>
      <c r="NNG1" s="536"/>
      <c r="NNH1" s="536"/>
      <c r="NNI1" s="536"/>
      <c r="NNJ1" s="536"/>
      <c r="NNK1" s="536"/>
      <c r="NNL1" s="536"/>
      <c r="NNM1" s="536"/>
      <c r="NNN1" s="536"/>
      <c r="NNO1" s="536"/>
      <c r="NNP1" s="536"/>
      <c r="NNQ1" s="536"/>
      <c r="NNR1" s="536"/>
      <c r="NNS1" s="536"/>
      <c r="NNT1" s="536"/>
      <c r="NNU1" s="536"/>
      <c r="NNV1" s="536"/>
      <c r="NNW1" s="536"/>
      <c r="NNX1" s="536"/>
      <c r="NNY1" s="536"/>
      <c r="NNZ1" s="536"/>
      <c r="NOA1" s="536"/>
      <c r="NOB1" s="536"/>
      <c r="NOC1" s="536"/>
      <c r="NOD1" s="536"/>
      <c r="NOE1" s="536"/>
      <c r="NOF1" s="536"/>
      <c r="NOG1" s="536"/>
      <c r="NOH1" s="536"/>
      <c r="NOI1" s="536"/>
      <c r="NOJ1" s="536"/>
      <c r="NOK1" s="536"/>
      <c r="NOL1" s="536"/>
      <c r="NOM1" s="536"/>
      <c r="NON1" s="536"/>
      <c r="NOO1" s="536"/>
      <c r="NOP1" s="536"/>
      <c r="NOQ1" s="536"/>
      <c r="NOR1" s="536"/>
      <c r="NOS1" s="536"/>
      <c r="NOT1" s="536"/>
      <c r="NOU1" s="536"/>
      <c r="NOV1" s="536"/>
      <c r="NOW1" s="536"/>
      <c r="NOX1" s="536"/>
      <c r="NOY1" s="536"/>
      <c r="NOZ1" s="536"/>
      <c r="NPA1" s="536"/>
      <c r="NPB1" s="536"/>
      <c r="NPC1" s="536"/>
      <c r="NPD1" s="536"/>
      <c r="NPE1" s="536"/>
      <c r="NPF1" s="536"/>
      <c r="NPG1" s="536"/>
      <c r="NPH1" s="536"/>
      <c r="NPI1" s="536"/>
      <c r="NPJ1" s="536"/>
      <c r="NPK1" s="536"/>
      <c r="NPL1" s="536"/>
      <c r="NPM1" s="536"/>
      <c r="NPN1" s="536"/>
      <c r="NPO1" s="536"/>
      <c r="NPP1" s="536"/>
      <c r="NPQ1" s="536"/>
      <c r="NPR1" s="536"/>
      <c r="NPS1" s="536"/>
      <c r="NPT1" s="536"/>
      <c r="NPU1" s="536"/>
      <c r="NPV1" s="536"/>
      <c r="NPW1" s="536"/>
      <c r="NPX1" s="536"/>
      <c r="NPY1" s="536"/>
      <c r="NPZ1" s="536"/>
      <c r="NQA1" s="536"/>
      <c r="NQB1" s="536"/>
      <c r="NQC1" s="536"/>
      <c r="NQD1" s="536"/>
      <c r="NQE1" s="536"/>
      <c r="NQF1" s="536"/>
      <c r="NQG1" s="536"/>
      <c r="NQH1" s="536"/>
      <c r="NQI1" s="536"/>
      <c r="NQJ1" s="536"/>
      <c r="NQK1" s="536"/>
      <c r="NQL1" s="536"/>
      <c r="NQM1" s="536"/>
      <c r="NQN1" s="536"/>
      <c r="NQO1" s="536"/>
      <c r="NQP1" s="536"/>
      <c r="NQQ1" s="536"/>
      <c r="NQR1" s="536"/>
      <c r="NQS1" s="536"/>
      <c r="NQT1" s="536"/>
      <c r="NQU1" s="536"/>
      <c r="NQV1" s="536"/>
      <c r="NQW1" s="536"/>
      <c r="NQX1" s="536"/>
      <c r="NQY1" s="536"/>
      <c r="NQZ1" s="536"/>
      <c r="NRA1" s="536"/>
      <c r="NRB1" s="536"/>
      <c r="NRC1" s="536"/>
      <c r="NRD1" s="536"/>
      <c r="NRE1" s="536"/>
      <c r="NRF1" s="536"/>
      <c r="NRG1" s="536"/>
      <c r="NRH1" s="536"/>
      <c r="NRI1" s="536"/>
      <c r="NRJ1" s="536"/>
      <c r="NRK1" s="536"/>
      <c r="NRL1" s="536"/>
      <c r="NRM1" s="536"/>
      <c r="NRN1" s="536"/>
      <c r="NRO1" s="536"/>
      <c r="NRP1" s="536"/>
      <c r="NRQ1" s="536"/>
      <c r="NRR1" s="536"/>
      <c r="NRS1" s="536"/>
      <c r="NRT1" s="536"/>
      <c r="NRU1" s="536"/>
      <c r="NRV1" s="536"/>
      <c r="NRW1" s="536"/>
      <c r="NRX1" s="536"/>
      <c r="NRY1" s="536"/>
      <c r="NRZ1" s="536"/>
      <c r="NSA1" s="536"/>
      <c r="NSB1" s="536"/>
      <c r="NSC1" s="536"/>
      <c r="NSD1" s="536"/>
      <c r="NSE1" s="536"/>
      <c r="NSF1" s="536"/>
      <c r="NSG1" s="536"/>
      <c r="NSH1" s="536"/>
      <c r="NSI1" s="536"/>
      <c r="NSJ1" s="536"/>
      <c r="NSK1" s="536"/>
      <c r="NSL1" s="536"/>
      <c r="NSM1" s="536"/>
      <c r="NSN1" s="536"/>
      <c r="NSO1" s="536"/>
      <c r="NSP1" s="536"/>
      <c r="NSQ1" s="536"/>
      <c r="NSR1" s="536"/>
      <c r="NSS1" s="536"/>
      <c r="NST1" s="536"/>
      <c r="NSU1" s="536"/>
      <c r="NSV1" s="536"/>
      <c r="NSW1" s="536"/>
      <c r="NSX1" s="536"/>
      <c r="NSY1" s="536"/>
      <c r="NSZ1" s="536"/>
      <c r="NTA1" s="536"/>
      <c r="NTB1" s="536"/>
      <c r="NTC1" s="536"/>
      <c r="NTD1" s="536"/>
      <c r="NTE1" s="536"/>
      <c r="NTF1" s="536"/>
      <c r="NTG1" s="536"/>
      <c r="NTH1" s="536"/>
      <c r="NTI1" s="536"/>
      <c r="NTJ1" s="536"/>
      <c r="NTK1" s="536"/>
      <c r="NTL1" s="536"/>
      <c r="NTM1" s="536"/>
      <c r="NTN1" s="536"/>
      <c r="NTO1" s="536"/>
      <c r="NTP1" s="536"/>
      <c r="NTQ1" s="536"/>
      <c r="NTR1" s="536"/>
      <c r="NTS1" s="536"/>
      <c r="NTT1" s="536"/>
      <c r="NTU1" s="536"/>
      <c r="NTV1" s="536"/>
      <c r="NTW1" s="536"/>
      <c r="NTX1" s="536"/>
      <c r="NTY1" s="536"/>
      <c r="NTZ1" s="536"/>
      <c r="NUA1" s="536"/>
      <c r="NUB1" s="536"/>
      <c r="NUC1" s="536"/>
      <c r="NUD1" s="536"/>
      <c r="NUE1" s="536"/>
      <c r="NUF1" s="536"/>
      <c r="NUG1" s="536"/>
      <c r="NUH1" s="536"/>
      <c r="NUI1" s="536"/>
      <c r="NUJ1" s="536"/>
      <c r="NUK1" s="536"/>
      <c r="NUL1" s="536"/>
      <c r="NUM1" s="536"/>
      <c r="NUN1" s="536"/>
      <c r="NUO1" s="536"/>
      <c r="NUP1" s="536"/>
      <c r="NUQ1" s="536"/>
      <c r="NUR1" s="536"/>
      <c r="NUS1" s="536"/>
      <c r="NUT1" s="536"/>
      <c r="NUU1" s="536"/>
      <c r="NUV1" s="536"/>
      <c r="NUW1" s="536"/>
      <c r="NUX1" s="536"/>
      <c r="NUY1" s="536"/>
      <c r="NUZ1" s="536"/>
      <c r="NVA1" s="536"/>
      <c r="NVB1" s="536"/>
      <c r="NVC1" s="536"/>
      <c r="NVD1" s="536"/>
      <c r="NVE1" s="536"/>
      <c r="NVF1" s="536"/>
      <c r="NVG1" s="536"/>
      <c r="NVH1" s="536"/>
      <c r="NVI1" s="536"/>
      <c r="NVJ1" s="536"/>
      <c r="NVK1" s="536"/>
      <c r="NVL1" s="536"/>
      <c r="NVM1" s="536"/>
      <c r="NVN1" s="536"/>
      <c r="NVO1" s="536"/>
      <c r="NVP1" s="536"/>
      <c r="NVQ1" s="536"/>
      <c r="NVR1" s="536"/>
      <c r="NVS1" s="536"/>
      <c r="NVT1" s="536"/>
      <c r="NVU1" s="536"/>
      <c r="NVV1" s="536"/>
      <c r="NVW1" s="536"/>
      <c r="NVX1" s="536"/>
      <c r="NVY1" s="536"/>
      <c r="NVZ1" s="536"/>
      <c r="NWA1" s="536"/>
      <c r="NWB1" s="536"/>
      <c r="NWC1" s="536"/>
      <c r="NWD1" s="536"/>
      <c r="NWE1" s="536"/>
      <c r="NWF1" s="536"/>
      <c r="NWG1" s="536"/>
      <c r="NWH1" s="536"/>
      <c r="NWI1" s="536"/>
      <c r="NWJ1" s="536"/>
      <c r="NWK1" s="536"/>
      <c r="NWL1" s="536"/>
      <c r="NWM1" s="536"/>
      <c r="NWN1" s="536"/>
      <c r="NWO1" s="536"/>
      <c r="NWP1" s="536"/>
      <c r="NWQ1" s="536"/>
      <c r="NWR1" s="536"/>
      <c r="NWS1" s="536"/>
      <c r="NWT1" s="536"/>
      <c r="NWU1" s="536"/>
      <c r="NWV1" s="536"/>
      <c r="NWW1" s="536"/>
      <c r="NWX1" s="536"/>
      <c r="NWY1" s="536"/>
      <c r="NWZ1" s="536"/>
      <c r="NXA1" s="536"/>
      <c r="NXB1" s="536"/>
      <c r="NXC1" s="536"/>
      <c r="NXD1" s="536"/>
      <c r="NXE1" s="536"/>
      <c r="NXF1" s="536"/>
      <c r="NXG1" s="536"/>
      <c r="NXH1" s="536"/>
      <c r="NXI1" s="536"/>
      <c r="NXJ1" s="536"/>
      <c r="NXK1" s="536"/>
      <c r="NXL1" s="536"/>
      <c r="NXM1" s="536"/>
      <c r="NXN1" s="536"/>
      <c r="NXO1" s="536"/>
      <c r="NXP1" s="536"/>
      <c r="NXQ1" s="536"/>
      <c r="NXR1" s="536"/>
      <c r="NXS1" s="536"/>
      <c r="NXT1" s="536"/>
      <c r="NXU1" s="536"/>
      <c r="NXV1" s="536"/>
      <c r="NXW1" s="536"/>
      <c r="NXX1" s="536"/>
      <c r="NXY1" s="536"/>
      <c r="NXZ1" s="536"/>
      <c r="NYA1" s="536"/>
      <c r="NYB1" s="536"/>
      <c r="NYC1" s="536"/>
      <c r="NYD1" s="536"/>
      <c r="NYE1" s="536"/>
      <c r="NYF1" s="536"/>
      <c r="NYG1" s="536"/>
      <c r="NYH1" s="536"/>
      <c r="NYI1" s="536"/>
      <c r="NYJ1" s="536"/>
      <c r="NYK1" s="536"/>
      <c r="NYL1" s="536"/>
      <c r="NYM1" s="536"/>
      <c r="NYN1" s="536"/>
      <c r="NYO1" s="536"/>
      <c r="NYP1" s="536"/>
      <c r="NYQ1" s="536"/>
      <c r="NYR1" s="536"/>
      <c r="NYS1" s="536"/>
      <c r="NYT1" s="536"/>
      <c r="NYU1" s="536"/>
      <c r="NYV1" s="536"/>
      <c r="NYW1" s="536"/>
      <c r="NYX1" s="536"/>
      <c r="NYY1" s="536"/>
      <c r="NYZ1" s="536"/>
      <c r="NZA1" s="536"/>
      <c r="NZB1" s="536"/>
      <c r="NZC1" s="536"/>
      <c r="NZD1" s="536"/>
      <c r="NZE1" s="536"/>
      <c r="NZF1" s="536"/>
      <c r="NZG1" s="536"/>
      <c r="NZH1" s="536"/>
      <c r="NZI1" s="536"/>
      <c r="NZJ1" s="536"/>
      <c r="NZK1" s="536"/>
      <c r="NZL1" s="536"/>
      <c r="NZM1" s="536"/>
      <c r="NZN1" s="536"/>
      <c r="NZO1" s="536"/>
      <c r="NZP1" s="536"/>
      <c r="NZQ1" s="536"/>
      <c r="NZR1" s="536"/>
      <c r="NZS1" s="536"/>
      <c r="NZT1" s="536"/>
      <c r="NZU1" s="536"/>
      <c r="NZV1" s="536"/>
      <c r="NZW1" s="536"/>
      <c r="NZX1" s="536"/>
      <c r="NZY1" s="536"/>
      <c r="NZZ1" s="536"/>
      <c r="OAA1" s="536"/>
      <c r="OAB1" s="536"/>
      <c r="OAC1" s="536"/>
      <c r="OAD1" s="536"/>
      <c r="OAE1" s="536"/>
      <c r="OAF1" s="536"/>
      <c r="OAG1" s="536"/>
      <c r="OAH1" s="536"/>
      <c r="OAI1" s="536"/>
      <c r="OAJ1" s="536"/>
      <c r="OAK1" s="536"/>
      <c r="OAL1" s="536"/>
      <c r="OAM1" s="536"/>
      <c r="OAN1" s="536"/>
      <c r="OAO1" s="536"/>
      <c r="OAP1" s="536"/>
      <c r="OAQ1" s="536"/>
      <c r="OAR1" s="536"/>
      <c r="OAS1" s="536"/>
      <c r="OAT1" s="536"/>
      <c r="OAU1" s="536"/>
      <c r="OAV1" s="536"/>
      <c r="OAW1" s="536"/>
      <c r="OAX1" s="536"/>
      <c r="OAY1" s="536"/>
      <c r="OAZ1" s="536"/>
      <c r="OBA1" s="536"/>
      <c r="OBB1" s="536"/>
      <c r="OBC1" s="536"/>
      <c r="OBD1" s="536"/>
      <c r="OBE1" s="536"/>
      <c r="OBF1" s="536"/>
      <c r="OBG1" s="536"/>
      <c r="OBH1" s="536"/>
      <c r="OBI1" s="536"/>
      <c r="OBJ1" s="536"/>
      <c r="OBK1" s="536"/>
      <c r="OBL1" s="536"/>
      <c r="OBM1" s="536"/>
      <c r="OBN1" s="536"/>
      <c r="OBO1" s="536"/>
      <c r="OBP1" s="536"/>
      <c r="OBQ1" s="536"/>
      <c r="OBR1" s="536"/>
      <c r="OBS1" s="536"/>
      <c r="OBT1" s="536"/>
      <c r="OBU1" s="536"/>
      <c r="OBV1" s="536"/>
      <c r="OBW1" s="536"/>
      <c r="OBX1" s="536"/>
      <c r="OBY1" s="536"/>
      <c r="OBZ1" s="536"/>
      <c r="OCA1" s="536"/>
      <c r="OCB1" s="536"/>
      <c r="OCC1" s="536"/>
      <c r="OCD1" s="536"/>
      <c r="OCE1" s="536"/>
      <c r="OCF1" s="536"/>
      <c r="OCG1" s="536"/>
      <c r="OCH1" s="536"/>
      <c r="OCI1" s="536"/>
      <c r="OCJ1" s="536"/>
      <c r="OCK1" s="536"/>
      <c r="OCL1" s="536"/>
      <c r="OCM1" s="536"/>
      <c r="OCN1" s="536"/>
      <c r="OCO1" s="536"/>
      <c r="OCP1" s="536"/>
      <c r="OCQ1" s="536"/>
      <c r="OCR1" s="536"/>
      <c r="OCS1" s="536"/>
      <c r="OCT1" s="536"/>
      <c r="OCU1" s="536"/>
      <c r="OCV1" s="536"/>
      <c r="OCW1" s="536"/>
      <c r="OCX1" s="536"/>
      <c r="OCY1" s="536"/>
      <c r="OCZ1" s="536"/>
      <c r="ODA1" s="536"/>
      <c r="ODB1" s="536"/>
      <c r="ODC1" s="536"/>
      <c r="ODD1" s="536"/>
      <c r="ODE1" s="536"/>
      <c r="ODF1" s="536"/>
      <c r="ODG1" s="536"/>
      <c r="ODH1" s="536"/>
      <c r="ODI1" s="536"/>
      <c r="ODJ1" s="536"/>
      <c r="ODK1" s="536"/>
      <c r="ODL1" s="536"/>
      <c r="ODM1" s="536"/>
      <c r="ODN1" s="536"/>
      <c r="ODO1" s="536"/>
      <c r="ODP1" s="536"/>
      <c r="ODQ1" s="536"/>
      <c r="ODR1" s="536"/>
      <c r="ODS1" s="536"/>
      <c r="ODT1" s="536"/>
      <c r="ODU1" s="536"/>
      <c r="ODV1" s="536"/>
      <c r="ODW1" s="536"/>
      <c r="ODX1" s="536"/>
      <c r="ODY1" s="536"/>
      <c r="ODZ1" s="536"/>
      <c r="OEA1" s="536"/>
      <c r="OEB1" s="536"/>
      <c r="OEC1" s="536"/>
      <c r="OED1" s="536"/>
      <c r="OEE1" s="536"/>
      <c r="OEF1" s="536"/>
      <c r="OEG1" s="536"/>
      <c r="OEH1" s="536"/>
      <c r="OEI1" s="536"/>
      <c r="OEJ1" s="536"/>
      <c r="OEK1" s="536"/>
      <c r="OEL1" s="536"/>
      <c r="OEM1" s="536"/>
      <c r="OEN1" s="536"/>
      <c r="OEO1" s="536"/>
      <c r="OEP1" s="536"/>
      <c r="OEQ1" s="536"/>
      <c r="OER1" s="536"/>
      <c r="OES1" s="536"/>
      <c r="OET1" s="536"/>
      <c r="OEU1" s="536"/>
      <c r="OEV1" s="536"/>
      <c r="OEW1" s="536"/>
      <c r="OEX1" s="536"/>
      <c r="OEY1" s="536"/>
      <c r="OEZ1" s="536"/>
      <c r="OFA1" s="536"/>
      <c r="OFB1" s="536"/>
      <c r="OFC1" s="536"/>
      <c r="OFD1" s="536"/>
      <c r="OFE1" s="536"/>
      <c r="OFF1" s="536"/>
      <c r="OFG1" s="536"/>
      <c r="OFH1" s="536"/>
      <c r="OFI1" s="536"/>
      <c r="OFJ1" s="536"/>
      <c r="OFK1" s="536"/>
      <c r="OFL1" s="536"/>
      <c r="OFM1" s="536"/>
      <c r="OFN1" s="536"/>
      <c r="OFO1" s="536"/>
      <c r="OFP1" s="536"/>
      <c r="OFQ1" s="536"/>
      <c r="OFR1" s="536"/>
      <c r="OFS1" s="536"/>
      <c r="OFT1" s="536"/>
      <c r="OFU1" s="536"/>
      <c r="OFV1" s="536"/>
      <c r="OFW1" s="536"/>
      <c r="OFX1" s="536"/>
      <c r="OFY1" s="536"/>
      <c r="OFZ1" s="536"/>
      <c r="OGA1" s="536"/>
      <c r="OGB1" s="536"/>
      <c r="OGC1" s="536"/>
      <c r="OGD1" s="536"/>
      <c r="OGE1" s="536"/>
      <c r="OGF1" s="536"/>
      <c r="OGG1" s="536"/>
      <c r="OGH1" s="536"/>
      <c r="OGI1" s="536"/>
      <c r="OGJ1" s="536"/>
      <c r="OGK1" s="536"/>
      <c r="OGL1" s="536"/>
      <c r="OGM1" s="536"/>
      <c r="OGN1" s="536"/>
      <c r="OGO1" s="536"/>
      <c r="OGP1" s="536"/>
      <c r="OGQ1" s="536"/>
      <c r="OGR1" s="536"/>
      <c r="OGS1" s="536"/>
      <c r="OGT1" s="536"/>
      <c r="OGU1" s="536"/>
      <c r="OGV1" s="536"/>
      <c r="OGW1" s="536"/>
      <c r="OGX1" s="536"/>
      <c r="OGY1" s="536"/>
      <c r="OGZ1" s="536"/>
      <c r="OHA1" s="536"/>
      <c r="OHB1" s="536"/>
      <c r="OHC1" s="536"/>
      <c r="OHD1" s="536"/>
      <c r="OHE1" s="536"/>
      <c r="OHF1" s="536"/>
      <c r="OHG1" s="536"/>
      <c r="OHH1" s="536"/>
      <c r="OHI1" s="536"/>
      <c r="OHJ1" s="536"/>
      <c r="OHK1" s="536"/>
      <c r="OHL1" s="536"/>
      <c r="OHM1" s="536"/>
      <c r="OHN1" s="536"/>
      <c r="OHO1" s="536"/>
      <c r="OHP1" s="536"/>
      <c r="OHQ1" s="536"/>
      <c r="OHR1" s="536"/>
      <c r="OHS1" s="536"/>
      <c r="OHT1" s="536"/>
      <c r="OHU1" s="536"/>
      <c r="OHV1" s="536"/>
      <c r="OHW1" s="536"/>
      <c r="OHX1" s="536"/>
      <c r="OHY1" s="536"/>
      <c r="OHZ1" s="536"/>
      <c r="OIA1" s="536"/>
      <c r="OIB1" s="536"/>
      <c r="OIC1" s="536"/>
      <c r="OID1" s="536"/>
      <c r="OIE1" s="536"/>
      <c r="OIF1" s="536"/>
      <c r="OIG1" s="536"/>
      <c r="OIH1" s="536"/>
      <c r="OII1" s="536"/>
      <c r="OIJ1" s="536"/>
      <c r="OIK1" s="536"/>
      <c r="OIL1" s="536"/>
      <c r="OIM1" s="536"/>
      <c r="OIN1" s="536"/>
      <c r="OIO1" s="536"/>
      <c r="OIP1" s="536"/>
      <c r="OIQ1" s="536"/>
      <c r="OIR1" s="536"/>
      <c r="OIS1" s="536"/>
      <c r="OIT1" s="536"/>
      <c r="OIU1" s="536"/>
      <c r="OIV1" s="536"/>
      <c r="OIW1" s="536"/>
      <c r="OIX1" s="536"/>
      <c r="OIY1" s="536"/>
      <c r="OIZ1" s="536"/>
      <c r="OJA1" s="536"/>
      <c r="OJB1" s="536"/>
      <c r="OJC1" s="536"/>
      <c r="OJD1" s="536"/>
      <c r="OJE1" s="536"/>
      <c r="OJF1" s="536"/>
      <c r="OJG1" s="536"/>
      <c r="OJH1" s="536"/>
      <c r="OJI1" s="536"/>
      <c r="OJJ1" s="536"/>
      <c r="OJK1" s="536"/>
      <c r="OJL1" s="536"/>
      <c r="OJM1" s="536"/>
      <c r="OJN1" s="536"/>
      <c r="OJO1" s="536"/>
      <c r="OJP1" s="536"/>
      <c r="OJQ1" s="536"/>
      <c r="OJR1" s="536"/>
      <c r="OJS1" s="536"/>
      <c r="OJT1" s="536"/>
      <c r="OJU1" s="536"/>
      <c r="OJV1" s="536"/>
      <c r="OJW1" s="536"/>
      <c r="OJX1" s="536"/>
      <c r="OJY1" s="536"/>
      <c r="OJZ1" s="536"/>
      <c r="OKA1" s="536"/>
      <c r="OKB1" s="536"/>
      <c r="OKC1" s="536"/>
      <c r="OKD1" s="536"/>
      <c r="OKE1" s="536"/>
      <c r="OKF1" s="536"/>
      <c r="OKG1" s="536"/>
      <c r="OKH1" s="536"/>
      <c r="OKI1" s="536"/>
      <c r="OKJ1" s="536"/>
      <c r="OKK1" s="536"/>
      <c r="OKL1" s="536"/>
      <c r="OKM1" s="536"/>
      <c r="OKN1" s="536"/>
      <c r="OKO1" s="536"/>
      <c r="OKP1" s="536"/>
      <c r="OKQ1" s="536"/>
      <c r="OKR1" s="536"/>
      <c r="OKS1" s="536"/>
      <c r="OKT1" s="536"/>
      <c r="OKU1" s="536"/>
      <c r="OKV1" s="536"/>
      <c r="OKW1" s="536"/>
      <c r="OKX1" s="536"/>
      <c r="OKY1" s="536"/>
      <c r="OKZ1" s="536"/>
      <c r="OLA1" s="536"/>
      <c r="OLB1" s="536"/>
      <c r="OLC1" s="536"/>
      <c r="OLD1" s="536"/>
      <c r="OLE1" s="536"/>
      <c r="OLF1" s="536"/>
      <c r="OLG1" s="536"/>
      <c r="OLH1" s="536"/>
      <c r="OLI1" s="536"/>
      <c r="OLJ1" s="536"/>
      <c r="OLK1" s="536"/>
      <c r="OLL1" s="536"/>
      <c r="OLM1" s="536"/>
      <c r="OLN1" s="536"/>
      <c r="OLO1" s="536"/>
      <c r="OLP1" s="536"/>
      <c r="OLQ1" s="536"/>
      <c r="OLR1" s="536"/>
      <c r="OLS1" s="536"/>
      <c r="OLT1" s="536"/>
      <c r="OLU1" s="536"/>
      <c r="OLV1" s="536"/>
      <c r="OLW1" s="536"/>
      <c r="OLX1" s="536"/>
      <c r="OLY1" s="536"/>
      <c r="OLZ1" s="536"/>
      <c r="OMA1" s="536"/>
      <c r="OMB1" s="536"/>
      <c r="OMC1" s="536"/>
      <c r="OMD1" s="536"/>
      <c r="OME1" s="536"/>
      <c r="OMF1" s="536"/>
      <c r="OMG1" s="536"/>
      <c r="OMH1" s="536"/>
      <c r="OMI1" s="536"/>
      <c r="OMJ1" s="536"/>
      <c r="OMK1" s="536"/>
      <c r="OML1" s="536"/>
      <c r="OMM1" s="536"/>
      <c r="OMN1" s="536"/>
      <c r="OMO1" s="536"/>
      <c r="OMP1" s="536"/>
      <c r="OMQ1" s="536"/>
      <c r="OMR1" s="536"/>
      <c r="OMS1" s="536"/>
      <c r="OMT1" s="536"/>
      <c r="OMU1" s="536"/>
      <c r="OMV1" s="536"/>
      <c r="OMW1" s="536"/>
      <c r="OMX1" s="536"/>
      <c r="OMY1" s="536"/>
      <c r="OMZ1" s="536"/>
      <c r="ONA1" s="536"/>
      <c r="ONB1" s="536"/>
      <c r="ONC1" s="536"/>
      <c r="OND1" s="536"/>
      <c r="ONE1" s="536"/>
      <c r="ONF1" s="536"/>
      <c r="ONG1" s="536"/>
      <c r="ONH1" s="536"/>
      <c r="ONI1" s="536"/>
      <c r="ONJ1" s="536"/>
      <c r="ONK1" s="536"/>
      <c r="ONL1" s="536"/>
      <c r="ONM1" s="536"/>
      <c r="ONN1" s="536"/>
      <c r="ONO1" s="536"/>
      <c r="ONP1" s="536"/>
      <c r="ONQ1" s="536"/>
      <c r="ONR1" s="536"/>
      <c r="ONS1" s="536"/>
      <c r="ONT1" s="536"/>
      <c r="ONU1" s="536"/>
      <c r="ONV1" s="536"/>
      <c r="ONW1" s="536"/>
      <c r="ONX1" s="536"/>
      <c r="ONY1" s="536"/>
      <c r="ONZ1" s="536"/>
      <c r="OOA1" s="536"/>
      <c r="OOB1" s="536"/>
      <c r="OOC1" s="536"/>
      <c r="OOD1" s="536"/>
      <c r="OOE1" s="536"/>
      <c r="OOF1" s="536"/>
      <c r="OOG1" s="536"/>
      <c r="OOH1" s="536"/>
      <c r="OOI1" s="536"/>
      <c r="OOJ1" s="536"/>
      <c r="OOK1" s="536"/>
      <c r="OOL1" s="536"/>
      <c r="OOM1" s="536"/>
      <c r="OON1" s="536"/>
      <c r="OOO1" s="536"/>
      <c r="OOP1" s="536"/>
      <c r="OOQ1" s="536"/>
      <c r="OOR1" s="536"/>
      <c r="OOS1" s="536"/>
      <c r="OOT1" s="536"/>
      <c r="OOU1" s="536"/>
      <c r="OOV1" s="536"/>
      <c r="OOW1" s="536"/>
      <c r="OOX1" s="536"/>
      <c r="OOY1" s="536"/>
      <c r="OOZ1" s="536"/>
      <c r="OPA1" s="536"/>
      <c r="OPB1" s="536"/>
      <c r="OPC1" s="536"/>
      <c r="OPD1" s="536"/>
      <c r="OPE1" s="536"/>
      <c r="OPF1" s="536"/>
      <c r="OPG1" s="536"/>
      <c r="OPH1" s="536"/>
      <c r="OPI1" s="536"/>
      <c r="OPJ1" s="536"/>
      <c r="OPK1" s="536"/>
      <c r="OPL1" s="536"/>
      <c r="OPM1" s="536"/>
      <c r="OPN1" s="536"/>
      <c r="OPO1" s="536"/>
      <c r="OPP1" s="536"/>
      <c r="OPQ1" s="536"/>
      <c r="OPR1" s="536"/>
      <c r="OPS1" s="536"/>
      <c r="OPT1" s="536"/>
      <c r="OPU1" s="536"/>
      <c r="OPV1" s="536"/>
      <c r="OPW1" s="536"/>
      <c r="OPX1" s="536"/>
      <c r="OPY1" s="536"/>
      <c r="OPZ1" s="536"/>
      <c r="OQA1" s="536"/>
      <c r="OQB1" s="536"/>
      <c r="OQC1" s="536"/>
      <c r="OQD1" s="536"/>
      <c r="OQE1" s="536"/>
      <c r="OQF1" s="536"/>
      <c r="OQG1" s="536"/>
      <c r="OQH1" s="536"/>
      <c r="OQI1" s="536"/>
      <c r="OQJ1" s="536"/>
      <c r="OQK1" s="536"/>
      <c r="OQL1" s="536"/>
      <c r="OQM1" s="536"/>
      <c r="OQN1" s="536"/>
      <c r="OQO1" s="536"/>
      <c r="OQP1" s="536"/>
      <c r="OQQ1" s="536"/>
      <c r="OQR1" s="536"/>
      <c r="OQS1" s="536"/>
      <c r="OQT1" s="536"/>
      <c r="OQU1" s="536"/>
      <c r="OQV1" s="536"/>
      <c r="OQW1" s="536"/>
      <c r="OQX1" s="536"/>
      <c r="OQY1" s="536"/>
      <c r="OQZ1" s="536"/>
      <c r="ORA1" s="536"/>
      <c r="ORB1" s="536"/>
      <c r="ORC1" s="536"/>
      <c r="ORD1" s="536"/>
      <c r="ORE1" s="536"/>
      <c r="ORF1" s="536"/>
      <c r="ORG1" s="536"/>
      <c r="ORH1" s="536"/>
      <c r="ORI1" s="536"/>
      <c r="ORJ1" s="536"/>
      <c r="ORK1" s="536"/>
      <c r="ORL1" s="536"/>
      <c r="ORM1" s="536"/>
      <c r="ORN1" s="536"/>
      <c r="ORO1" s="536"/>
      <c r="ORP1" s="536"/>
      <c r="ORQ1" s="536"/>
      <c r="ORR1" s="536"/>
      <c r="ORS1" s="536"/>
      <c r="ORT1" s="536"/>
      <c r="ORU1" s="536"/>
      <c r="ORV1" s="536"/>
      <c r="ORW1" s="536"/>
      <c r="ORX1" s="536"/>
      <c r="ORY1" s="536"/>
      <c r="ORZ1" s="536"/>
      <c r="OSA1" s="536"/>
      <c r="OSB1" s="536"/>
      <c r="OSC1" s="536"/>
      <c r="OSD1" s="536"/>
      <c r="OSE1" s="536"/>
      <c r="OSF1" s="536"/>
      <c r="OSG1" s="536"/>
      <c r="OSH1" s="536"/>
      <c r="OSI1" s="536"/>
      <c r="OSJ1" s="536"/>
      <c r="OSK1" s="536"/>
      <c r="OSL1" s="536"/>
      <c r="OSM1" s="536"/>
      <c r="OSN1" s="536"/>
      <c r="OSO1" s="536"/>
      <c r="OSP1" s="536"/>
      <c r="OSQ1" s="536"/>
      <c r="OSR1" s="536"/>
      <c r="OSS1" s="536"/>
      <c r="OST1" s="536"/>
      <c r="OSU1" s="536"/>
      <c r="OSV1" s="536"/>
      <c r="OSW1" s="536"/>
      <c r="OSX1" s="536"/>
      <c r="OSY1" s="536"/>
      <c r="OSZ1" s="536"/>
      <c r="OTA1" s="536"/>
      <c r="OTB1" s="536"/>
      <c r="OTC1" s="536"/>
      <c r="OTD1" s="536"/>
      <c r="OTE1" s="536"/>
      <c r="OTF1" s="536"/>
      <c r="OTG1" s="536"/>
      <c r="OTH1" s="536"/>
      <c r="OTI1" s="536"/>
      <c r="OTJ1" s="536"/>
      <c r="OTK1" s="536"/>
      <c r="OTL1" s="536"/>
      <c r="OTM1" s="536"/>
      <c r="OTN1" s="536"/>
      <c r="OTO1" s="536"/>
      <c r="OTP1" s="536"/>
      <c r="OTQ1" s="536"/>
      <c r="OTR1" s="536"/>
      <c r="OTS1" s="536"/>
      <c r="OTT1" s="536"/>
      <c r="OTU1" s="536"/>
      <c r="OTV1" s="536"/>
      <c r="OTW1" s="536"/>
      <c r="OTX1" s="536"/>
      <c r="OTY1" s="536"/>
      <c r="OTZ1" s="536"/>
      <c r="OUA1" s="536"/>
      <c r="OUB1" s="536"/>
      <c r="OUC1" s="536"/>
      <c r="OUD1" s="536"/>
      <c r="OUE1" s="536"/>
      <c r="OUF1" s="536"/>
      <c r="OUG1" s="536"/>
      <c r="OUH1" s="536"/>
      <c r="OUI1" s="536"/>
      <c r="OUJ1" s="536"/>
      <c r="OUK1" s="536"/>
      <c r="OUL1" s="536"/>
      <c r="OUM1" s="536"/>
      <c r="OUN1" s="536"/>
      <c r="OUO1" s="536"/>
      <c r="OUP1" s="536"/>
      <c r="OUQ1" s="536"/>
      <c r="OUR1" s="536"/>
      <c r="OUS1" s="536"/>
      <c r="OUT1" s="536"/>
      <c r="OUU1" s="536"/>
      <c r="OUV1" s="536"/>
      <c r="OUW1" s="536"/>
      <c r="OUX1" s="536"/>
      <c r="OUY1" s="536"/>
      <c r="OUZ1" s="536"/>
      <c r="OVA1" s="536"/>
      <c r="OVB1" s="536"/>
      <c r="OVC1" s="536"/>
      <c r="OVD1" s="536"/>
      <c r="OVE1" s="536"/>
      <c r="OVF1" s="536"/>
      <c r="OVG1" s="536"/>
      <c r="OVH1" s="536"/>
      <c r="OVI1" s="536"/>
      <c r="OVJ1" s="536"/>
      <c r="OVK1" s="536"/>
      <c r="OVL1" s="536"/>
      <c r="OVM1" s="536"/>
      <c r="OVN1" s="536"/>
      <c r="OVO1" s="536"/>
      <c r="OVP1" s="536"/>
      <c r="OVQ1" s="536"/>
      <c r="OVR1" s="536"/>
      <c r="OVS1" s="536"/>
      <c r="OVT1" s="536"/>
      <c r="OVU1" s="536"/>
      <c r="OVV1" s="536"/>
      <c r="OVW1" s="536"/>
      <c r="OVX1" s="536"/>
      <c r="OVY1" s="536"/>
      <c r="OVZ1" s="536"/>
      <c r="OWA1" s="536"/>
      <c r="OWB1" s="536"/>
      <c r="OWC1" s="536"/>
      <c r="OWD1" s="536"/>
      <c r="OWE1" s="536"/>
      <c r="OWF1" s="536"/>
      <c r="OWG1" s="536"/>
      <c r="OWH1" s="536"/>
      <c r="OWI1" s="536"/>
      <c r="OWJ1" s="536"/>
      <c r="OWK1" s="536"/>
      <c r="OWL1" s="536"/>
      <c r="OWM1" s="536"/>
      <c r="OWN1" s="536"/>
      <c r="OWO1" s="536"/>
      <c r="OWP1" s="536"/>
      <c r="OWQ1" s="536"/>
      <c r="OWR1" s="536"/>
      <c r="OWS1" s="536"/>
      <c r="OWT1" s="536"/>
      <c r="OWU1" s="536"/>
      <c r="OWV1" s="536"/>
      <c r="OWW1" s="536"/>
      <c r="OWX1" s="536"/>
      <c r="OWY1" s="536"/>
      <c r="OWZ1" s="536"/>
      <c r="OXA1" s="536"/>
      <c r="OXB1" s="536"/>
      <c r="OXC1" s="536"/>
      <c r="OXD1" s="536"/>
      <c r="OXE1" s="536"/>
      <c r="OXF1" s="536"/>
      <c r="OXG1" s="536"/>
      <c r="OXH1" s="536"/>
      <c r="OXI1" s="536"/>
      <c r="OXJ1" s="536"/>
      <c r="OXK1" s="536"/>
      <c r="OXL1" s="536"/>
      <c r="OXM1" s="536"/>
      <c r="OXN1" s="536"/>
      <c r="OXO1" s="536"/>
      <c r="OXP1" s="536"/>
      <c r="OXQ1" s="536"/>
      <c r="OXR1" s="536"/>
      <c r="OXS1" s="536"/>
      <c r="OXT1" s="536"/>
      <c r="OXU1" s="536"/>
      <c r="OXV1" s="536"/>
      <c r="OXW1" s="536"/>
      <c r="OXX1" s="536"/>
      <c r="OXY1" s="536"/>
      <c r="OXZ1" s="536"/>
      <c r="OYA1" s="536"/>
      <c r="OYB1" s="536"/>
      <c r="OYC1" s="536"/>
      <c r="OYD1" s="536"/>
      <c r="OYE1" s="536"/>
      <c r="OYF1" s="536"/>
      <c r="OYG1" s="536"/>
      <c r="OYH1" s="536"/>
      <c r="OYI1" s="536"/>
      <c r="OYJ1" s="536"/>
      <c r="OYK1" s="536"/>
      <c r="OYL1" s="536"/>
      <c r="OYM1" s="536"/>
      <c r="OYN1" s="536"/>
      <c r="OYO1" s="536"/>
      <c r="OYP1" s="536"/>
      <c r="OYQ1" s="536"/>
      <c r="OYR1" s="536"/>
      <c r="OYS1" s="536"/>
      <c r="OYT1" s="536"/>
      <c r="OYU1" s="536"/>
      <c r="OYV1" s="536"/>
      <c r="OYW1" s="536"/>
      <c r="OYX1" s="536"/>
      <c r="OYY1" s="536"/>
      <c r="OYZ1" s="536"/>
      <c r="OZA1" s="536"/>
      <c r="OZB1" s="536"/>
      <c r="OZC1" s="536"/>
      <c r="OZD1" s="536"/>
      <c r="OZE1" s="536"/>
      <c r="OZF1" s="536"/>
      <c r="OZG1" s="536"/>
      <c r="OZH1" s="536"/>
      <c r="OZI1" s="536"/>
      <c r="OZJ1" s="536"/>
      <c r="OZK1" s="536"/>
      <c r="OZL1" s="536"/>
      <c r="OZM1" s="536"/>
      <c r="OZN1" s="536"/>
      <c r="OZO1" s="536"/>
      <c r="OZP1" s="536"/>
      <c r="OZQ1" s="536"/>
      <c r="OZR1" s="536"/>
      <c r="OZS1" s="536"/>
      <c r="OZT1" s="536"/>
      <c r="OZU1" s="536"/>
      <c r="OZV1" s="536"/>
      <c r="OZW1" s="536"/>
      <c r="OZX1" s="536"/>
      <c r="OZY1" s="536"/>
      <c r="OZZ1" s="536"/>
      <c r="PAA1" s="536"/>
      <c r="PAB1" s="536"/>
      <c r="PAC1" s="536"/>
      <c r="PAD1" s="536"/>
      <c r="PAE1" s="536"/>
      <c r="PAF1" s="536"/>
      <c r="PAG1" s="536"/>
      <c r="PAH1" s="536"/>
      <c r="PAI1" s="536"/>
      <c r="PAJ1" s="536"/>
      <c r="PAK1" s="536"/>
      <c r="PAL1" s="536"/>
      <c r="PAM1" s="536"/>
      <c r="PAN1" s="536"/>
      <c r="PAO1" s="536"/>
      <c r="PAP1" s="536"/>
      <c r="PAQ1" s="536"/>
      <c r="PAR1" s="536"/>
      <c r="PAS1" s="536"/>
      <c r="PAT1" s="536"/>
      <c r="PAU1" s="536"/>
      <c r="PAV1" s="536"/>
      <c r="PAW1" s="536"/>
      <c r="PAX1" s="536"/>
      <c r="PAY1" s="536"/>
      <c r="PAZ1" s="536"/>
      <c r="PBA1" s="536"/>
      <c r="PBB1" s="536"/>
      <c r="PBC1" s="536"/>
      <c r="PBD1" s="536"/>
      <c r="PBE1" s="536"/>
      <c r="PBF1" s="536"/>
      <c r="PBG1" s="536"/>
      <c r="PBH1" s="536"/>
      <c r="PBI1" s="536"/>
      <c r="PBJ1" s="536"/>
      <c r="PBK1" s="536"/>
      <c r="PBL1" s="536"/>
      <c r="PBM1" s="536"/>
      <c r="PBN1" s="536"/>
      <c r="PBO1" s="536"/>
      <c r="PBP1" s="536"/>
      <c r="PBQ1" s="536"/>
      <c r="PBR1" s="536"/>
      <c r="PBS1" s="536"/>
      <c r="PBT1" s="536"/>
      <c r="PBU1" s="536"/>
      <c r="PBV1" s="536"/>
      <c r="PBW1" s="536"/>
      <c r="PBX1" s="536"/>
      <c r="PBY1" s="536"/>
      <c r="PBZ1" s="536"/>
      <c r="PCA1" s="536"/>
      <c r="PCB1" s="536"/>
      <c r="PCC1" s="536"/>
      <c r="PCD1" s="536"/>
      <c r="PCE1" s="536"/>
      <c r="PCF1" s="536"/>
      <c r="PCG1" s="536"/>
      <c r="PCH1" s="536"/>
      <c r="PCI1" s="536"/>
      <c r="PCJ1" s="536"/>
      <c r="PCK1" s="536"/>
      <c r="PCL1" s="536"/>
      <c r="PCM1" s="536"/>
      <c r="PCN1" s="536"/>
      <c r="PCO1" s="536"/>
      <c r="PCP1" s="536"/>
      <c r="PCQ1" s="536"/>
      <c r="PCR1" s="536"/>
      <c r="PCS1" s="536"/>
      <c r="PCT1" s="536"/>
      <c r="PCU1" s="536"/>
      <c r="PCV1" s="536"/>
      <c r="PCW1" s="536"/>
      <c r="PCX1" s="536"/>
      <c r="PCY1" s="536"/>
      <c r="PCZ1" s="536"/>
      <c r="PDA1" s="536"/>
      <c r="PDB1" s="536"/>
      <c r="PDC1" s="536"/>
      <c r="PDD1" s="536"/>
      <c r="PDE1" s="536"/>
      <c r="PDF1" s="536"/>
      <c r="PDG1" s="536"/>
      <c r="PDH1" s="536"/>
      <c r="PDI1" s="536"/>
      <c r="PDJ1" s="536"/>
      <c r="PDK1" s="536"/>
      <c r="PDL1" s="536"/>
      <c r="PDM1" s="536"/>
      <c r="PDN1" s="536"/>
      <c r="PDO1" s="536"/>
      <c r="PDP1" s="536"/>
      <c r="PDQ1" s="536"/>
      <c r="PDR1" s="536"/>
      <c r="PDS1" s="536"/>
      <c r="PDT1" s="536"/>
      <c r="PDU1" s="536"/>
      <c r="PDV1" s="536"/>
      <c r="PDW1" s="536"/>
      <c r="PDX1" s="536"/>
      <c r="PDY1" s="536"/>
      <c r="PDZ1" s="536"/>
      <c r="PEA1" s="536"/>
      <c r="PEB1" s="536"/>
      <c r="PEC1" s="536"/>
      <c r="PED1" s="536"/>
      <c r="PEE1" s="536"/>
      <c r="PEF1" s="536"/>
      <c r="PEG1" s="536"/>
      <c r="PEH1" s="536"/>
      <c r="PEI1" s="536"/>
      <c r="PEJ1" s="536"/>
      <c r="PEK1" s="536"/>
      <c r="PEL1" s="536"/>
      <c r="PEM1" s="536"/>
      <c r="PEN1" s="536"/>
      <c r="PEO1" s="536"/>
      <c r="PEP1" s="536"/>
      <c r="PEQ1" s="536"/>
      <c r="PER1" s="536"/>
      <c r="PES1" s="536"/>
      <c r="PET1" s="536"/>
      <c r="PEU1" s="536"/>
      <c r="PEV1" s="536"/>
      <c r="PEW1" s="536"/>
      <c r="PEX1" s="536"/>
      <c r="PEY1" s="536"/>
      <c r="PEZ1" s="536"/>
      <c r="PFA1" s="536"/>
      <c r="PFB1" s="536"/>
      <c r="PFC1" s="536"/>
      <c r="PFD1" s="536"/>
      <c r="PFE1" s="536"/>
      <c r="PFF1" s="536"/>
      <c r="PFG1" s="536"/>
      <c r="PFH1" s="536"/>
      <c r="PFI1" s="536"/>
      <c r="PFJ1" s="536"/>
      <c r="PFK1" s="536"/>
      <c r="PFL1" s="536"/>
      <c r="PFM1" s="536"/>
      <c r="PFN1" s="536"/>
      <c r="PFO1" s="536"/>
      <c r="PFP1" s="536"/>
      <c r="PFQ1" s="536"/>
      <c r="PFR1" s="536"/>
      <c r="PFS1" s="536"/>
      <c r="PFT1" s="536"/>
      <c r="PFU1" s="536"/>
      <c r="PFV1" s="536"/>
      <c r="PFW1" s="536"/>
      <c r="PFX1" s="536"/>
      <c r="PFY1" s="536"/>
      <c r="PFZ1" s="536"/>
      <c r="PGA1" s="536"/>
      <c r="PGB1" s="536"/>
      <c r="PGC1" s="536"/>
      <c r="PGD1" s="536"/>
      <c r="PGE1" s="536"/>
      <c r="PGF1" s="536"/>
      <c r="PGG1" s="536"/>
      <c r="PGH1" s="536"/>
      <c r="PGI1" s="536"/>
      <c r="PGJ1" s="536"/>
      <c r="PGK1" s="536"/>
      <c r="PGL1" s="536"/>
      <c r="PGM1" s="536"/>
      <c r="PGN1" s="536"/>
      <c r="PGO1" s="536"/>
      <c r="PGP1" s="536"/>
      <c r="PGQ1" s="536"/>
      <c r="PGR1" s="536"/>
      <c r="PGS1" s="536"/>
      <c r="PGT1" s="536"/>
      <c r="PGU1" s="536"/>
      <c r="PGV1" s="536"/>
      <c r="PGW1" s="536"/>
      <c r="PGX1" s="536"/>
      <c r="PGY1" s="536"/>
      <c r="PGZ1" s="536"/>
      <c r="PHA1" s="536"/>
      <c r="PHB1" s="536"/>
      <c r="PHC1" s="536"/>
      <c r="PHD1" s="536"/>
      <c r="PHE1" s="536"/>
      <c r="PHF1" s="536"/>
      <c r="PHG1" s="536"/>
      <c r="PHH1" s="536"/>
      <c r="PHI1" s="536"/>
      <c r="PHJ1" s="536"/>
      <c r="PHK1" s="536"/>
      <c r="PHL1" s="536"/>
      <c r="PHM1" s="536"/>
      <c r="PHN1" s="536"/>
      <c r="PHO1" s="536"/>
      <c r="PHP1" s="536"/>
      <c r="PHQ1" s="536"/>
      <c r="PHR1" s="536"/>
      <c r="PHS1" s="536"/>
      <c r="PHT1" s="536"/>
      <c r="PHU1" s="536"/>
      <c r="PHV1" s="536"/>
      <c r="PHW1" s="536"/>
      <c r="PHX1" s="536"/>
      <c r="PHY1" s="536"/>
      <c r="PHZ1" s="536"/>
      <c r="PIA1" s="536"/>
      <c r="PIB1" s="536"/>
      <c r="PIC1" s="536"/>
      <c r="PID1" s="536"/>
      <c r="PIE1" s="536"/>
      <c r="PIF1" s="536"/>
      <c r="PIG1" s="536"/>
      <c r="PIH1" s="536"/>
      <c r="PII1" s="536"/>
      <c r="PIJ1" s="536"/>
      <c r="PIK1" s="536"/>
      <c r="PIL1" s="536"/>
      <c r="PIM1" s="536"/>
      <c r="PIN1" s="536"/>
      <c r="PIO1" s="536"/>
      <c r="PIP1" s="536"/>
      <c r="PIQ1" s="536"/>
      <c r="PIR1" s="536"/>
      <c r="PIS1" s="536"/>
      <c r="PIT1" s="536"/>
      <c r="PIU1" s="536"/>
      <c r="PIV1" s="536"/>
      <c r="PIW1" s="536"/>
      <c r="PIX1" s="536"/>
      <c r="PIY1" s="536"/>
      <c r="PIZ1" s="536"/>
      <c r="PJA1" s="536"/>
      <c r="PJB1" s="536"/>
      <c r="PJC1" s="536"/>
      <c r="PJD1" s="536"/>
      <c r="PJE1" s="536"/>
      <c r="PJF1" s="536"/>
      <c r="PJG1" s="536"/>
      <c r="PJH1" s="536"/>
      <c r="PJI1" s="536"/>
      <c r="PJJ1" s="536"/>
      <c r="PJK1" s="536"/>
      <c r="PJL1" s="536"/>
      <c r="PJM1" s="536"/>
      <c r="PJN1" s="536"/>
      <c r="PJO1" s="536"/>
      <c r="PJP1" s="536"/>
      <c r="PJQ1" s="536"/>
      <c r="PJR1" s="536"/>
      <c r="PJS1" s="536"/>
      <c r="PJT1" s="536"/>
      <c r="PJU1" s="536"/>
      <c r="PJV1" s="536"/>
      <c r="PJW1" s="536"/>
      <c r="PJX1" s="536"/>
      <c r="PJY1" s="536"/>
      <c r="PJZ1" s="536"/>
      <c r="PKA1" s="536"/>
      <c r="PKB1" s="536"/>
      <c r="PKC1" s="536"/>
      <c r="PKD1" s="536"/>
      <c r="PKE1" s="536"/>
      <c r="PKF1" s="536"/>
      <c r="PKG1" s="536"/>
      <c r="PKH1" s="536"/>
      <c r="PKI1" s="536"/>
      <c r="PKJ1" s="536"/>
      <c r="PKK1" s="536"/>
      <c r="PKL1" s="536"/>
      <c r="PKM1" s="536"/>
      <c r="PKN1" s="536"/>
      <c r="PKO1" s="536"/>
      <c r="PKP1" s="536"/>
      <c r="PKQ1" s="536"/>
      <c r="PKR1" s="536"/>
      <c r="PKS1" s="536"/>
      <c r="PKT1" s="536"/>
      <c r="PKU1" s="536"/>
      <c r="PKV1" s="536"/>
      <c r="PKW1" s="536"/>
      <c r="PKX1" s="536"/>
      <c r="PKY1" s="536"/>
      <c r="PKZ1" s="536"/>
      <c r="PLA1" s="536"/>
      <c r="PLB1" s="536"/>
      <c r="PLC1" s="536"/>
      <c r="PLD1" s="536"/>
      <c r="PLE1" s="536"/>
      <c r="PLF1" s="536"/>
      <c r="PLG1" s="536"/>
      <c r="PLH1" s="536"/>
      <c r="PLI1" s="536"/>
      <c r="PLJ1" s="536"/>
      <c r="PLK1" s="536"/>
      <c r="PLL1" s="536"/>
      <c r="PLM1" s="536"/>
      <c r="PLN1" s="536"/>
      <c r="PLO1" s="536"/>
      <c r="PLP1" s="536"/>
      <c r="PLQ1" s="536"/>
      <c r="PLR1" s="536"/>
      <c r="PLS1" s="536"/>
      <c r="PLT1" s="536"/>
      <c r="PLU1" s="536"/>
      <c r="PLV1" s="536"/>
      <c r="PLW1" s="536"/>
      <c r="PLX1" s="536"/>
      <c r="PLY1" s="536"/>
      <c r="PLZ1" s="536"/>
      <c r="PMA1" s="536"/>
      <c r="PMB1" s="536"/>
      <c r="PMC1" s="536"/>
      <c r="PMD1" s="536"/>
      <c r="PME1" s="536"/>
      <c r="PMF1" s="536"/>
      <c r="PMG1" s="536"/>
      <c r="PMH1" s="536"/>
      <c r="PMI1" s="536"/>
      <c r="PMJ1" s="536"/>
      <c r="PMK1" s="536"/>
      <c r="PML1" s="536"/>
      <c r="PMM1" s="536"/>
      <c r="PMN1" s="536"/>
      <c r="PMO1" s="536"/>
      <c r="PMP1" s="536"/>
      <c r="PMQ1" s="536"/>
      <c r="PMR1" s="536"/>
      <c r="PMS1" s="536"/>
      <c r="PMT1" s="536"/>
      <c r="PMU1" s="536"/>
      <c r="PMV1" s="536"/>
      <c r="PMW1" s="536"/>
      <c r="PMX1" s="536"/>
      <c r="PMY1" s="536"/>
      <c r="PMZ1" s="536"/>
      <c r="PNA1" s="536"/>
      <c r="PNB1" s="536"/>
      <c r="PNC1" s="536"/>
      <c r="PND1" s="536"/>
      <c r="PNE1" s="536"/>
      <c r="PNF1" s="536"/>
      <c r="PNG1" s="536"/>
      <c r="PNH1" s="536"/>
      <c r="PNI1" s="536"/>
      <c r="PNJ1" s="536"/>
      <c r="PNK1" s="536"/>
      <c r="PNL1" s="536"/>
      <c r="PNM1" s="536"/>
      <c r="PNN1" s="536"/>
      <c r="PNO1" s="536"/>
      <c r="PNP1" s="536"/>
      <c r="PNQ1" s="536"/>
      <c r="PNR1" s="536"/>
      <c r="PNS1" s="536"/>
      <c r="PNT1" s="536"/>
      <c r="PNU1" s="536"/>
      <c r="PNV1" s="536"/>
      <c r="PNW1" s="536"/>
      <c r="PNX1" s="536"/>
      <c r="PNY1" s="536"/>
      <c r="PNZ1" s="536"/>
      <c r="POA1" s="536"/>
      <c r="POB1" s="536"/>
      <c r="POC1" s="536"/>
      <c r="POD1" s="536"/>
      <c r="POE1" s="536"/>
      <c r="POF1" s="536"/>
      <c r="POG1" s="536"/>
      <c r="POH1" s="536"/>
      <c r="POI1" s="536"/>
      <c r="POJ1" s="536"/>
      <c r="POK1" s="536"/>
      <c r="POL1" s="536"/>
      <c r="POM1" s="536"/>
      <c r="PON1" s="536"/>
      <c r="POO1" s="536"/>
      <c r="POP1" s="536"/>
      <c r="POQ1" s="536"/>
      <c r="POR1" s="536"/>
      <c r="POS1" s="536"/>
      <c r="POT1" s="536"/>
      <c r="POU1" s="536"/>
      <c r="POV1" s="536"/>
      <c r="POW1" s="536"/>
      <c r="POX1" s="536"/>
      <c r="POY1" s="536"/>
      <c r="POZ1" s="536"/>
      <c r="PPA1" s="536"/>
      <c r="PPB1" s="536"/>
      <c r="PPC1" s="536"/>
      <c r="PPD1" s="536"/>
      <c r="PPE1" s="536"/>
      <c r="PPF1" s="536"/>
      <c r="PPG1" s="536"/>
      <c r="PPH1" s="536"/>
      <c r="PPI1" s="536"/>
      <c r="PPJ1" s="536"/>
      <c r="PPK1" s="536"/>
      <c r="PPL1" s="536"/>
      <c r="PPM1" s="536"/>
      <c r="PPN1" s="536"/>
      <c r="PPO1" s="536"/>
      <c r="PPP1" s="536"/>
      <c r="PPQ1" s="536"/>
      <c r="PPR1" s="536"/>
      <c r="PPS1" s="536"/>
      <c r="PPT1" s="536"/>
      <c r="PPU1" s="536"/>
      <c r="PPV1" s="536"/>
      <c r="PPW1" s="536"/>
      <c r="PPX1" s="536"/>
      <c r="PPY1" s="536"/>
      <c r="PPZ1" s="536"/>
      <c r="PQA1" s="536"/>
      <c r="PQB1" s="536"/>
      <c r="PQC1" s="536"/>
      <c r="PQD1" s="536"/>
      <c r="PQE1" s="536"/>
      <c r="PQF1" s="536"/>
      <c r="PQG1" s="536"/>
      <c r="PQH1" s="536"/>
      <c r="PQI1" s="536"/>
      <c r="PQJ1" s="536"/>
      <c r="PQK1" s="536"/>
      <c r="PQL1" s="536"/>
      <c r="PQM1" s="536"/>
      <c r="PQN1" s="536"/>
      <c r="PQO1" s="536"/>
      <c r="PQP1" s="536"/>
      <c r="PQQ1" s="536"/>
      <c r="PQR1" s="536"/>
      <c r="PQS1" s="536"/>
      <c r="PQT1" s="536"/>
      <c r="PQU1" s="536"/>
      <c r="PQV1" s="536"/>
      <c r="PQW1" s="536"/>
      <c r="PQX1" s="536"/>
      <c r="PQY1" s="536"/>
      <c r="PQZ1" s="536"/>
      <c r="PRA1" s="536"/>
      <c r="PRB1" s="536"/>
      <c r="PRC1" s="536"/>
      <c r="PRD1" s="536"/>
      <c r="PRE1" s="536"/>
      <c r="PRF1" s="536"/>
      <c r="PRG1" s="536"/>
      <c r="PRH1" s="536"/>
      <c r="PRI1" s="536"/>
      <c r="PRJ1" s="536"/>
      <c r="PRK1" s="536"/>
      <c r="PRL1" s="536"/>
      <c r="PRM1" s="536"/>
      <c r="PRN1" s="536"/>
      <c r="PRO1" s="536"/>
      <c r="PRP1" s="536"/>
      <c r="PRQ1" s="536"/>
      <c r="PRR1" s="536"/>
      <c r="PRS1" s="536"/>
      <c r="PRT1" s="536"/>
      <c r="PRU1" s="536"/>
      <c r="PRV1" s="536"/>
      <c r="PRW1" s="536"/>
      <c r="PRX1" s="536"/>
      <c r="PRY1" s="536"/>
      <c r="PRZ1" s="536"/>
      <c r="PSA1" s="536"/>
      <c r="PSB1" s="536"/>
      <c r="PSC1" s="536"/>
      <c r="PSD1" s="536"/>
      <c r="PSE1" s="536"/>
      <c r="PSF1" s="536"/>
      <c r="PSG1" s="536"/>
      <c r="PSH1" s="536"/>
      <c r="PSI1" s="536"/>
      <c r="PSJ1" s="536"/>
      <c r="PSK1" s="536"/>
      <c r="PSL1" s="536"/>
      <c r="PSM1" s="536"/>
      <c r="PSN1" s="536"/>
      <c r="PSO1" s="536"/>
      <c r="PSP1" s="536"/>
      <c r="PSQ1" s="536"/>
      <c r="PSR1" s="536"/>
      <c r="PSS1" s="536"/>
      <c r="PST1" s="536"/>
      <c r="PSU1" s="536"/>
      <c r="PSV1" s="536"/>
      <c r="PSW1" s="536"/>
      <c r="PSX1" s="536"/>
      <c r="PSY1" s="536"/>
      <c r="PSZ1" s="536"/>
      <c r="PTA1" s="536"/>
      <c r="PTB1" s="536"/>
      <c r="PTC1" s="536"/>
      <c r="PTD1" s="536"/>
      <c r="PTE1" s="536"/>
      <c r="PTF1" s="536"/>
      <c r="PTG1" s="536"/>
      <c r="PTH1" s="536"/>
      <c r="PTI1" s="536"/>
      <c r="PTJ1" s="536"/>
      <c r="PTK1" s="536"/>
      <c r="PTL1" s="536"/>
      <c r="PTM1" s="536"/>
      <c r="PTN1" s="536"/>
      <c r="PTO1" s="536"/>
      <c r="PTP1" s="536"/>
      <c r="PTQ1" s="536"/>
      <c r="PTR1" s="536"/>
      <c r="PTS1" s="536"/>
      <c r="PTT1" s="536"/>
      <c r="PTU1" s="536"/>
      <c r="PTV1" s="536"/>
      <c r="PTW1" s="536"/>
      <c r="PTX1" s="536"/>
      <c r="PTY1" s="536"/>
      <c r="PTZ1" s="536"/>
      <c r="PUA1" s="536"/>
      <c r="PUB1" s="536"/>
      <c r="PUC1" s="536"/>
      <c r="PUD1" s="536"/>
      <c r="PUE1" s="536"/>
      <c r="PUF1" s="536"/>
      <c r="PUG1" s="536"/>
      <c r="PUH1" s="536"/>
      <c r="PUI1" s="536"/>
      <c r="PUJ1" s="536"/>
      <c r="PUK1" s="536"/>
      <c r="PUL1" s="536"/>
      <c r="PUM1" s="536"/>
      <c r="PUN1" s="536"/>
      <c r="PUO1" s="536"/>
      <c r="PUP1" s="536"/>
      <c r="PUQ1" s="536"/>
      <c r="PUR1" s="536"/>
      <c r="PUS1" s="536"/>
      <c r="PUT1" s="536"/>
      <c r="PUU1" s="536"/>
      <c r="PUV1" s="536"/>
      <c r="PUW1" s="536"/>
      <c r="PUX1" s="536"/>
      <c r="PUY1" s="536"/>
      <c r="PUZ1" s="536"/>
      <c r="PVA1" s="536"/>
      <c r="PVB1" s="536"/>
      <c r="PVC1" s="536"/>
      <c r="PVD1" s="536"/>
      <c r="PVE1" s="536"/>
      <c r="PVF1" s="536"/>
      <c r="PVG1" s="536"/>
      <c r="PVH1" s="536"/>
      <c r="PVI1" s="536"/>
      <c r="PVJ1" s="536"/>
      <c r="PVK1" s="536"/>
      <c r="PVL1" s="536"/>
      <c r="PVM1" s="536"/>
      <c r="PVN1" s="536"/>
      <c r="PVO1" s="536"/>
      <c r="PVP1" s="536"/>
      <c r="PVQ1" s="536"/>
      <c r="PVR1" s="536"/>
      <c r="PVS1" s="536"/>
      <c r="PVT1" s="536"/>
      <c r="PVU1" s="536"/>
      <c r="PVV1" s="536"/>
      <c r="PVW1" s="536"/>
      <c r="PVX1" s="536"/>
      <c r="PVY1" s="536"/>
      <c r="PVZ1" s="536"/>
      <c r="PWA1" s="536"/>
      <c r="PWB1" s="536"/>
      <c r="PWC1" s="536"/>
      <c r="PWD1" s="536"/>
      <c r="PWE1" s="536"/>
      <c r="PWF1" s="536"/>
      <c r="PWG1" s="536"/>
      <c r="PWH1" s="536"/>
      <c r="PWI1" s="536"/>
      <c r="PWJ1" s="536"/>
      <c r="PWK1" s="536"/>
      <c r="PWL1" s="536"/>
      <c r="PWM1" s="536"/>
      <c r="PWN1" s="536"/>
      <c r="PWO1" s="536"/>
      <c r="PWP1" s="536"/>
      <c r="PWQ1" s="536"/>
      <c r="PWR1" s="536"/>
      <c r="PWS1" s="536"/>
      <c r="PWT1" s="536"/>
      <c r="PWU1" s="536"/>
      <c r="PWV1" s="536"/>
      <c r="PWW1" s="536"/>
      <c r="PWX1" s="536"/>
      <c r="PWY1" s="536"/>
      <c r="PWZ1" s="536"/>
      <c r="PXA1" s="536"/>
      <c r="PXB1" s="536"/>
      <c r="PXC1" s="536"/>
      <c r="PXD1" s="536"/>
      <c r="PXE1" s="536"/>
      <c r="PXF1" s="536"/>
      <c r="PXG1" s="536"/>
      <c r="PXH1" s="536"/>
      <c r="PXI1" s="536"/>
      <c r="PXJ1" s="536"/>
      <c r="PXK1" s="536"/>
      <c r="PXL1" s="536"/>
      <c r="PXM1" s="536"/>
      <c r="PXN1" s="536"/>
      <c r="PXO1" s="536"/>
      <c r="PXP1" s="536"/>
      <c r="PXQ1" s="536"/>
      <c r="PXR1" s="536"/>
      <c r="PXS1" s="536"/>
      <c r="PXT1" s="536"/>
      <c r="PXU1" s="536"/>
      <c r="PXV1" s="536"/>
      <c r="PXW1" s="536"/>
      <c r="PXX1" s="536"/>
      <c r="PXY1" s="536"/>
      <c r="PXZ1" s="536"/>
      <c r="PYA1" s="536"/>
      <c r="PYB1" s="536"/>
      <c r="PYC1" s="536"/>
      <c r="PYD1" s="536"/>
      <c r="PYE1" s="536"/>
      <c r="PYF1" s="536"/>
      <c r="PYG1" s="536"/>
      <c r="PYH1" s="536"/>
      <c r="PYI1" s="536"/>
      <c r="PYJ1" s="536"/>
      <c r="PYK1" s="536"/>
      <c r="PYL1" s="536"/>
      <c r="PYM1" s="536"/>
      <c r="PYN1" s="536"/>
      <c r="PYO1" s="536"/>
      <c r="PYP1" s="536"/>
      <c r="PYQ1" s="536"/>
      <c r="PYR1" s="536"/>
      <c r="PYS1" s="536"/>
      <c r="PYT1" s="536"/>
      <c r="PYU1" s="536"/>
      <c r="PYV1" s="536"/>
      <c r="PYW1" s="536"/>
      <c r="PYX1" s="536"/>
      <c r="PYY1" s="536"/>
      <c r="PYZ1" s="536"/>
      <c r="PZA1" s="536"/>
      <c r="PZB1" s="536"/>
      <c r="PZC1" s="536"/>
      <c r="PZD1" s="536"/>
      <c r="PZE1" s="536"/>
      <c r="PZF1" s="536"/>
      <c r="PZG1" s="536"/>
      <c r="PZH1" s="536"/>
      <c r="PZI1" s="536"/>
      <c r="PZJ1" s="536"/>
      <c r="PZK1" s="536"/>
      <c r="PZL1" s="536"/>
      <c r="PZM1" s="536"/>
      <c r="PZN1" s="536"/>
      <c r="PZO1" s="536"/>
      <c r="PZP1" s="536"/>
      <c r="PZQ1" s="536"/>
      <c r="PZR1" s="536"/>
      <c r="PZS1" s="536"/>
      <c r="PZT1" s="536"/>
      <c r="PZU1" s="536"/>
      <c r="PZV1" s="536"/>
      <c r="PZW1" s="536"/>
      <c r="PZX1" s="536"/>
      <c r="PZY1" s="536"/>
      <c r="PZZ1" s="536"/>
      <c r="QAA1" s="536"/>
      <c r="QAB1" s="536"/>
      <c r="QAC1" s="536"/>
      <c r="QAD1" s="536"/>
      <c r="QAE1" s="536"/>
      <c r="QAF1" s="536"/>
      <c r="QAG1" s="536"/>
      <c r="QAH1" s="536"/>
      <c r="QAI1" s="536"/>
      <c r="QAJ1" s="536"/>
      <c r="QAK1" s="536"/>
      <c r="QAL1" s="536"/>
      <c r="QAM1" s="536"/>
      <c r="QAN1" s="536"/>
      <c r="QAO1" s="536"/>
      <c r="QAP1" s="536"/>
      <c r="QAQ1" s="536"/>
      <c r="QAR1" s="536"/>
      <c r="QAS1" s="536"/>
      <c r="QAT1" s="536"/>
      <c r="QAU1" s="536"/>
      <c r="QAV1" s="536"/>
      <c r="QAW1" s="536"/>
      <c r="QAX1" s="536"/>
      <c r="QAY1" s="536"/>
      <c r="QAZ1" s="536"/>
      <c r="QBA1" s="536"/>
      <c r="QBB1" s="536"/>
      <c r="QBC1" s="536"/>
      <c r="QBD1" s="536"/>
      <c r="QBE1" s="536"/>
      <c r="QBF1" s="536"/>
      <c r="QBG1" s="536"/>
      <c r="QBH1" s="536"/>
      <c r="QBI1" s="536"/>
      <c r="QBJ1" s="536"/>
      <c r="QBK1" s="536"/>
      <c r="QBL1" s="536"/>
      <c r="QBM1" s="536"/>
      <c r="QBN1" s="536"/>
      <c r="QBO1" s="536"/>
      <c r="QBP1" s="536"/>
      <c r="QBQ1" s="536"/>
      <c r="QBR1" s="536"/>
      <c r="QBS1" s="536"/>
      <c r="QBT1" s="536"/>
      <c r="QBU1" s="536"/>
      <c r="QBV1" s="536"/>
      <c r="QBW1" s="536"/>
      <c r="QBX1" s="536"/>
      <c r="QBY1" s="536"/>
      <c r="QBZ1" s="536"/>
      <c r="QCA1" s="536"/>
      <c r="QCB1" s="536"/>
      <c r="QCC1" s="536"/>
      <c r="QCD1" s="536"/>
      <c r="QCE1" s="536"/>
      <c r="QCF1" s="536"/>
      <c r="QCG1" s="536"/>
      <c r="QCH1" s="536"/>
      <c r="QCI1" s="536"/>
      <c r="QCJ1" s="536"/>
      <c r="QCK1" s="536"/>
      <c r="QCL1" s="536"/>
      <c r="QCM1" s="536"/>
      <c r="QCN1" s="536"/>
      <c r="QCO1" s="536"/>
      <c r="QCP1" s="536"/>
      <c r="QCQ1" s="536"/>
      <c r="QCR1" s="536"/>
      <c r="QCS1" s="536"/>
      <c r="QCT1" s="536"/>
      <c r="QCU1" s="536"/>
      <c r="QCV1" s="536"/>
      <c r="QCW1" s="536"/>
      <c r="QCX1" s="536"/>
      <c r="QCY1" s="536"/>
      <c r="QCZ1" s="536"/>
      <c r="QDA1" s="536"/>
      <c r="QDB1" s="536"/>
      <c r="QDC1" s="536"/>
      <c r="QDD1" s="536"/>
      <c r="QDE1" s="536"/>
      <c r="QDF1" s="536"/>
      <c r="QDG1" s="536"/>
      <c r="QDH1" s="536"/>
      <c r="QDI1" s="536"/>
      <c r="QDJ1" s="536"/>
      <c r="QDK1" s="536"/>
      <c r="QDL1" s="536"/>
      <c r="QDM1" s="536"/>
      <c r="QDN1" s="536"/>
      <c r="QDO1" s="536"/>
      <c r="QDP1" s="536"/>
      <c r="QDQ1" s="536"/>
      <c r="QDR1" s="536"/>
      <c r="QDS1" s="536"/>
      <c r="QDT1" s="536"/>
      <c r="QDU1" s="536"/>
      <c r="QDV1" s="536"/>
      <c r="QDW1" s="536"/>
      <c r="QDX1" s="536"/>
      <c r="QDY1" s="536"/>
      <c r="QDZ1" s="536"/>
      <c r="QEA1" s="536"/>
      <c r="QEB1" s="536"/>
      <c r="QEC1" s="536"/>
      <c r="QED1" s="536"/>
      <c r="QEE1" s="536"/>
      <c r="QEF1" s="536"/>
      <c r="QEG1" s="536"/>
      <c r="QEH1" s="536"/>
      <c r="QEI1" s="536"/>
      <c r="QEJ1" s="536"/>
      <c r="QEK1" s="536"/>
      <c r="QEL1" s="536"/>
      <c r="QEM1" s="536"/>
      <c r="QEN1" s="536"/>
      <c r="QEO1" s="536"/>
      <c r="QEP1" s="536"/>
      <c r="QEQ1" s="536"/>
      <c r="QER1" s="536"/>
      <c r="QES1" s="536"/>
      <c r="QET1" s="536"/>
      <c r="QEU1" s="536"/>
      <c r="QEV1" s="536"/>
      <c r="QEW1" s="536"/>
      <c r="QEX1" s="536"/>
      <c r="QEY1" s="536"/>
      <c r="QEZ1" s="536"/>
      <c r="QFA1" s="536"/>
      <c r="QFB1" s="536"/>
      <c r="QFC1" s="536"/>
      <c r="QFD1" s="536"/>
      <c r="QFE1" s="536"/>
      <c r="QFF1" s="536"/>
      <c r="QFG1" s="536"/>
      <c r="QFH1" s="536"/>
      <c r="QFI1" s="536"/>
      <c r="QFJ1" s="536"/>
      <c r="QFK1" s="536"/>
      <c r="QFL1" s="536"/>
      <c r="QFM1" s="536"/>
      <c r="QFN1" s="536"/>
      <c r="QFO1" s="536"/>
      <c r="QFP1" s="536"/>
      <c r="QFQ1" s="536"/>
      <c r="QFR1" s="536"/>
      <c r="QFS1" s="536"/>
      <c r="QFT1" s="536"/>
      <c r="QFU1" s="536"/>
      <c r="QFV1" s="536"/>
      <c r="QFW1" s="536"/>
      <c r="QFX1" s="536"/>
      <c r="QFY1" s="536"/>
      <c r="QFZ1" s="536"/>
      <c r="QGA1" s="536"/>
      <c r="QGB1" s="536"/>
      <c r="QGC1" s="536"/>
      <c r="QGD1" s="536"/>
      <c r="QGE1" s="536"/>
      <c r="QGF1" s="536"/>
      <c r="QGG1" s="536"/>
      <c r="QGH1" s="536"/>
      <c r="QGI1" s="536"/>
      <c r="QGJ1" s="536"/>
      <c r="QGK1" s="536"/>
      <c r="QGL1" s="536"/>
      <c r="QGM1" s="536"/>
      <c r="QGN1" s="536"/>
      <c r="QGO1" s="536"/>
      <c r="QGP1" s="536"/>
      <c r="QGQ1" s="536"/>
      <c r="QGR1" s="536"/>
      <c r="QGS1" s="536"/>
      <c r="QGT1" s="536"/>
      <c r="QGU1" s="536"/>
      <c r="QGV1" s="536"/>
      <c r="QGW1" s="536"/>
      <c r="QGX1" s="536"/>
      <c r="QGY1" s="536"/>
      <c r="QGZ1" s="536"/>
      <c r="QHA1" s="536"/>
      <c r="QHB1" s="536"/>
      <c r="QHC1" s="536"/>
      <c r="QHD1" s="536"/>
      <c r="QHE1" s="536"/>
      <c r="QHF1" s="536"/>
      <c r="QHG1" s="536"/>
      <c r="QHH1" s="536"/>
      <c r="QHI1" s="536"/>
      <c r="QHJ1" s="536"/>
      <c r="QHK1" s="536"/>
      <c r="QHL1" s="536"/>
      <c r="QHM1" s="536"/>
      <c r="QHN1" s="536"/>
      <c r="QHO1" s="536"/>
      <c r="QHP1" s="536"/>
      <c r="QHQ1" s="536"/>
      <c r="QHR1" s="536"/>
      <c r="QHS1" s="536"/>
      <c r="QHT1" s="536"/>
      <c r="QHU1" s="536"/>
      <c r="QHV1" s="536"/>
      <c r="QHW1" s="536"/>
      <c r="QHX1" s="536"/>
      <c r="QHY1" s="536"/>
      <c r="QHZ1" s="536"/>
      <c r="QIA1" s="536"/>
      <c r="QIB1" s="536"/>
      <c r="QIC1" s="536"/>
      <c r="QID1" s="536"/>
      <c r="QIE1" s="536"/>
      <c r="QIF1" s="536"/>
      <c r="QIG1" s="536"/>
      <c r="QIH1" s="536"/>
      <c r="QII1" s="536"/>
      <c r="QIJ1" s="536"/>
      <c r="QIK1" s="536"/>
      <c r="QIL1" s="536"/>
      <c r="QIM1" s="536"/>
      <c r="QIN1" s="536"/>
      <c r="QIO1" s="536"/>
      <c r="QIP1" s="536"/>
      <c r="QIQ1" s="536"/>
      <c r="QIR1" s="536"/>
      <c r="QIS1" s="536"/>
      <c r="QIT1" s="536"/>
      <c r="QIU1" s="536"/>
      <c r="QIV1" s="536"/>
      <c r="QIW1" s="536"/>
      <c r="QIX1" s="536"/>
      <c r="QIY1" s="536"/>
      <c r="QIZ1" s="536"/>
      <c r="QJA1" s="536"/>
      <c r="QJB1" s="536"/>
      <c r="QJC1" s="536"/>
      <c r="QJD1" s="536"/>
      <c r="QJE1" s="536"/>
      <c r="QJF1" s="536"/>
      <c r="QJG1" s="536"/>
      <c r="QJH1" s="536"/>
      <c r="QJI1" s="536"/>
      <c r="QJJ1" s="536"/>
      <c r="QJK1" s="536"/>
      <c r="QJL1" s="536"/>
      <c r="QJM1" s="536"/>
      <c r="QJN1" s="536"/>
      <c r="QJO1" s="536"/>
      <c r="QJP1" s="536"/>
      <c r="QJQ1" s="536"/>
      <c r="QJR1" s="536"/>
      <c r="QJS1" s="536"/>
      <c r="QJT1" s="536"/>
      <c r="QJU1" s="536"/>
      <c r="QJV1" s="536"/>
      <c r="QJW1" s="536"/>
      <c r="QJX1" s="536"/>
      <c r="QJY1" s="536"/>
      <c r="QJZ1" s="536"/>
      <c r="QKA1" s="536"/>
      <c r="QKB1" s="536"/>
      <c r="QKC1" s="536"/>
      <c r="QKD1" s="536"/>
      <c r="QKE1" s="536"/>
      <c r="QKF1" s="536"/>
      <c r="QKG1" s="536"/>
      <c r="QKH1" s="536"/>
      <c r="QKI1" s="536"/>
      <c r="QKJ1" s="536"/>
      <c r="QKK1" s="536"/>
      <c r="QKL1" s="536"/>
      <c r="QKM1" s="536"/>
      <c r="QKN1" s="536"/>
      <c r="QKO1" s="536"/>
      <c r="QKP1" s="536"/>
      <c r="QKQ1" s="536"/>
      <c r="QKR1" s="536"/>
      <c r="QKS1" s="536"/>
      <c r="QKT1" s="536"/>
      <c r="QKU1" s="536"/>
      <c r="QKV1" s="536"/>
      <c r="QKW1" s="536"/>
      <c r="QKX1" s="536"/>
      <c r="QKY1" s="536"/>
      <c r="QKZ1" s="536"/>
      <c r="QLA1" s="536"/>
      <c r="QLB1" s="536"/>
      <c r="QLC1" s="536"/>
      <c r="QLD1" s="536"/>
      <c r="QLE1" s="536"/>
      <c r="QLF1" s="536"/>
      <c r="QLG1" s="536"/>
      <c r="QLH1" s="536"/>
      <c r="QLI1" s="536"/>
      <c r="QLJ1" s="536"/>
      <c r="QLK1" s="536"/>
      <c r="QLL1" s="536"/>
      <c r="QLM1" s="536"/>
      <c r="QLN1" s="536"/>
      <c r="QLO1" s="536"/>
      <c r="QLP1" s="536"/>
      <c r="QLQ1" s="536"/>
      <c r="QLR1" s="536"/>
      <c r="QLS1" s="536"/>
      <c r="QLT1" s="536"/>
      <c r="QLU1" s="536"/>
      <c r="QLV1" s="536"/>
      <c r="QLW1" s="536"/>
      <c r="QLX1" s="536"/>
      <c r="QLY1" s="536"/>
      <c r="QLZ1" s="536"/>
      <c r="QMA1" s="536"/>
      <c r="QMB1" s="536"/>
      <c r="QMC1" s="536"/>
      <c r="QMD1" s="536"/>
      <c r="QME1" s="536"/>
      <c r="QMF1" s="536"/>
      <c r="QMG1" s="536"/>
      <c r="QMH1" s="536"/>
      <c r="QMI1" s="536"/>
      <c r="QMJ1" s="536"/>
      <c r="QMK1" s="536"/>
      <c r="QML1" s="536"/>
      <c r="QMM1" s="536"/>
      <c r="QMN1" s="536"/>
      <c r="QMO1" s="536"/>
      <c r="QMP1" s="536"/>
      <c r="QMQ1" s="536"/>
      <c r="QMR1" s="536"/>
      <c r="QMS1" s="536"/>
      <c r="QMT1" s="536"/>
      <c r="QMU1" s="536"/>
      <c r="QMV1" s="536"/>
      <c r="QMW1" s="536"/>
      <c r="QMX1" s="536"/>
      <c r="QMY1" s="536"/>
      <c r="QMZ1" s="536"/>
      <c r="QNA1" s="536"/>
      <c r="QNB1" s="536"/>
      <c r="QNC1" s="536"/>
      <c r="QND1" s="536"/>
      <c r="QNE1" s="536"/>
      <c r="QNF1" s="536"/>
      <c r="QNG1" s="536"/>
      <c r="QNH1" s="536"/>
      <c r="QNI1" s="536"/>
      <c r="QNJ1" s="536"/>
      <c r="QNK1" s="536"/>
      <c r="QNL1" s="536"/>
      <c r="QNM1" s="536"/>
      <c r="QNN1" s="536"/>
      <c r="QNO1" s="536"/>
      <c r="QNP1" s="536"/>
      <c r="QNQ1" s="536"/>
      <c r="QNR1" s="536"/>
      <c r="QNS1" s="536"/>
      <c r="QNT1" s="536"/>
      <c r="QNU1" s="536"/>
      <c r="QNV1" s="536"/>
      <c r="QNW1" s="536"/>
      <c r="QNX1" s="536"/>
      <c r="QNY1" s="536"/>
      <c r="QNZ1" s="536"/>
      <c r="QOA1" s="536"/>
      <c r="QOB1" s="536"/>
      <c r="QOC1" s="536"/>
      <c r="QOD1" s="536"/>
      <c r="QOE1" s="536"/>
      <c r="QOF1" s="536"/>
      <c r="QOG1" s="536"/>
      <c r="QOH1" s="536"/>
      <c r="QOI1" s="536"/>
      <c r="QOJ1" s="536"/>
      <c r="QOK1" s="536"/>
      <c r="QOL1" s="536"/>
      <c r="QOM1" s="536"/>
      <c r="QON1" s="536"/>
      <c r="QOO1" s="536"/>
      <c r="QOP1" s="536"/>
      <c r="QOQ1" s="536"/>
      <c r="QOR1" s="536"/>
      <c r="QOS1" s="536"/>
      <c r="QOT1" s="536"/>
      <c r="QOU1" s="536"/>
      <c r="QOV1" s="536"/>
      <c r="QOW1" s="536"/>
      <c r="QOX1" s="536"/>
      <c r="QOY1" s="536"/>
      <c r="QOZ1" s="536"/>
      <c r="QPA1" s="536"/>
      <c r="QPB1" s="536"/>
      <c r="QPC1" s="536"/>
      <c r="QPD1" s="536"/>
      <c r="QPE1" s="536"/>
      <c r="QPF1" s="536"/>
      <c r="QPG1" s="536"/>
      <c r="QPH1" s="536"/>
      <c r="QPI1" s="536"/>
      <c r="QPJ1" s="536"/>
      <c r="QPK1" s="536"/>
      <c r="QPL1" s="536"/>
      <c r="QPM1" s="536"/>
      <c r="QPN1" s="536"/>
      <c r="QPO1" s="536"/>
      <c r="QPP1" s="536"/>
      <c r="QPQ1" s="536"/>
      <c r="QPR1" s="536"/>
      <c r="QPS1" s="536"/>
      <c r="QPT1" s="536"/>
      <c r="QPU1" s="536"/>
      <c r="QPV1" s="536"/>
      <c r="QPW1" s="536"/>
      <c r="QPX1" s="536"/>
      <c r="QPY1" s="536"/>
      <c r="QPZ1" s="536"/>
      <c r="QQA1" s="536"/>
      <c r="QQB1" s="536"/>
      <c r="QQC1" s="536"/>
      <c r="QQD1" s="536"/>
      <c r="QQE1" s="536"/>
      <c r="QQF1" s="536"/>
      <c r="QQG1" s="536"/>
      <c r="QQH1" s="536"/>
      <c r="QQI1" s="536"/>
      <c r="QQJ1" s="536"/>
      <c r="QQK1" s="536"/>
      <c r="QQL1" s="536"/>
      <c r="QQM1" s="536"/>
      <c r="QQN1" s="536"/>
      <c r="QQO1" s="536"/>
      <c r="QQP1" s="536"/>
      <c r="QQQ1" s="536"/>
      <c r="QQR1" s="536"/>
      <c r="QQS1" s="536"/>
      <c r="QQT1" s="536"/>
      <c r="QQU1" s="536"/>
      <c r="QQV1" s="536"/>
      <c r="QQW1" s="536"/>
      <c r="QQX1" s="536"/>
      <c r="QQY1" s="536"/>
      <c r="QQZ1" s="536"/>
      <c r="QRA1" s="536"/>
      <c r="QRB1" s="536"/>
      <c r="QRC1" s="536"/>
      <c r="QRD1" s="536"/>
      <c r="QRE1" s="536"/>
      <c r="QRF1" s="536"/>
      <c r="QRG1" s="536"/>
      <c r="QRH1" s="536"/>
      <c r="QRI1" s="536"/>
      <c r="QRJ1" s="536"/>
      <c r="QRK1" s="536"/>
      <c r="QRL1" s="536"/>
      <c r="QRM1" s="536"/>
      <c r="QRN1" s="536"/>
      <c r="QRO1" s="536"/>
      <c r="QRP1" s="536"/>
      <c r="QRQ1" s="536"/>
      <c r="QRR1" s="536"/>
      <c r="QRS1" s="536"/>
      <c r="QRT1" s="536"/>
      <c r="QRU1" s="536"/>
      <c r="QRV1" s="536"/>
      <c r="QRW1" s="536"/>
      <c r="QRX1" s="536"/>
      <c r="QRY1" s="536"/>
      <c r="QRZ1" s="536"/>
      <c r="QSA1" s="536"/>
      <c r="QSB1" s="536"/>
      <c r="QSC1" s="536"/>
      <c r="QSD1" s="536"/>
      <c r="QSE1" s="536"/>
      <c r="QSF1" s="536"/>
      <c r="QSG1" s="536"/>
      <c r="QSH1" s="536"/>
      <c r="QSI1" s="536"/>
      <c r="QSJ1" s="536"/>
      <c r="QSK1" s="536"/>
      <c r="QSL1" s="536"/>
      <c r="QSM1" s="536"/>
      <c r="QSN1" s="536"/>
      <c r="QSO1" s="536"/>
      <c r="QSP1" s="536"/>
      <c r="QSQ1" s="536"/>
      <c r="QSR1" s="536"/>
      <c r="QSS1" s="536"/>
      <c r="QST1" s="536"/>
      <c r="QSU1" s="536"/>
      <c r="QSV1" s="536"/>
      <c r="QSW1" s="536"/>
      <c r="QSX1" s="536"/>
      <c r="QSY1" s="536"/>
      <c r="QSZ1" s="536"/>
      <c r="QTA1" s="536"/>
      <c r="QTB1" s="536"/>
      <c r="QTC1" s="536"/>
      <c r="QTD1" s="536"/>
      <c r="QTE1" s="536"/>
      <c r="QTF1" s="536"/>
      <c r="QTG1" s="536"/>
      <c r="QTH1" s="536"/>
      <c r="QTI1" s="536"/>
      <c r="QTJ1" s="536"/>
      <c r="QTK1" s="536"/>
      <c r="QTL1" s="536"/>
      <c r="QTM1" s="536"/>
      <c r="QTN1" s="536"/>
      <c r="QTO1" s="536"/>
      <c r="QTP1" s="536"/>
      <c r="QTQ1" s="536"/>
      <c r="QTR1" s="536"/>
      <c r="QTS1" s="536"/>
      <c r="QTT1" s="536"/>
      <c r="QTU1" s="536"/>
      <c r="QTV1" s="536"/>
      <c r="QTW1" s="536"/>
      <c r="QTX1" s="536"/>
      <c r="QTY1" s="536"/>
      <c r="QTZ1" s="536"/>
      <c r="QUA1" s="536"/>
      <c r="QUB1" s="536"/>
      <c r="QUC1" s="536"/>
      <c r="QUD1" s="536"/>
      <c r="QUE1" s="536"/>
      <c r="QUF1" s="536"/>
      <c r="QUG1" s="536"/>
      <c r="QUH1" s="536"/>
      <c r="QUI1" s="536"/>
      <c r="QUJ1" s="536"/>
      <c r="QUK1" s="536"/>
      <c r="QUL1" s="536"/>
      <c r="QUM1" s="536"/>
      <c r="QUN1" s="536"/>
      <c r="QUO1" s="536"/>
      <c r="QUP1" s="536"/>
      <c r="QUQ1" s="536"/>
      <c r="QUR1" s="536"/>
      <c r="QUS1" s="536"/>
      <c r="QUT1" s="536"/>
      <c r="QUU1" s="536"/>
      <c r="QUV1" s="536"/>
      <c r="QUW1" s="536"/>
      <c r="QUX1" s="536"/>
      <c r="QUY1" s="536"/>
      <c r="QUZ1" s="536"/>
      <c r="QVA1" s="536"/>
      <c r="QVB1" s="536"/>
      <c r="QVC1" s="536"/>
      <c r="QVD1" s="536"/>
      <c r="QVE1" s="536"/>
      <c r="QVF1" s="536"/>
      <c r="QVG1" s="536"/>
      <c r="QVH1" s="536"/>
      <c r="QVI1" s="536"/>
      <c r="QVJ1" s="536"/>
      <c r="QVK1" s="536"/>
      <c r="QVL1" s="536"/>
      <c r="QVM1" s="536"/>
      <c r="QVN1" s="536"/>
      <c r="QVO1" s="536"/>
      <c r="QVP1" s="536"/>
      <c r="QVQ1" s="536"/>
      <c r="QVR1" s="536"/>
      <c r="QVS1" s="536"/>
      <c r="QVT1" s="536"/>
      <c r="QVU1" s="536"/>
      <c r="QVV1" s="536"/>
      <c r="QVW1" s="536"/>
      <c r="QVX1" s="536"/>
      <c r="QVY1" s="536"/>
      <c r="QVZ1" s="536"/>
      <c r="QWA1" s="536"/>
      <c r="QWB1" s="536"/>
      <c r="QWC1" s="536"/>
      <c r="QWD1" s="536"/>
      <c r="QWE1" s="536"/>
      <c r="QWF1" s="536"/>
      <c r="QWG1" s="536"/>
      <c r="QWH1" s="536"/>
      <c r="QWI1" s="536"/>
      <c r="QWJ1" s="536"/>
      <c r="QWK1" s="536"/>
      <c r="QWL1" s="536"/>
      <c r="QWM1" s="536"/>
      <c r="QWN1" s="536"/>
      <c r="QWO1" s="536"/>
      <c r="QWP1" s="536"/>
      <c r="QWQ1" s="536"/>
      <c r="QWR1" s="536"/>
      <c r="QWS1" s="536"/>
      <c r="QWT1" s="536"/>
      <c r="QWU1" s="536"/>
      <c r="QWV1" s="536"/>
      <c r="QWW1" s="536"/>
      <c r="QWX1" s="536"/>
      <c r="QWY1" s="536"/>
      <c r="QWZ1" s="536"/>
      <c r="QXA1" s="536"/>
      <c r="QXB1" s="536"/>
      <c r="QXC1" s="536"/>
      <c r="QXD1" s="536"/>
      <c r="QXE1" s="536"/>
      <c r="QXF1" s="536"/>
      <c r="QXG1" s="536"/>
      <c r="QXH1" s="536"/>
      <c r="QXI1" s="536"/>
      <c r="QXJ1" s="536"/>
      <c r="QXK1" s="536"/>
      <c r="QXL1" s="536"/>
      <c r="QXM1" s="536"/>
      <c r="QXN1" s="536"/>
      <c r="QXO1" s="536"/>
      <c r="QXP1" s="536"/>
      <c r="QXQ1" s="536"/>
      <c r="QXR1" s="536"/>
      <c r="QXS1" s="536"/>
      <c r="QXT1" s="536"/>
      <c r="QXU1" s="536"/>
      <c r="QXV1" s="536"/>
      <c r="QXW1" s="536"/>
      <c r="QXX1" s="536"/>
      <c r="QXY1" s="536"/>
      <c r="QXZ1" s="536"/>
      <c r="QYA1" s="536"/>
      <c r="QYB1" s="536"/>
      <c r="QYC1" s="536"/>
      <c r="QYD1" s="536"/>
      <c r="QYE1" s="536"/>
      <c r="QYF1" s="536"/>
      <c r="QYG1" s="536"/>
      <c r="QYH1" s="536"/>
      <c r="QYI1" s="536"/>
      <c r="QYJ1" s="536"/>
      <c r="QYK1" s="536"/>
      <c r="QYL1" s="536"/>
      <c r="QYM1" s="536"/>
      <c r="QYN1" s="536"/>
      <c r="QYO1" s="536"/>
      <c r="QYP1" s="536"/>
      <c r="QYQ1" s="536"/>
      <c r="QYR1" s="536"/>
      <c r="QYS1" s="536"/>
      <c r="QYT1" s="536"/>
      <c r="QYU1" s="536"/>
      <c r="QYV1" s="536"/>
      <c r="QYW1" s="536"/>
      <c r="QYX1" s="536"/>
      <c r="QYY1" s="536"/>
      <c r="QYZ1" s="536"/>
      <c r="QZA1" s="536"/>
      <c r="QZB1" s="536"/>
      <c r="QZC1" s="536"/>
      <c r="QZD1" s="536"/>
      <c r="QZE1" s="536"/>
      <c r="QZF1" s="536"/>
      <c r="QZG1" s="536"/>
      <c r="QZH1" s="536"/>
      <c r="QZI1" s="536"/>
      <c r="QZJ1" s="536"/>
      <c r="QZK1" s="536"/>
      <c r="QZL1" s="536"/>
      <c r="QZM1" s="536"/>
      <c r="QZN1" s="536"/>
      <c r="QZO1" s="536"/>
      <c r="QZP1" s="536"/>
      <c r="QZQ1" s="536"/>
      <c r="QZR1" s="536"/>
      <c r="QZS1" s="536"/>
      <c r="QZT1" s="536"/>
      <c r="QZU1" s="536"/>
      <c r="QZV1" s="536"/>
      <c r="QZW1" s="536"/>
      <c r="QZX1" s="536"/>
      <c r="QZY1" s="536"/>
      <c r="QZZ1" s="536"/>
      <c r="RAA1" s="536"/>
      <c r="RAB1" s="536"/>
      <c r="RAC1" s="536"/>
      <c r="RAD1" s="536"/>
      <c r="RAE1" s="536"/>
      <c r="RAF1" s="536"/>
      <c r="RAG1" s="536"/>
      <c r="RAH1" s="536"/>
      <c r="RAI1" s="536"/>
      <c r="RAJ1" s="536"/>
      <c r="RAK1" s="536"/>
      <c r="RAL1" s="536"/>
      <c r="RAM1" s="536"/>
      <c r="RAN1" s="536"/>
      <c r="RAO1" s="536"/>
      <c r="RAP1" s="536"/>
      <c r="RAQ1" s="536"/>
      <c r="RAR1" s="536"/>
      <c r="RAS1" s="536"/>
      <c r="RAT1" s="536"/>
      <c r="RAU1" s="536"/>
      <c r="RAV1" s="536"/>
      <c r="RAW1" s="536"/>
      <c r="RAX1" s="536"/>
      <c r="RAY1" s="536"/>
      <c r="RAZ1" s="536"/>
      <c r="RBA1" s="536"/>
      <c r="RBB1" s="536"/>
      <c r="RBC1" s="536"/>
      <c r="RBD1" s="536"/>
      <c r="RBE1" s="536"/>
      <c r="RBF1" s="536"/>
      <c r="RBG1" s="536"/>
      <c r="RBH1" s="536"/>
      <c r="RBI1" s="536"/>
      <c r="RBJ1" s="536"/>
      <c r="RBK1" s="536"/>
      <c r="RBL1" s="536"/>
      <c r="RBM1" s="536"/>
      <c r="RBN1" s="536"/>
      <c r="RBO1" s="536"/>
      <c r="RBP1" s="536"/>
      <c r="RBQ1" s="536"/>
      <c r="RBR1" s="536"/>
      <c r="RBS1" s="536"/>
      <c r="RBT1" s="536"/>
      <c r="RBU1" s="536"/>
      <c r="RBV1" s="536"/>
      <c r="RBW1" s="536"/>
      <c r="RBX1" s="536"/>
      <c r="RBY1" s="536"/>
      <c r="RBZ1" s="536"/>
      <c r="RCA1" s="536"/>
      <c r="RCB1" s="536"/>
      <c r="RCC1" s="536"/>
      <c r="RCD1" s="536"/>
      <c r="RCE1" s="536"/>
      <c r="RCF1" s="536"/>
      <c r="RCG1" s="536"/>
      <c r="RCH1" s="536"/>
      <c r="RCI1" s="536"/>
      <c r="RCJ1" s="536"/>
      <c r="RCK1" s="536"/>
      <c r="RCL1" s="536"/>
      <c r="RCM1" s="536"/>
      <c r="RCN1" s="536"/>
      <c r="RCO1" s="536"/>
      <c r="RCP1" s="536"/>
      <c r="RCQ1" s="536"/>
      <c r="RCR1" s="536"/>
      <c r="RCS1" s="536"/>
      <c r="RCT1" s="536"/>
      <c r="RCU1" s="536"/>
      <c r="RCV1" s="536"/>
      <c r="RCW1" s="536"/>
      <c r="RCX1" s="536"/>
      <c r="RCY1" s="536"/>
      <c r="RCZ1" s="536"/>
      <c r="RDA1" s="536"/>
      <c r="RDB1" s="536"/>
      <c r="RDC1" s="536"/>
      <c r="RDD1" s="536"/>
      <c r="RDE1" s="536"/>
      <c r="RDF1" s="536"/>
      <c r="RDG1" s="536"/>
      <c r="RDH1" s="536"/>
      <c r="RDI1" s="536"/>
      <c r="RDJ1" s="536"/>
      <c r="RDK1" s="536"/>
      <c r="RDL1" s="536"/>
      <c r="RDM1" s="536"/>
      <c r="RDN1" s="536"/>
      <c r="RDO1" s="536"/>
      <c r="RDP1" s="536"/>
      <c r="RDQ1" s="536"/>
      <c r="RDR1" s="536"/>
      <c r="RDS1" s="536"/>
      <c r="RDT1" s="536"/>
      <c r="RDU1" s="536"/>
      <c r="RDV1" s="536"/>
      <c r="RDW1" s="536"/>
      <c r="RDX1" s="536"/>
      <c r="RDY1" s="536"/>
      <c r="RDZ1" s="536"/>
      <c r="REA1" s="536"/>
      <c r="REB1" s="536"/>
      <c r="REC1" s="536"/>
      <c r="RED1" s="536"/>
      <c r="REE1" s="536"/>
      <c r="REF1" s="536"/>
      <c r="REG1" s="536"/>
      <c r="REH1" s="536"/>
      <c r="REI1" s="536"/>
      <c r="REJ1" s="536"/>
      <c r="REK1" s="536"/>
      <c r="REL1" s="536"/>
      <c r="REM1" s="536"/>
      <c r="REN1" s="536"/>
      <c r="REO1" s="536"/>
      <c r="REP1" s="536"/>
      <c r="REQ1" s="536"/>
      <c r="RER1" s="536"/>
      <c r="RES1" s="536"/>
      <c r="RET1" s="536"/>
      <c r="REU1" s="536"/>
      <c r="REV1" s="536"/>
      <c r="REW1" s="536"/>
      <c r="REX1" s="536"/>
      <c r="REY1" s="536"/>
      <c r="REZ1" s="536"/>
      <c r="RFA1" s="536"/>
      <c r="RFB1" s="536"/>
      <c r="RFC1" s="536"/>
      <c r="RFD1" s="536"/>
      <c r="RFE1" s="536"/>
      <c r="RFF1" s="536"/>
      <c r="RFG1" s="536"/>
      <c r="RFH1" s="536"/>
      <c r="RFI1" s="536"/>
      <c r="RFJ1" s="536"/>
      <c r="RFK1" s="536"/>
      <c r="RFL1" s="536"/>
      <c r="RFM1" s="536"/>
      <c r="RFN1" s="536"/>
      <c r="RFO1" s="536"/>
      <c r="RFP1" s="536"/>
      <c r="RFQ1" s="536"/>
      <c r="RFR1" s="536"/>
      <c r="RFS1" s="536"/>
      <c r="RFT1" s="536"/>
      <c r="RFU1" s="536"/>
      <c r="RFV1" s="536"/>
      <c r="RFW1" s="536"/>
      <c r="RFX1" s="536"/>
      <c r="RFY1" s="536"/>
      <c r="RFZ1" s="536"/>
      <c r="RGA1" s="536"/>
      <c r="RGB1" s="536"/>
      <c r="RGC1" s="536"/>
      <c r="RGD1" s="536"/>
      <c r="RGE1" s="536"/>
      <c r="RGF1" s="536"/>
      <c r="RGG1" s="536"/>
      <c r="RGH1" s="536"/>
      <c r="RGI1" s="536"/>
      <c r="RGJ1" s="536"/>
      <c r="RGK1" s="536"/>
      <c r="RGL1" s="536"/>
      <c r="RGM1" s="536"/>
      <c r="RGN1" s="536"/>
      <c r="RGO1" s="536"/>
      <c r="RGP1" s="536"/>
      <c r="RGQ1" s="536"/>
      <c r="RGR1" s="536"/>
      <c r="RGS1" s="536"/>
      <c r="RGT1" s="536"/>
      <c r="RGU1" s="536"/>
      <c r="RGV1" s="536"/>
      <c r="RGW1" s="536"/>
      <c r="RGX1" s="536"/>
      <c r="RGY1" s="536"/>
      <c r="RGZ1" s="536"/>
      <c r="RHA1" s="536"/>
      <c r="RHB1" s="536"/>
      <c r="RHC1" s="536"/>
      <c r="RHD1" s="536"/>
      <c r="RHE1" s="536"/>
      <c r="RHF1" s="536"/>
      <c r="RHG1" s="536"/>
      <c r="RHH1" s="536"/>
      <c r="RHI1" s="536"/>
      <c r="RHJ1" s="536"/>
      <c r="RHK1" s="536"/>
      <c r="RHL1" s="536"/>
      <c r="RHM1" s="536"/>
      <c r="RHN1" s="536"/>
      <c r="RHO1" s="536"/>
      <c r="RHP1" s="536"/>
      <c r="RHQ1" s="536"/>
      <c r="RHR1" s="536"/>
      <c r="RHS1" s="536"/>
      <c r="RHT1" s="536"/>
      <c r="RHU1" s="536"/>
      <c r="RHV1" s="536"/>
      <c r="RHW1" s="536"/>
      <c r="RHX1" s="536"/>
      <c r="RHY1" s="536"/>
      <c r="RHZ1" s="536"/>
      <c r="RIA1" s="536"/>
      <c r="RIB1" s="536"/>
      <c r="RIC1" s="536"/>
      <c r="RID1" s="536"/>
      <c r="RIE1" s="536"/>
      <c r="RIF1" s="536"/>
      <c r="RIG1" s="536"/>
      <c r="RIH1" s="536"/>
      <c r="RII1" s="536"/>
      <c r="RIJ1" s="536"/>
      <c r="RIK1" s="536"/>
      <c r="RIL1" s="536"/>
      <c r="RIM1" s="536"/>
      <c r="RIN1" s="536"/>
      <c r="RIO1" s="536"/>
      <c r="RIP1" s="536"/>
      <c r="RIQ1" s="536"/>
      <c r="RIR1" s="536"/>
      <c r="RIS1" s="536"/>
      <c r="RIT1" s="536"/>
      <c r="RIU1" s="536"/>
      <c r="RIV1" s="536"/>
      <c r="RIW1" s="536"/>
      <c r="RIX1" s="536"/>
      <c r="RIY1" s="536"/>
      <c r="RIZ1" s="536"/>
      <c r="RJA1" s="536"/>
      <c r="RJB1" s="536"/>
      <c r="RJC1" s="536"/>
      <c r="RJD1" s="536"/>
      <c r="RJE1" s="536"/>
      <c r="RJF1" s="536"/>
      <c r="RJG1" s="536"/>
      <c r="RJH1" s="536"/>
      <c r="RJI1" s="536"/>
      <c r="RJJ1" s="536"/>
      <c r="RJK1" s="536"/>
      <c r="RJL1" s="536"/>
      <c r="RJM1" s="536"/>
      <c r="RJN1" s="536"/>
      <c r="RJO1" s="536"/>
      <c r="RJP1" s="536"/>
      <c r="RJQ1" s="536"/>
      <c r="RJR1" s="536"/>
      <c r="RJS1" s="536"/>
      <c r="RJT1" s="536"/>
      <c r="RJU1" s="536"/>
      <c r="RJV1" s="536"/>
      <c r="RJW1" s="536"/>
      <c r="RJX1" s="536"/>
      <c r="RJY1" s="536"/>
      <c r="RJZ1" s="536"/>
      <c r="RKA1" s="536"/>
      <c r="RKB1" s="536"/>
      <c r="RKC1" s="536"/>
      <c r="RKD1" s="536"/>
      <c r="RKE1" s="536"/>
      <c r="RKF1" s="536"/>
      <c r="RKG1" s="536"/>
      <c r="RKH1" s="536"/>
      <c r="RKI1" s="536"/>
      <c r="RKJ1" s="536"/>
      <c r="RKK1" s="536"/>
      <c r="RKL1" s="536"/>
      <c r="RKM1" s="536"/>
      <c r="RKN1" s="536"/>
      <c r="RKO1" s="536"/>
      <c r="RKP1" s="536"/>
      <c r="RKQ1" s="536"/>
      <c r="RKR1" s="536"/>
      <c r="RKS1" s="536"/>
      <c r="RKT1" s="536"/>
      <c r="RKU1" s="536"/>
      <c r="RKV1" s="536"/>
      <c r="RKW1" s="536"/>
      <c r="RKX1" s="536"/>
      <c r="RKY1" s="536"/>
      <c r="RKZ1" s="536"/>
      <c r="RLA1" s="536"/>
      <c r="RLB1" s="536"/>
      <c r="RLC1" s="536"/>
      <c r="RLD1" s="536"/>
      <c r="RLE1" s="536"/>
      <c r="RLF1" s="536"/>
      <c r="RLG1" s="536"/>
      <c r="RLH1" s="536"/>
      <c r="RLI1" s="536"/>
      <c r="RLJ1" s="536"/>
      <c r="RLK1" s="536"/>
      <c r="RLL1" s="536"/>
      <c r="RLM1" s="536"/>
      <c r="RLN1" s="536"/>
      <c r="RLO1" s="536"/>
      <c r="RLP1" s="536"/>
      <c r="RLQ1" s="536"/>
      <c r="RLR1" s="536"/>
      <c r="RLS1" s="536"/>
      <c r="RLT1" s="536"/>
      <c r="RLU1" s="536"/>
      <c r="RLV1" s="536"/>
      <c r="RLW1" s="536"/>
      <c r="RLX1" s="536"/>
      <c r="RLY1" s="536"/>
      <c r="RLZ1" s="536"/>
      <c r="RMA1" s="536"/>
      <c r="RMB1" s="536"/>
      <c r="RMC1" s="536"/>
      <c r="RMD1" s="536"/>
      <c r="RME1" s="536"/>
      <c r="RMF1" s="536"/>
      <c r="RMG1" s="536"/>
      <c r="RMH1" s="536"/>
      <c r="RMI1" s="536"/>
      <c r="RMJ1" s="536"/>
      <c r="RMK1" s="536"/>
      <c r="RML1" s="536"/>
      <c r="RMM1" s="536"/>
      <c r="RMN1" s="536"/>
      <c r="RMO1" s="536"/>
      <c r="RMP1" s="536"/>
      <c r="RMQ1" s="536"/>
      <c r="RMR1" s="536"/>
      <c r="RMS1" s="536"/>
      <c r="RMT1" s="536"/>
      <c r="RMU1" s="536"/>
      <c r="RMV1" s="536"/>
      <c r="RMW1" s="536"/>
      <c r="RMX1" s="536"/>
      <c r="RMY1" s="536"/>
      <c r="RMZ1" s="536"/>
      <c r="RNA1" s="536"/>
      <c r="RNB1" s="536"/>
      <c r="RNC1" s="536"/>
      <c r="RND1" s="536"/>
      <c r="RNE1" s="536"/>
      <c r="RNF1" s="536"/>
      <c r="RNG1" s="536"/>
      <c r="RNH1" s="536"/>
      <c r="RNI1" s="536"/>
      <c r="RNJ1" s="536"/>
      <c r="RNK1" s="536"/>
      <c r="RNL1" s="536"/>
      <c r="RNM1" s="536"/>
      <c r="RNN1" s="536"/>
      <c r="RNO1" s="536"/>
      <c r="RNP1" s="536"/>
      <c r="RNQ1" s="536"/>
      <c r="RNR1" s="536"/>
      <c r="RNS1" s="536"/>
      <c r="RNT1" s="536"/>
      <c r="RNU1" s="536"/>
      <c r="RNV1" s="536"/>
      <c r="RNW1" s="536"/>
      <c r="RNX1" s="536"/>
      <c r="RNY1" s="536"/>
      <c r="RNZ1" s="536"/>
      <c r="ROA1" s="536"/>
      <c r="ROB1" s="536"/>
      <c r="ROC1" s="536"/>
      <c r="ROD1" s="536"/>
      <c r="ROE1" s="536"/>
      <c r="ROF1" s="536"/>
      <c r="ROG1" s="536"/>
      <c r="ROH1" s="536"/>
      <c r="ROI1" s="536"/>
      <c r="ROJ1" s="536"/>
      <c r="ROK1" s="536"/>
      <c r="ROL1" s="536"/>
      <c r="ROM1" s="536"/>
      <c r="RON1" s="536"/>
      <c r="ROO1" s="536"/>
      <c r="ROP1" s="536"/>
      <c r="ROQ1" s="536"/>
      <c r="ROR1" s="536"/>
      <c r="ROS1" s="536"/>
      <c r="ROT1" s="536"/>
      <c r="ROU1" s="536"/>
      <c r="ROV1" s="536"/>
      <c r="ROW1" s="536"/>
      <c r="ROX1" s="536"/>
      <c r="ROY1" s="536"/>
      <c r="ROZ1" s="536"/>
      <c r="RPA1" s="536"/>
      <c r="RPB1" s="536"/>
      <c r="RPC1" s="536"/>
      <c r="RPD1" s="536"/>
      <c r="RPE1" s="536"/>
      <c r="RPF1" s="536"/>
      <c r="RPG1" s="536"/>
      <c r="RPH1" s="536"/>
      <c r="RPI1" s="536"/>
      <c r="RPJ1" s="536"/>
      <c r="RPK1" s="536"/>
      <c r="RPL1" s="536"/>
      <c r="RPM1" s="536"/>
      <c r="RPN1" s="536"/>
      <c r="RPO1" s="536"/>
      <c r="RPP1" s="536"/>
      <c r="RPQ1" s="536"/>
      <c r="RPR1" s="536"/>
      <c r="RPS1" s="536"/>
      <c r="RPT1" s="536"/>
      <c r="RPU1" s="536"/>
      <c r="RPV1" s="536"/>
      <c r="RPW1" s="536"/>
      <c r="RPX1" s="536"/>
      <c r="RPY1" s="536"/>
      <c r="RPZ1" s="536"/>
      <c r="RQA1" s="536"/>
      <c r="RQB1" s="536"/>
      <c r="RQC1" s="536"/>
      <c r="RQD1" s="536"/>
      <c r="RQE1" s="536"/>
      <c r="RQF1" s="536"/>
      <c r="RQG1" s="536"/>
      <c r="RQH1" s="536"/>
      <c r="RQI1" s="536"/>
      <c r="RQJ1" s="536"/>
      <c r="RQK1" s="536"/>
      <c r="RQL1" s="536"/>
      <c r="RQM1" s="536"/>
      <c r="RQN1" s="536"/>
      <c r="RQO1" s="536"/>
      <c r="RQP1" s="536"/>
      <c r="RQQ1" s="536"/>
      <c r="RQR1" s="536"/>
      <c r="RQS1" s="536"/>
      <c r="RQT1" s="536"/>
      <c r="RQU1" s="536"/>
      <c r="RQV1" s="536"/>
      <c r="RQW1" s="536"/>
      <c r="RQX1" s="536"/>
      <c r="RQY1" s="536"/>
      <c r="RQZ1" s="536"/>
      <c r="RRA1" s="536"/>
      <c r="RRB1" s="536"/>
      <c r="RRC1" s="536"/>
      <c r="RRD1" s="536"/>
      <c r="RRE1" s="536"/>
      <c r="RRF1" s="536"/>
      <c r="RRG1" s="536"/>
      <c r="RRH1" s="536"/>
      <c r="RRI1" s="536"/>
      <c r="RRJ1" s="536"/>
      <c r="RRK1" s="536"/>
      <c r="RRL1" s="536"/>
      <c r="RRM1" s="536"/>
      <c r="RRN1" s="536"/>
      <c r="RRO1" s="536"/>
      <c r="RRP1" s="536"/>
      <c r="RRQ1" s="536"/>
      <c r="RRR1" s="536"/>
      <c r="RRS1" s="536"/>
      <c r="RRT1" s="536"/>
      <c r="RRU1" s="536"/>
      <c r="RRV1" s="536"/>
      <c r="RRW1" s="536"/>
      <c r="RRX1" s="536"/>
      <c r="RRY1" s="536"/>
      <c r="RRZ1" s="536"/>
      <c r="RSA1" s="536"/>
      <c r="RSB1" s="536"/>
      <c r="RSC1" s="536"/>
      <c r="RSD1" s="536"/>
      <c r="RSE1" s="536"/>
      <c r="RSF1" s="536"/>
      <c r="RSG1" s="536"/>
      <c r="RSH1" s="536"/>
      <c r="RSI1" s="536"/>
      <c r="RSJ1" s="536"/>
      <c r="RSK1" s="536"/>
      <c r="RSL1" s="536"/>
      <c r="RSM1" s="536"/>
      <c r="RSN1" s="536"/>
      <c r="RSO1" s="536"/>
      <c r="RSP1" s="536"/>
      <c r="RSQ1" s="536"/>
      <c r="RSR1" s="536"/>
      <c r="RSS1" s="536"/>
      <c r="RST1" s="536"/>
      <c r="RSU1" s="536"/>
      <c r="RSV1" s="536"/>
      <c r="RSW1" s="536"/>
      <c r="RSX1" s="536"/>
      <c r="RSY1" s="536"/>
      <c r="RSZ1" s="536"/>
      <c r="RTA1" s="536"/>
      <c r="RTB1" s="536"/>
      <c r="RTC1" s="536"/>
      <c r="RTD1" s="536"/>
      <c r="RTE1" s="536"/>
      <c r="RTF1" s="536"/>
      <c r="RTG1" s="536"/>
      <c r="RTH1" s="536"/>
      <c r="RTI1" s="536"/>
      <c r="RTJ1" s="536"/>
      <c r="RTK1" s="536"/>
      <c r="RTL1" s="536"/>
      <c r="RTM1" s="536"/>
      <c r="RTN1" s="536"/>
      <c r="RTO1" s="536"/>
      <c r="RTP1" s="536"/>
      <c r="RTQ1" s="536"/>
      <c r="RTR1" s="536"/>
      <c r="RTS1" s="536"/>
      <c r="RTT1" s="536"/>
      <c r="RTU1" s="536"/>
      <c r="RTV1" s="536"/>
      <c r="RTW1" s="536"/>
      <c r="RTX1" s="536"/>
      <c r="RTY1" s="536"/>
      <c r="RTZ1" s="536"/>
      <c r="RUA1" s="536"/>
      <c r="RUB1" s="536"/>
      <c r="RUC1" s="536"/>
      <c r="RUD1" s="536"/>
      <c r="RUE1" s="536"/>
      <c r="RUF1" s="536"/>
      <c r="RUG1" s="536"/>
      <c r="RUH1" s="536"/>
      <c r="RUI1" s="536"/>
      <c r="RUJ1" s="536"/>
      <c r="RUK1" s="536"/>
      <c r="RUL1" s="536"/>
      <c r="RUM1" s="536"/>
      <c r="RUN1" s="536"/>
      <c r="RUO1" s="536"/>
      <c r="RUP1" s="536"/>
      <c r="RUQ1" s="536"/>
      <c r="RUR1" s="536"/>
      <c r="RUS1" s="536"/>
      <c r="RUT1" s="536"/>
      <c r="RUU1" s="536"/>
      <c r="RUV1" s="536"/>
      <c r="RUW1" s="536"/>
      <c r="RUX1" s="536"/>
      <c r="RUY1" s="536"/>
      <c r="RUZ1" s="536"/>
      <c r="RVA1" s="536"/>
      <c r="RVB1" s="536"/>
      <c r="RVC1" s="536"/>
      <c r="RVD1" s="536"/>
      <c r="RVE1" s="536"/>
      <c r="RVF1" s="536"/>
      <c r="RVG1" s="536"/>
      <c r="RVH1" s="536"/>
      <c r="RVI1" s="536"/>
      <c r="RVJ1" s="536"/>
      <c r="RVK1" s="536"/>
      <c r="RVL1" s="536"/>
      <c r="RVM1" s="536"/>
      <c r="RVN1" s="536"/>
      <c r="RVO1" s="536"/>
      <c r="RVP1" s="536"/>
      <c r="RVQ1" s="536"/>
      <c r="RVR1" s="536"/>
      <c r="RVS1" s="536"/>
      <c r="RVT1" s="536"/>
      <c r="RVU1" s="536"/>
      <c r="RVV1" s="536"/>
      <c r="RVW1" s="536"/>
      <c r="RVX1" s="536"/>
      <c r="RVY1" s="536"/>
      <c r="RVZ1" s="536"/>
      <c r="RWA1" s="536"/>
      <c r="RWB1" s="536"/>
      <c r="RWC1" s="536"/>
      <c r="RWD1" s="536"/>
      <c r="RWE1" s="536"/>
      <c r="RWF1" s="536"/>
      <c r="RWG1" s="536"/>
      <c r="RWH1" s="536"/>
      <c r="RWI1" s="536"/>
      <c r="RWJ1" s="536"/>
      <c r="RWK1" s="536"/>
      <c r="RWL1" s="536"/>
      <c r="RWM1" s="536"/>
      <c r="RWN1" s="536"/>
      <c r="RWO1" s="536"/>
      <c r="RWP1" s="536"/>
      <c r="RWQ1" s="536"/>
      <c r="RWR1" s="536"/>
      <c r="RWS1" s="536"/>
      <c r="RWT1" s="536"/>
      <c r="RWU1" s="536"/>
      <c r="RWV1" s="536"/>
      <c r="RWW1" s="536"/>
      <c r="RWX1" s="536"/>
      <c r="RWY1" s="536"/>
      <c r="RWZ1" s="536"/>
      <c r="RXA1" s="536"/>
      <c r="RXB1" s="536"/>
      <c r="RXC1" s="536"/>
      <c r="RXD1" s="536"/>
      <c r="RXE1" s="536"/>
      <c r="RXF1" s="536"/>
      <c r="RXG1" s="536"/>
      <c r="RXH1" s="536"/>
      <c r="RXI1" s="536"/>
      <c r="RXJ1" s="536"/>
      <c r="RXK1" s="536"/>
      <c r="RXL1" s="536"/>
      <c r="RXM1" s="536"/>
      <c r="RXN1" s="536"/>
      <c r="RXO1" s="536"/>
      <c r="RXP1" s="536"/>
      <c r="RXQ1" s="536"/>
      <c r="RXR1" s="536"/>
      <c r="RXS1" s="536"/>
      <c r="RXT1" s="536"/>
      <c r="RXU1" s="536"/>
      <c r="RXV1" s="536"/>
      <c r="RXW1" s="536"/>
      <c r="RXX1" s="536"/>
      <c r="RXY1" s="536"/>
      <c r="RXZ1" s="536"/>
      <c r="RYA1" s="536"/>
      <c r="RYB1" s="536"/>
      <c r="RYC1" s="536"/>
      <c r="RYD1" s="536"/>
      <c r="RYE1" s="536"/>
      <c r="RYF1" s="536"/>
      <c r="RYG1" s="536"/>
      <c r="RYH1" s="536"/>
      <c r="RYI1" s="536"/>
      <c r="RYJ1" s="536"/>
      <c r="RYK1" s="536"/>
      <c r="RYL1" s="536"/>
      <c r="RYM1" s="536"/>
      <c r="RYN1" s="536"/>
      <c r="RYO1" s="536"/>
      <c r="RYP1" s="536"/>
      <c r="RYQ1" s="536"/>
      <c r="RYR1" s="536"/>
      <c r="RYS1" s="536"/>
      <c r="RYT1" s="536"/>
      <c r="RYU1" s="536"/>
      <c r="RYV1" s="536"/>
      <c r="RYW1" s="536"/>
      <c r="RYX1" s="536"/>
      <c r="RYY1" s="536"/>
      <c r="RYZ1" s="536"/>
      <c r="RZA1" s="536"/>
      <c r="RZB1" s="536"/>
      <c r="RZC1" s="536"/>
      <c r="RZD1" s="536"/>
      <c r="RZE1" s="536"/>
      <c r="RZF1" s="536"/>
      <c r="RZG1" s="536"/>
      <c r="RZH1" s="536"/>
      <c r="RZI1" s="536"/>
      <c r="RZJ1" s="536"/>
      <c r="RZK1" s="536"/>
      <c r="RZL1" s="536"/>
      <c r="RZM1" s="536"/>
      <c r="RZN1" s="536"/>
      <c r="RZO1" s="536"/>
      <c r="RZP1" s="536"/>
      <c r="RZQ1" s="536"/>
      <c r="RZR1" s="536"/>
      <c r="RZS1" s="536"/>
      <c r="RZT1" s="536"/>
      <c r="RZU1" s="536"/>
      <c r="RZV1" s="536"/>
      <c r="RZW1" s="536"/>
      <c r="RZX1" s="536"/>
      <c r="RZY1" s="536"/>
      <c r="RZZ1" s="536"/>
      <c r="SAA1" s="536"/>
      <c r="SAB1" s="536"/>
      <c r="SAC1" s="536"/>
      <c r="SAD1" s="536"/>
      <c r="SAE1" s="536"/>
      <c r="SAF1" s="536"/>
      <c r="SAG1" s="536"/>
      <c r="SAH1" s="536"/>
      <c r="SAI1" s="536"/>
      <c r="SAJ1" s="536"/>
      <c r="SAK1" s="536"/>
      <c r="SAL1" s="536"/>
      <c r="SAM1" s="536"/>
      <c r="SAN1" s="536"/>
      <c r="SAO1" s="536"/>
      <c r="SAP1" s="536"/>
      <c r="SAQ1" s="536"/>
      <c r="SAR1" s="536"/>
      <c r="SAS1" s="536"/>
      <c r="SAT1" s="536"/>
      <c r="SAU1" s="536"/>
      <c r="SAV1" s="536"/>
      <c r="SAW1" s="536"/>
      <c r="SAX1" s="536"/>
      <c r="SAY1" s="536"/>
      <c r="SAZ1" s="536"/>
      <c r="SBA1" s="536"/>
      <c r="SBB1" s="536"/>
      <c r="SBC1" s="536"/>
      <c r="SBD1" s="536"/>
      <c r="SBE1" s="536"/>
      <c r="SBF1" s="536"/>
      <c r="SBG1" s="536"/>
      <c r="SBH1" s="536"/>
      <c r="SBI1" s="536"/>
      <c r="SBJ1" s="536"/>
      <c r="SBK1" s="536"/>
      <c r="SBL1" s="536"/>
      <c r="SBM1" s="536"/>
      <c r="SBN1" s="536"/>
      <c r="SBO1" s="536"/>
      <c r="SBP1" s="536"/>
      <c r="SBQ1" s="536"/>
      <c r="SBR1" s="536"/>
      <c r="SBS1" s="536"/>
      <c r="SBT1" s="536"/>
      <c r="SBU1" s="536"/>
      <c r="SBV1" s="536"/>
      <c r="SBW1" s="536"/>
      <c r="SBX1" s="536"/>
      <c r="SBY1" s="536"/>
      <c r="SBZ1" s="536"/>
      <c r="SCA1" s="536"/>
      <c r="SCB1" s="536"/>
      <c r="SCC1" s="536"/>
      <c r="SCD1" s="536"/>
      <c r="SCE1" s="536"/>
      <c r="SCF1" s="536"/>
      <c r="SCG1" s="536"/>
      <c r="SCH1" s="536"/>
      <c r="SCI1" s="536"/>
      <c r="SCJ1" s="536"/>
      <c r="SCK1" s="536"/>
      <c r="SCL1" s="536"/>
      <c r="SCM1" s="536"/>
      <c r="SCN1" s="536"/>
      <c r="SCO1" s="536"/>
      <c r="SCP1" s="536"/>
      <c r="SCQ1" s="536"/>
      <c r="SCR1" s="536"/>
      <c r="SCS1" s="536"/>
      <c r="SCT1" s="536"/>
      <c r="SCU1" s="536"/>
      <c r="SCV1" s="536"/>
      <c r="SCW1" s="536"/>
      <c r="SCX1" s="536"/>
      <c r="SCY1" s="536"/>
      <c r="SCZ1" s="536"/>
      <c r="SDA1" s="536"/>
      <c r="SDB1" s="536"/>
      <c r="SDC1" s="536"/>
      <c r="SDD1" s="536"/>
      <c r="SDE1" s="536"/>
      <c r="SDF1" s="536"/>
      <c r="SDG1" s="536"/>
      <c r="SDH1" s="536"/>
      <c r="SDI1" s="536"/>
      <c r="SDJ1" s="536"/>
      <c r="SDK1" s="536"/>
      <c r="SDL1" s="536"/>
      <c r="SDM1" s="536"/>
      <c r="SDN1" s="536"/>
      <c r="SDO1" s="536"/>
      <c r="SDP1" s="536"/>
      <c r="SDQ1" s="536"/>
      <c r="SDR1" s="536"/>
      <c r="SDS1" s="536"/>
      <c r="SDT1" s="536"/>
      <c r="SDU1" s="536"/>
      <c r="SDV1" s="536"/>
      <c r="SDW1" s="536"/>
      <c r="SDX1" s="536"/>
      <c r="SDY1" s="536"/>
      <c r="SDZ1" s="536"/>
      <c r="SEA1" s="536"/>
      <c r="SEB1" s="536"/>
      <c r="SEC1" s="536"/>
      <c r="SED1" s="536"/>
      <c r="SEE1" s="536"/>
      <c r="SEF1" s="536"/>
      <c r="SEG1" s="536"/>
      <c r="SEH1" s="536"/>
      <c r="SEI1" s="536"/>
      <c r="SEJ1" s="536"/>
      <c r="SEK1" s="536"/>
      <c r="SEL1" s="536"/>
      <c r="SEM1" s="536"/>
      <c r="SEN1" s="536"/>
      <c r="SEO1" s="536"/>
      <c r="SEP1" s="536"/>
      <c r="SEQ1" s="536"/>
      <c r="SER1" s="536"/>
      <c r="SES1" s="536"/>
      <c r="SET1" s="536"/>
      <c r="SEU1" s="536"/>
      <c r="SEV1" s="536"/>
      <c r="SEW1" s="536"/>
      <c r="SEX1" s="536"/>
      <c r="SEY1" s="536"/>
      <c r="SEZ1" s="536"/>
      <c r="SFA1" s="536"/>
      <c r="SFB1" s="536"/>
      <c r="SFC1" s="536"/>
      <c r="SFD1" s="536"/>
      <c r="SFE1" s="536"/>
      <c r="SFF1" s="536"/>
      <c r="SFG1" s="536"/>
      <c r="SFH1" s="536"/>
      <c r="SFI1" s="536"/>
      <c r="SFJ1" s="536"/>
      <c r="SFK1" s="536"/>
      <c r="SFL1" s="536"/>
      <c r="SFM1" s="536"/>
      <c r="SFN1" s="536"/>
      <c r="SFO1" s="536"/>
      <c r="SFP1" s="536"/>
      <c r="SFQ1" s="536"/>
      <c r="SFR1" s="536"/>
      <c r="SFS1" s="536"/>
      <c r="SFT1" s="536"/>
      <c r="SFU1" s="536"/>
      <c r="SFV1" s="536"/>
      <c r="SFW1" s="536"/>
      <c r="SFX1" s="536"/>
      <c r="SFY1" s="536"/>
      <c r="SFZ1" s="536"/>
      <c r="SGA1" s="536"/>
      <c r="SGB1" s="536"/>
      <c r="SGC1" s="536"/>
      <c r="SGD1" s="536"/>
      <c r="SGE1" s="536"/>
      <c r="SGF1" s="536"/>
      <c r="SGG1" s="536"/>
      <c r="SGH1" s="536"/>
      <c r="SGI1" s="536"/>
      <c r="SGJ1" s="536"/>
      <c r="SGK1" s="536"/>
      <c r="SGL1" s="536"/>
      <c r="SGM1" s="536"/>
      <c r="SGN1" s="536"/>
      <c r="SGO1" s="536"/>
      <c r="SGP1" s="536"/>
      <c r="SGQ1" s="536"/>
      <c r="SGR1" s="536"/>
      <c r="SGS1" s="536"/>
      <c r="SGT1" s="536"/>
      <c r="SGU1" s="536"/>
      <c r="SGV1" s="536"/>
      <c r="SGW1" s="536"/>
      <c r="SGX1" s="536"/>
      <c r="SGY1" s="536"/>
      <c r="SGZ1" s="536"/>
      <c r="SHA1" s="536"/>
      <c r="SHB1" s="536"/>
      <c r="SHC1" s="536"/>
      <c r="SHD1" s="536"/>
      <c r="SHE1" s="536"/>
      <c r="SHF1" s="536"/>
      <c r="SHG1" s="536"/>
      <c r="SHH1" s="536"/>
      <c r="SHI1" s="536"/>
      <c r="SHJ1" s="536"/>
      <c r="SHK1" s="536"/>
      <c r="SHL1" s="536"/>
      <c r="SHM1" s="536"/>
      <c r="SHN1" s="536"/>
      <c r="SHO1" s="536"/>
      <c r="SHP1" s="536"/>
      <c r="SHQ1" s="536"/>
      <c r="SHR1" s="536"/>
      <c r="SHS1" s="536"/>
      <c r="SHT1" s="536"/>
      <c r="SHU1" s="536"/>
      <c r="SHV1" s="536"/>
      <c r="SHW1" s="536"/>
      <c r="SHX1" s="536"/>
      <c r="SHY1" s="536"/>
      <c r="SHZ1" s="536"/>
      <c r="SIA1" s="536"/>
      <c r="SIB1" s="536"/>
      <c r="SIC1" s="536"/>
      <c r="SID1" s="536"/>
      <c r="SIE1" s="536"/>
      <c r="SIF1" s="536"/>
      <c r="SIG1" s="536"/>
      <c r="SIH1" s="536"/>
      <c r="SII1" s="536"/>
      <c r="SIJ1" s="536"/>
      <c r="SIK1" s="536"/>
      <c r="SIL1" s="536"/>
      <c r="SIM1" s="536"/>
      <c r="SIN1" s="536"/>
      <c r="SIO1" s="536"/>
      <c r="SIP1" s="536"/>
      <c r="SIQ1" s="536"/>
      <c r="SIR1" s="536"/>
      <c r="SIS1" s="536"/>
      <c r="SIT1" s="536"/>
      <c r="SIU1" s="536"/>
      <c r="SIV1" s="536"/>
      <c r="SIW1" s="536"/>
      <c r="SIX1" s="536"/>
      <c r="SIY1" s="536"/>
      <c r="SIZ1" s="536"/>
      <c r="SJA1" s="536"/>
      <c r="SJB1" s="536"/>
      <c r="SJC1" s="536"/>
      <c r="SJD1" s="536"/>
      <c r="SJE1" s="536"/>
      <c r="SJF1" s="536"/>
      <c r="SJG1" s="536"/>
      <c r="SJH1" s="536"/>
      <c r="SJI1" s="536"/>
      <c r="SJJ1" s="536"/>
      <c r="SJK1" s="536"/>
      <c r="SJL1" s="536"/>
      <c r="SJM1" s="536"/>
      <c r="SJN1" s="536"/>
      <c r="SJO1" s="536"/>
      <c r="SJP1" s="536"/>
      <c r="SJQ1" s="536"/>
      <c r="SJR1" s="536"/>
      <c r="SJS1" s="536"/>
      <c r="SJT1" s="536"/>
      <c r="SJU1" s="536"/>
      <c r="SJV1" s="536"/>
      <c r="SJW1" s="536"/>
      <c r="SJX1" s="536"/>
      <c r="SJY1" s="536"/>
      <c r="SJZ1" s="536"/>
      <c r="SKA1" s="536"/>
      <c r="SKB1" s="536"/>
      <c r="SKC1" s="536"/>
      <c r="SKD1" s="536"/>
      <c r="SKE1" s="536"/>
      <c r="SKF1" s="536"/>
      <c r="SKG1" s="536"/>
      <c r="SKH1" s="536"/>
      <c r="SKI1" s="536"/>
      <c r="SKJ1" s="536"/>
      <c r="SKK1" s="536"/>
      <c r="SKL1" s="536"/>
      <c r="SKM1" s="536"/>
      <c r="SKN1" s="536"/>
      <c r="SKO1" s="536"/>
      <c r="SKP1" s="536"/>
      <c r="SKQ1" s="536"/>
      <c r="SKR1" s="536"/>
      <c r="SKS1" s="536"/>
      <c r="SKT1" s="536"/>
      <c r="SKU1" s="536"/>
      <c r="SKV1" s="536"/>
      <c r="SKW1" s="536"/>
      <c r="SKX1" s="536"/>
      <c r="SKY1" s="536"/>
      <c r="SKZ1" s="536"/>
      <c r="SLA1" s="536"/>
      <c r="SLB1" s="536"/>
      <c r="SLC1" s="536"/>
      <c r="SLD1" s="536"/>
      <c r="SLE1" s="536"/>
      <c r="SLF1" s="536"/>
      <c r="SLG1" s="536"/>
      <c r="SLH1" s="536"/>
      <c r="SLI1" s="536"/>
      <c r="SLJ1" s="536"/>
      <c r="SLK1" s="536"/>
      <c r="SLL1" s="536"/>
      <c r="SLM1" s="536"/>
      <c r="SLN1" s="536"/>
      <c r="SLO1" s="536"/>
      <c r="SLP1" s="536"/>
      <c r="SLQ1" s="536"/>
      <c r="SLR1" s="536"/>
      <c r="SLS1" s="536"/>
      <c r="SLT1" s="536"/>
      <c r="SLU1" s="536"/>
      <c r="SLV1" s="536"/>
      <c r="SLW1" s="536"/>
      <c r="SLX1" s="536"/>
      <c r="SLY1" s="536"/>
      <c r="SLZ1" s="536"/>
      <c r="SMA1" s="536"/>
      <c r="SMB1" s="536"/>
      <c r="SMC1" s="536"/>
      <c r="SMD1" s="536"/>
      <c r="SME1" s="536"/>
      <c r="SMF1" s="536"/>
      <c r="SMG1" s="536"/>
      <c r="SMH1" s="536"/>
      <c r="SMI1" s="536"/>
      <c r="SMJ1" s="536"/>
      <c r="SMK1" s="536"/>
      <c r="SML1" s="536"/>
      <c r="SMM1" s="536"/>
      <c r="SMN1" s="536"/>
      <c r="SMO1" s="536"/>
      <c r="SMP1" s="536"/>
      <c r="SMQ1" s="536"/>
      <c r="SMR1" s="536"/>
      <c r="SMS1" s="536"/>
      <c r="SMT1" s="536"/>
      <c r="SMU1" s="536"/>
      <c r="SMV1" s="536"/>
      <c r="SMW1" s="536"/>
      <c r="SMX1" s="536"/>
      <c r="SMY1" s="536"/>
      <c r="SMZ1" s="536"/>
      <c r="SNA1" s="536"/>
      <c r="SNB1" s="536"/>
      <c r="SNC1" s="536"/>
      <c r="SND1" s="536"/>
      <c r="SNE1" s="536"/>
      <c r="SNF1" s="536"/>
      <c r="SNG1" s="536"/>
      <c r="SNH1" s="536"/>
      <c r="SNI1" s="536"/>
      <c r="SNJ1" s="536"/>
      <c r="SNK1" s="536"/>
      <c r="SNL1" s="536"/>
      <c r="SNM1" s="536"/>
      <c r="SNN1" s="536"/>
      <c r="SNO1" s="536"/>
      <c r="SNP1" s="536"/>
      <c r="SNQ1" s="536"/>
      <c r="SNR1" s="536"/>
      <c r="SNS1" s="536"/>
      <c r="SNT1" s="536"/>
      <c r="SNU1" s="536"/>
      <c r="SNV1" s="536"/>
      <c r="SNW1" s="536"/>
      <c r="SNX1" s="536"/>
      <c r="SNY1" s="536"/>
      <c r="SNZ1" s="536"/>
      <c r="SOA1" s="536"/>
      <c r="SOB1" s="536"/>
      <c r="SOC1" s="536"/>
      <c r="SOD1" s="536"/>
      <c r="SOE1" s="536"/>
      <c r="SOF1" s="536"/>
      <c r="SOG1" s="536"/>
      <c r="SOH1" s="536"/>
      <c r="SOI1" s="536"/>
      <c r="SOJ1" s="536"/>
      <c r="SOK1" s="536"/>
      <c r="SOL1" s="536"/>
      <c r="SOM1" s="536"/>
      <c r="SON1" s="536"/>
      <c r="SOO1" s="536"/>
      <c r="SOP1" s="536"/>
      <c r="SOQ1" s="536"/>
      <c r="SOR1" s="536"/>
      <c r="SOS1" s="536"/>
      <c r="SOT1" s="536"/>
      <c r="SOU1" s="536"/>
      <c r="SOV1" s="536"/>
      <c r="SOW1" s="536"/>
      <c r="SOX1" s="536"/>
      <c r="SOY1" s="536"/>
      <c r="SOZ1" s="536"/>
      <c r="SPA1" s="536"/>
      <c r="SPB1" s="536"/>
      <c r="SPC1" s="536"/>
      <c r="SPD1" s="536"/>
      <c r="SPE1" s="536"/>
      <c r="SPF1" s="536"/>
      <c r="SPG1" s="536"/>
      <c r="SPH1" s="536"/>
      <c r="SPI1" s="536"/>
      <c r="SPJ1" s="536"/>
      <c r="SPK1" s="536"/>
      <c r="SPL1" s="536"/>
      <c r="SPM1" s="536"/>
      <c r="SPN1" s="536"/>
      <c r="SPO1" s="536"/>
      <c r="SPP1" s="536"/>
      <c r="SPQ1" s="536"/>
      <c r="SPR1" s="536"/>
      <c r="SPS1" s="536"/>
      <c r="SPT1" s="536"/>
      <c r="SPU1" s="536"/>
      <c r="SPV1" s="536"/>
      <c r="SPW1" s="536"/>
      <c r="SPX1" s="536"/>
      <c r="SPY1" s="536"/>
      <c r="SPZ1" s="536"/>
      <c r="SQA1" s="536"/>
      <c r="SQB1" s="536"/>
      <c r="SQC1" s="536"/>
      <c r="SQD1" s="536"/>
      <c r="SQE1" s="536"/>
      <c r="SQF1" s="536"/>
      <c r="SQG1" s="536"/>
      <c r="SQH1" s="536"/>
      <c r="SQI1" s="536"/>
      <c r="SQJ1" s="536"/>
      <c r="SQK1" s="536"/>
      <c r="SQL1" s="536"/>
      <c r="SQM1" s="536"/>
      <c r="SQN1" s="536"/>
      <c r="SQO1" s="536"/>
      <c r="SQP1" s="536"/>
      <c r="SQQ1" s="536"/>
      <c r="SQR1" s="536"/>
      <c r="SQS1" s="536"/>
      <c r="SQT1" s="536"/>
      <c r="SQU1" s="536"/>
      <c r="SQV1" s="536"/>
      <c r="SQW1" s="536"/>
      <c r="SQX1" s="536"/>
      <c r="SQY1" s="536"/>
      <c r="SQZ1" s="536"/>
      <c r="SRA1" s="536"/>
      <c r="SRB1" s="536"/>
      <c r="SRC1" s="536"/>
      <c r="SRD1" s="536"/>
      <c r="SRE1" s="536"/>
      <c r="SRF1" s="536"/>
      <c r="SRG1" s="536"/>
      <c r="SRH1" s="536"/>
      <c r="SRI1" s="536"/>
      <c r="SRJ1" s="536"/>
      <c r="SRK1" s="536"/>
      <c r="SRL1" s="536"/>
      <c r="SRM1" s="536"/>
      <c r="SRN1" s="536"/>
      <c r="SRO1" s="536"/>
      <c r="SRP1" s="536"/>
      <c r="SRQ1" s="536"/>
      <c r="SRR1" s="536"/>
      <c r="SRS1" s="536"/>
      <c r="SRT1" s="536"/>
      <c r="SRU1" s="536"/>
      <c r="SRV1" s="536"/>
      <c r="SRW1" s="536"/>
      <c r="SRX1" s="536"/>
      <c r="SRY1" s="536"/>
      <c r="SRZ1" s="536"/>
      <c r="SSA1" s="536"/>
      <c r="SSB1" s="536"/>
      <c r="SSC1" s="536"/>
      <c r="SSD1" s="536"/>
      <c r="SSE1" s="536"/>
      <c r="SSF1" s="536"/>
      <c r="SSG1" s="536"/>
      <c r="SSH1" s="536"/>
      <c r="SSI1" s="536"/>
      <c r="SSJ1" s="536"/>
      <c r="SSK1" s="536"/>
      <c r="SSL1" s="536"/>
      <c r="SSM1" s="536"/>
      <c r="SSN1" s="536"/>
      <c r="SSO1" s="536"/>
      <c r="SSP1" s="536"/>
      <c r="SSQ1" s="536"/>
      <c r="SSR1" s="536"/>
      <c r="SSS1" s="536"/>
      <c r="SST1" s="536"/>
      <c r="SSU1" s="536"/>
      <c r="SSV1" s="536"/>
      <c r="SSW1" s="536"/>
      <c r="SSX1" s="536"/>
      <c r="SSY1" s="536"/>
      <c r="SSZ1" s="536"/>
      <c r="STA1" s="536"/>
      <c r="STB1" s="536"/>
      <c r="STC1" s="536"/>
      <c r="STD1" s="536"/>
      <c r="STE1" s="536"/>
      <c r="STF1" s="536"/>
      <c r="STG1" s="536"/>
      <c r="STH1" s="536"/>
      <c r="STI1" s="536"/>
      <c r="STJ1" s="536"/>
      <c r="STK1" s="536"/>
      <c r="STL1" s="536"/>
      <c r="STM1" s="536"/>
      <c r="STN1" s="536"/>
      <c r="STO1" s="536"/>
      <c r="STP1" s="536"/>
      <c r="STQ1" s="536"/>
      <c r="STR1" s="536"/>
      <c r="STS1" s="536"/>
      <c r="STT1" s="536"/>
      <c r="STU1" s="536"/>
      <c r="STV1" s="536"/>
      <c r="STW1" s="536"/>
      <c r="STX1" s="536"/>
      <c r="STY1" s="536"/>
      <c r="STZ1" s="536"/>
      <c r="SUA1" s="536"/>
      <c r="SUB1" s="536"/>
      <c r="SUC1" s="536"/>
      <c r="SUD1" s="536"/>
      <c r="SUE1" s="536"/>
      <c r="SUF1" s="536"/>
      <c r="SUG1" s="536"/>
      <c r="SUH1" s="536"/>
      <c r="SUI1" s="536"/>
      <c r="SUJ1" s="536"/>
      <c r="SUK1" s="536"/>
      <c r="SUL1" s="536"/>
      <c r="SUM1" s="536"/>
      <c r="SUN1" s="536"/>
      <c r="SUO1" s="536"/>
      <c r="SUP1" s="536"/>
      <c r="SUQ1" s="536"/>
      <c r="SUR1" s="536"/>
      <c r="SUS1" s="536"/>
      <c r="SUT1" s="536"/>
      <c r="SUU1" s="536"/>
      <c r="SUV1" s="536"/>
      <c r="SUW1" s="536"/>
      <c r="SUX1" s="536"/>
      <c r="SUY1" s="536"/>
      <c r="SUZ1" s="536"/>
      <c r="SVA1" s="536"/>
      <c r="SVB1" s="536"/>
      <c r="SVC1" s="536"/>
      <c r="SVD1" s="536"/>
      <c r="SVE1" s="536"/>
      <c r="SVF1" s="536"/>
      <c r="SVG1" s="536"/>
      <c r="SVH1" s="536"/>
      <c r="SVI1" s="536"/>
      <c r="SVJ1" s="536"/>
      <c r="SVK1" s="536"/>
      <c r="SVL1" s="536"/>
      <c r="SVM1" s="536"/>
      <c r="SVN1" s="536"/>
      <c r="SVO1" s="536"/>
      <c r="SVP1" s="536"/>
      <c r="SVQ1" s="536"/>
      <c r="SVR1" s="536"/>
      <c r="SVS1" s="536"/>
      <c r="SVT1" s="536"/>
      <c r="SVU1" s="536"/>
      <c r="SVV1" s="536"/>
      <c r="SVW1" s="536"/>
      <c r="SVX1" s="536"/>
      <c r="SVY1" s="536"/>
      <c r="SVZ1" s="536"/>
      <c r="SWA1" s="536"/>
      <c r="SWB1" s="536"/>
      <c r="SWC1" s="536"/>
      <c r="SWD1" s="536"/>
      <c r="SWE1" s="536"/>
      <c r="SWF1" s="536"/>
      <c r="SWG1" s="536"/>
      <c r="SWH1" s="536"/>
      <c r="SWI1" s="536"/>
      <c r="SWJ1" s="536"/>
      <c r="SWK1" s="536"/>
      <c r="SWL1" s="536"/>
      <c r="SWM1" s="536"/>
      <c r="SWN1" s="536"/>
      <c r="SWO1" s="536"/>
      <c r="SWP1" s="536"/>
      <c r="SWQ1" s="536"/>
      <c r="SWR1" s="536"/>
      <c r="SWS1" s="536"/>
      <c r="SWT1" s="536"/>
      <c r="SWU1" s="536"/>
      <c r="SWV1" s="536"/>
      <c r="SWW1" s="536"/>
      <c r="SWX1" s="536"/>
      <c r="SWY1" s="536"/>
      <c r="SWZ1" s="536"/>
      <c r="SXA1" s="536"/>
      <c r="SXB1" s="536"/>
      <c r="SXC1" s="536"/>
      <c r="SXD1" s="536"/>
      <c r="SXE1" s="536"/>
      <c r="SXF1" s="536"/>
      <c r="SXG1" s="536"/>
      <c r="SXH1" s="536"/>
      <c r="SXI1" s="536"/>
      <c r="SXJ1" s="536"/>
      <c r="SXK1" s="536"/>
      <c r="SXL1" s="536"/>
      <c r="SXM1" s="536"/>
      <c r="SXN1" s="536"/>
      <c r="SXO1" s="536"/>
      <c r="SXP1" s="536"/>
      <c r="SXQ1" s="536"/>
      <c r="SXR1" s="536"/>
      <c r="SXS1" s="536"/>
      <c r="SXT1" s="536"/>
      <c r="SXU1" s="536"/>
      <c r="SXV1" s="536"/>
      <c r="SXW1" s="536"/>
      <c r="SXX1" s="536"/>
      <c r="SXY1" s="536"/>
      <c r="SXZ1" s="536"/>
      <c r="SYA1" s="536"/>
      <c r="SYB1" s="536"/>
      <c r="SYC1" s="536"/>
      <c r="SYD1" s="536"/>
      <c r="SYE1" s="536"/>
      <c r="SYF1" s="536"/>
      <c r="SYG1" s="536"/>
      <c r="SYH1" s="536"/>
      <c r="SYI1" s="536"/>
      <c r="SYJ1" s="536"/>
      <c r="SYK1" s="536"/>
      <c r="SYL1" s="536"/>
      <c r="SYM1" s="536"/>
      <c r="SYN1" s="536"/>
      <c r="SYO1" s="536"/>
      <c r="SYP1" s="536"/>
      <c r="SYQ1" s="536"/>
      <c r="SYR1" s="536"/>
      <c r="SYS1" s="536"/>
      <c r="SYT1" s="536"/>
      <c r="SYU1" s="536"/>
      <c r="SYV1" s="536"/>
      <c r="SYW1" s="536"/>
      <c r="SYX1" s="536"/>
      <c r="SYY1" s="536"/>
      <c r="SYZ1" s="536"/>
      <c r="SZA1" s="536"/>
      <c r="SZB1" s="536"/>
      <c r="SZC1" s="536"/>
      <c r="SZD1" s="536"/>
      <c r="SZE1" s="536"/>
      <c r="SZF1" s="536"/>
      <c r="SZG1" s="536"/>
      <c r="SZH1" s="536"/>
      <c r="SZI1" s="536"/>
      <c r="SZJ1" s="536"/>
      <c r="SZK1" s="536"/>
      <c r="SZL1" s="536"/>
      <c r="SZM1" s="536"/>
      <c r="SZN1" s="536"/>
      <c r="SZO1" s="536"/>
      <c r="SZP1" s="536"/>
      <c r="SZQ1" s="536"/>
      <c r="SZR1" s="536"/>
      <c r="SZS1" s="536"/>
      <c r="SZT1" s="536"/>
      <c r="SZU1" s="536"/>
      <c r="SZV1" s="536"/>
      <c r="SZW1" s="536"/>
      <c r="SZX1" s="536"/>
      <c r="SZY1" s="536"/>
      <c r="SZZ1" s="536"/>
      <c r="TAA1" s="536"/>
      <c r="TAB1" s="536"/>
      <c r="TAC1" s="536"/>
      <c r="TAD1" s="536"/>
      <c r="TAE1" s="536"/>
      <c r="TAF1" s="536"/>
      <c r="TAG1" s="536"/>
      <c r="TAH1" s="536"/>
      <c r="TAI1" s="536"/>
      <c r="TAJ1" s="536"/>
      <c r="TAK1" s="536"/>
      <c r="TAL1" s="536"/>
      <c r="TAM1" s="536"/>
      <c r="TAN1" s="536"/>
      <c r="TAO1" s="536"/>
      <c r="TAP1" s="536"/>
      <c r="TAQ1" s="536"/>
      <c r="TAR1" s="536"/>
      <c r="TAS1" s="536"/>
      <c r="TAT1" s="536"/>
      <c r="TAU1" s="536"/>
      <c r="TAV1" s="536"/>
      <c r="TAW1" s="536"/>
      <c r="TAX1" s="536"/>
      <c r="TAY1" s="536"/>
      <c r="TAZ1" s="536"/>
      <c r="TBA1" s="536"/>
      <c r="TBB1" s="536"/>
      <c r="TBC1" s="536"/>
      <c r="TBD1" s="536"/>
      <c r="TBE1" s="536"/>
      <c r="TBF1" s="536"/>
      <c r="TBG1" s="536"/>
      <c r="TBH1" s="536"/>
      <c r="TBI1" s="536"/>
      <c r="TBJ1" s="536"/>
      <c r="TBK1" s="536"/>
      <c r="TBL1" s="536"/>
      <c r="TBM1" s="536"/>
      <c r="TBN1" s="536"/>
      <c r="TBO1" s="536"/>
      <c r="TBP1" s="536"/>
      <c r="TBQ1" s="536"/>
      <c r="TBR1" s="536"/>
      <c r="TBS1" s="536"/>
      <c r="TBT1" s="536"/>
      <c r="TBU1" s="536"/>
      <c r="TBV1" s="536"/>
      <c r="TBW1" s="536"/>
      <c r="TBX1" s="536"/>
      <c r="TBY1" s="536"/>
      <c r="TBZ1" s="536"/>
      <c r="TCA1" s="536"/>
      <c r="TCB1" s="536"/>
      <c r="TCC1" s="536"/>
      <c r="TCD1" s="536"/>
      <c r="TCE1" s="536"/>
      <c r="TCF1" s="536"/>
      <c r="TCG1" s="536"/>
      <c r="TCH1" s="536"/>
      <c r="TCI1" s="536"/>
      <c r="TCJ1" s="536"/>
      <c r="TCK1" s="536"/>
      <c r="TCL1" s="536"/>
      <c r="TCM1" s="536"/>
      <c r="TCN1" s="536"/>
      <c r="TCO1" s="536"/>
      <c r="TCP1" s="536"/>
      <c r="TCQ1" s="536"/>
      <c r="TCR1" s="536"/>
      <c r="TCS1" s="536"/>
      <c r="TCT1" s="536"/>
      <c r="TCU1" s="536"/>
      <c r="TCV1" s="536"/>
      <c r="TCW1" s="536"/>
      <c r="TCX1" s="536"/>
      <c r="TCY1" s="536"/>
      <c r="TCZ1" s="536"/>
      <c r="TDA1" s="536"/>
      <c r="TDB1" s="536"/>
      <c r="TDC1" s="536"/>
      <c r="TDD1" s="536"/>
      <c r="TDE1" s="536"/>
      <c r="TDF1" s="536"/>
      <c r="TDG1" s="536"/>
      <c r="TDH1" s="536"/>
      <c r="TDI1" s="536"/>
      <c r="TDJ1" s="536"/>
      <c r="TDK1" s="536"/>
      <c r="TDL1" s="536"/>
      <c r="TDM1" s="536"/>
      <c r="TDN1" s="536"/>
      <c r="TDO1" s="536"/>
      <c r="TDP1" s="536"/>
      <c r="TDQ1" s="536"/>
      <c r="TDR1" s="536"/>
      <c r="TDS1" s="536"/>
      <c r="TDT1" s="536"/>
      <c r="TDU1" s="536"/>
      <c r="TDV1" s="536"/>
      <c r="TDW1" s="536"/>
      <c r="TDX1" s="536"/>
      <c r="TDY1" s="536"/>
      <c r="TDZ1" s="536"/>
      <c r="TEA1" s="536"/>
      <c r="TEB1" s="536"/>
      <c r="TEC1" s="536"/>
      <c r="TED1" s="536"/>
      <c r="TEE1" s="536"/>
      <c r="TEF1" s="536"/>
      <c r="TEG1" s="536"/>
      <c r="TEH1" s="536"/>
      <c r="TEI1" s="536"/>
      <c r="TEJ1" s="536"/>
      <c r="TEK1" s="536"/>
      <c r="TEL1" s="536"/>
      <c r="TEM1" s="536"/>
      <c r="TEN1" s="536"/>
      <c r="TEO1" s="536"/>
      <c r="TEP1" s="536"/>
      <c r="TEQ1" s="536"/>
      <c r="TER1" s="536"/>
      <c r="TES1" s="536"/>
      <c r="TET1" s="536"/>
      <c r="TEU1" s="536"/>
      <c r="TEV1" s="536"/>
      <c r="TEW1" s="536"/>
      <c r="TEX1" s="536"/>
      <c r="TEY1" s="536"/>
      <c r="TEZ1" s="536"/>
      <c r="TFA1" s="536"/>
      <c r="TFB1" s="536"/>
      <c r="TFC1" s="536"/>
      <c r="TFD1" s="536"/>
      <c r="TFE1" s="536"/>
      <c r="TFF1" s="536"/>
      <c r="TFG1" s="536"/>
      <c r="TFH1" s="536"/>
      <c r="TFI1" s="536"/>
      <c r="TFJ1" s="536"/>
      <c r="TFK1" s="536"/>
      <c r="TFL1" s="536"/>
      <c r="TFM1" s="536"/>
      <c r="TFN1" s="536"/>
      <c r="TFO1" s="536"/>
      <c r="TFP1" s="536"/>
      <c r="TFQ1" s="536"/>
      <c r="TFR1" s="536"/>
      <c r="TFS1" s="536"/>
      <c r="TFT1" s="536"/>
      <c r="TFU1" s="536"/>
      <c r="TFV1" s="536"/>
      <c r="TFW1" s="536"/>
      <c r="TFX1" s="536"/>
      <c r="TFY1" s="536"/>
      <c r="TFZ1" s="536"/>
      <c r="TGA1" s="536"/>
      <c r="TGB1" s="536"/>
      <c r="TGC1" s="536"/>
      <c r="TGD1" s="536"/>
      <c r="TGE1" s="536"/>
      <c r="TGF1" s="536"/>
      <c r="TGG1" s="536"/>
      <c r="TGH1" s="536"/>
      <c r="TGI1" s="536"/>
      <c r="TGJ1" s="536"/>
      <c r="TGK1" s="536"/>
      <c r="TGL1" s="536"/>
      <c r="TGM1" s="536"/>
      <c r="TGN1" s="536"/>
      <c r="TGO1" s="536"/>
      <c r="TGP1" s="536"/>
      <c r="TGQ1" s="536"/>
      <c r="TGR1" s="536"/>
      <c r="TGS1" s="536"/>
      <c r="TGT1" s="536"/>
      <c r="TGU1" s="536"/>
      <c r="TGV1" s="536"/>
      <c r="TGW1" s="536"/>
      <c r="TGX1" s="536"/>
      <c r="TGY1" s="536"/>
      <c r="TGZ1" s="536"/>
      <c r="THA1" s="536"/>
      <c r="THB1" s="536"/>
      <c r="THC1" s="536"/>
      <c r="THD1" s="536"/>
      <c r="THE1" s="536"/>
      <c r="THF1" s="536"/>
      <c r="THG1" s="536"/>
      <c r="THH1" s="536"/>
      <c r="THI1" s="536"/>
      <c r="THJ1" s="536"/>
      <c r="THK1" s="536"/>
      <c r="THL1" s="536"/>
      <c r="THM1" s="536"/>
      <c r="THN1" s="536"/>
      <c r="THO1" s="536"/>
      <c r="THP1" s="536"/>
      <c r="THQ1" s="536"/>
      <c r="THR1" s="536"/>
      <c r="THS1" s="536"/>
      <c r="THT1" s="536"/>
      <c r="THU1" s="536"/>
      <c r="THV1" s="536"/>
      <c r="THW1" s="536"/>
      <c r="THX1" s="536"/>
      <c r="THY1" s="536"/>
      <c r="THZ1" s="536"/>
      <c r="TIA1" s="536"/>
      <c r="TIB1" s="536"/>
      <c r="TIC1" s="536"/>
      <c r="TID1" s="536"/>
      <c r="TIE1" s="536"/>
      <c r="TIF1" s="536"/>
      <c r="TIG1" s="536"/>
      <c r="TIH1" s="536"/>
      <c r="TII1" s="536"/>
      <c r="TIJ1" s="536"/>
      <c r="TIK1" s="536"/>
      <c r="TIL1" s="536"/>
      <c r="TIM1" s="536"/>
      <c r="TIN1" s="536"/>
      <c r="TIO1" s="536"/>
      <c r="TIP1" s="536"/>
      <c r="TIQ1" s="536"/>
      <c r="TIR1" s="536"/>
      <c r="TIS1" s="536"/>
      <c r="TIT1" s="536"/>
      <c r="TIU1" s="536"/>
      <c r="TIV1" s="536"/>
      <c r="TIW1" s="536"/>
      <c r="TIX1" s="536"/>
      <c r="TIY1" s="536"/>
      <c r="TIZ1" s="536"/>
      <c r="TJA1" s="536"/>
      <c r="TJB1" s="536"/>
      <c r="TJC1" s="536"/>
      <c r="TJD1" s="536"/>
      <c r="TJE1" s="536"/>
      <c r="TJF1" s="536"/>
      <c r="TJG1" s="536"/>
      <c r="TJH1" s="536"/>
      <c r="TJI1" s="536"/>
      <c r="TJJ1" s="536"/>
      <c r="TJK1" s="536"/>
      <c r="TJL1" s="536"/>
      <c r="TJM1" s="536"/>
      <c r="TJN1" s="536"/>
      <c r="TJO1" s="536"/>
      <c r="TJP1" s="536"/>
      <c r="TJQ1" s="536"/>
      <c r="TJR1" s="536"/>
      <c r="TJS1" s="536"/>
      <c r="TJT1" s="536"/>
      <c r="TJU1" s="536"/>
      <c r="TJV1" s="536"/>
      <c r="TJW1" s="536"/>
      <c r="TJX1" s="536"/>
      <c r="TJY1" s="536"/>
      <c r="TJZ1" s="536"/>
      <c r="TKA1" s="536"/>
      <c r="TKB1" s="536"/>
      <c r="TKC1" s="536"/>
      <c r="TKD1" s="536"/>
      <c r="TKE1" s="536"/>
      <c r="TKF1" s="536"/>
      <c r="TKG1" s="536"/>
      <c r="TKH1" s="536"/>
      <c r="TKI1" s="536"/>
      <c r="TKJ1" s="536"/>
      <c r="TKK1" s="536"/>
      <c r="TKL1" s="536"/>
      <c r="TKM1" s="536"/>
      <c r="TKN1" s="536"/>
      <c r="TKO1" s="536"/>
      <c r="TKP1" s="536"/>
      <c r="TKQ1" s="536"/>
      <c r="TKR1" s="536"/>
      <c r="TKS1" s="536"/>
      <c r="TKT1" s="536"/>
      <c r="TKU1" s="536"/>
      <c r="TKV1" s="536"/>
      <c r="TKW1" s="536"/>
      <c r="TKX1" s="536"/>
      <c r="TKY1" s="536"/>
      <c r="TKZ1" s="536"/>
      <c r="TLA1" s="536"/>
      <c r="TLB1" s="536"/>
      <c r="TLC1" s="536"/>
      <c r="TLD1" s="536"/>
      <c r="TLE1" s="536"/>
      <c r="TLF1" s="536"/>
      <c r="TLG1" s="536"/>
      <c r="TLH1" s="536"/>
      <c r="TLI1" s="536"/>
      <c r="TLJ1" s="536"/>
      <c r="TLK1" s="536"/>
      <c r="TLL1" s="536"/>
      <c r="TLM1" s="536"/>
      <c r="TLN1" s="536"/>
      <c r="TLO1" s="536"/>
      <c r="TLP1" s="536"/>
      <c r="TLQ1" s="536"/>
      <c r="TLR1" s="536"/>
      <c r="TLS1" s="536"/>
      <c r="TLT1" s="536"/>
      <c r="TLU1" s="536"/>
      <c r="TLV1" s="536"/>
      <c r="TLW1" s="536"/>
      <c r="TLX1" s="536"/>
      <c r="TLY1" s="536"/>
      <c r="TLZ1" s="536"/>
      <c r="TMA1" s="536"/>
      <c r="TMB1" s="536"/>
      <c r="TMC1" s="536"/>
      <c r="TMD1" s="536"/>
      <c r="TME1" s="536"/>
      <c r="TMF1" s="536"/>
      <c r="TMG1" s="536"/>
      <c r="TMH1" s="536"/>
      <c r="TMI1" s="536"/>
      <c r="TMJ1" s="536"/>
      <c r="TMK1" s="536"/>
      <c r="TML1" s="536"/>
      <c r="TMM1" s="536"/>
      <c r="TMN1" s="536"/>
      <c r="TMO1" s="536"/>
      <c r="TMP1" s="536"/>
      <c r="TMQ1" s="536"/>
      <c r="TMR1" s="536"/>
      <c r="TMS1" s="536"/>
      <c r="TMT1" s="536"/>
      <c r="TMU1" s="536"/>
      <c r="TMV1" s="536"/>
      <c r="TMW1" s="536"/>
      <c r="TMX1" s="536"/>
      <c r="TMY1" s="536"/>
      <c r="TMZ1" s="536"/>
      <c r="TNA1" s="536"/>
      <c r="TNB1" s="536"/>
      <c r="TNC1" s="536"/>
      <c r="TND1" s="536"/>
      <c r="TNE1" s="536"/>
      <c r="TNF1" s="536"/>
      <c r="TNG1" s="536"/>
      <c r="TNH1" s="536"/>
      <c r="TNI1" s="536"/>
      <c r="TNJ1" s="536"/>
      <c r="TNK1" s="536"/>
      <c r="TNL1" s="536"/>
      <c r="TNM1" s="536"/>
      <c r="TNN1" s="536"/>
      <c r="TNO1" s="536"/>
      <c r="TNP1" s="536"/>
      <c r="TNQ1" s="536"/>
      <c r="TNR1" s="536"/>
      <c r="TNS1" s="536"/>
      <c r="TNT1" s="536"/>
      <c r="TNU1" s="536"/>
      <c r="TNV1" s="536"/>
      <c r="TNW1" s="536"/>
      <c r="TNX1" s="536"/>
      <c r="TNY1" s="536"/>
      <c r="TNZ1" s="536"/>
      <c r="TOA1" s="536"/>
      <c r="TOB1" s="536"/>
      <c r="TOC1" s="536"/>
      <c r="TOD1" s="536"/>
      <c r="TOE1" s="536"/>
      <c r="TOF1" s="536"/>
      <c r="TOG1" s="536"/>
      <c r="TOH1" s="536"/>
      <c r="TOI1" s="536"/>
      <c r="TOJ1" s="536"/>
      <c r="TOK1" s="536"/>
      <c r="TOL1" s="536"/>
      <c r="TOM1" s="536"/>
      <c r="TON1" s="536"/>
      <c r="TOO1" s="536"/>
      <c r="TOP1" s="536"/>
      <c r="TOQ1" s="536"/>
      <c r="TOR1" s="536"/>
      <c r="TOS1" s="536"/>
      <c r="TOT1" s="536"/>
      <c r="TOU1" s="536"/>
      <c r="TOV1" s="536"/>
      <c r="TOW1" s="536"/>
      <c r="TOX1" s="536"/>
      <c r="TOY1" s="536"/>
      <c r="TOZ1" s="536"/>
      <c r="TPA1" s="536"/>
      <c r="TPB1" s="536"/>
      <c r="TPC1" s="536"/>
      <c r="TPD1" s="536"/>
      <c r="TPE1" s="536"/>
      <c r="TPF1" s="536"/>
      <c r="TPG1" s="536"/>
      <c r="TPH1" s="536"/>
      <c r="TPI1" s="536"/>
      <c r="TPJ1" s="536"/>
      <c r="TPK1" s="536"/>
      <c r="TPL1" s="536"/>
      <c r="TPM1" s="536"/>
      <c r="TPN1" s="536"/>
      <c r="TPO1" s="536"/>
      <c r="TPP1" s="536"/>
      <c r="TPQ1" s="536"/>
      <c r="TPR1" s="536"/>
      <c r="TPS1" s="536"/>
      <c r="TPT1" s="536"/>
      <c r="TPU1" s="536"/>
      <c r="TPV1" s="536"/>
      <c r="TPW1" s="536"/>
      <c r="TPX1" s="536"/>
      <c r="TPY1" s="536"/>
      <c r="TPZ1" s="536"/>
      <c r="TQA1" s="536"/>
      <c r="TQB1" s="536"/>
      <c r="TQC1" s="536"/>
      <c r="TQD1" s="536"/>
      <c r="TQE1" s="536"/>
      <c r="TQF1" s="536"/>
      <c r="TQG1" s="536"/>
      <c r="TQH1" s="536"/>
      <c r="TQI1" s="536"/>
      <c r="TQJ1" s="536"/>
      <c r="TQK1" s="536"/>
      <c r="TQL1" s="536"/>
      <c r="TQM1" s="536"/>
      <c r="TQN1" s="536"/>
      <c r="TQO1" s="536"/>
      <c r="TQP1" s="536"/>
      <c r="TQQ1" s="536"/>
      <c r="TQR1" s="536"/>
      <c r="TQS1" s="536"/>
      <c r="TQT1" s="536"/>
      <c r="TQU1" s="536"/>
      <c r="TQV1" s="536"/>
      <c r="TQW1" s="536"/>
      <c r="TQX1" s="536"/>
      <c r="TQY1" s="536"/>
      <c r="TQZ1" s="536"/>
      <c r="TRA1" s="536"/>
      <c r="TRB1" s="536"/>
      <c r="TRC1" s="536"/>
      <c r="TRD1" s="536"/>
      <c r="TRE1" s="536"/>
      <c r="TRF1" s="536"/>
      <c r="TRG1" s="536"/>
      <c r="TRH1" s="536"/>
      <c r="TRI1" s="536"/>
      <c r="TRJ1" s="536"/>
      <c r="TRK1" s="536"/>
      <c r="TRL1" s="536"/>
      <c r="TRM1" s="536"/>
      <c r="TRN1" s="536"/>
      <c r="TRO1" s="536"/>
      <c r="TRP1" s="536"/>
      <c r="TRQ1" s="536"/>
      <c r="TRR1" s="536"/>
      <c r="TRS1" s="536"/>
      <c r="TRT1" s="536"/>
      <c r="TRU1" s="536"/>
      <c r="TRV1" s="536"/>
      <c r="TRW1" s="536"/>
      <c r="TRX1" s="536"/>
      <c r="TRY1" s="536"/>
      <c r="TRZ1" s="536"/>
      <c r="TSA1" s="536"/>
      <c r="TSB1" s="536"/>
      <c r="TSC1" s="536"/>
      <c r="TSD1" s="536"/>
      <c r="TSE1" s="536"/>
      <c r="TSF1" s="536"/>
      <c r="TSG1" s="536"/>
      <c r="TSH1" s="536"/>
      <c r="TSI1" s="536"/>
      <c r="TSJ1" s="536"/>
      <c r="TSK1" s="536"/>
      <c r="TSL1" s="536"/>
      <c r="TSM1" s="536"/>
      <c r="TSN1" s="536"/>
      <c r="TSO1" s="536"/>
      <c r="TSP1" s="536"/>
      <c r="TSQ1" s="536"/>
      <c r="TSR1" s="536"/>
      <c r="TSS1" s="536"/>
      <c r="TST1" s="536"/>
      <c r="TSU1" s="536"/>
      <c r="TSV1" s="536"/>
      <c r="TSW1" s="536"/>
      <c r="TSX1" s="536"/>
      <c r="TSY1" s="536"/>
      <c r="TSZ1" s="536"/>
      <c r="TTA1" s="536"/>
      <c r="TTB1" s="536"/>
      <c r="TTC1" s="536"/>
      <c r="TTD1" s="536"/>
      <c r="TTE1" s="536"/>
      <c r="TTF1" s="536"/>
      <c r="TTG1" s="536"/>
      <c r="TTH1" s="536"/>
      <c r="TTI1" s="536"/>
      <c r="TTJ1" s="536"/>
      <c r="TTK1" s="536"/>
      <c r="TTL1" s="536"/>
      <c r="TTM1" s="536"/>
      <c r="TTN1" s="536"/>
      <c r="TTO1" s="536"/>
      <c r="TTP1" s="536"/>
      <c r="TTQ1" s="536"/>
      <c r="TTR1" s="536"/>
      <c r="TTS1" s="536"/>
      <c r="TTT1" s="536"/>
      <c r="TTU1" s="536"/>
      <c r="TTV1" s="536"/>
      <c r="TTW1" s="536"/>
      <c r="TTX1" s="536"/>
      <c r="TTY1" s="536"/>
      <c r="TTZ1" s="536"/>
      <c r="TUA1" s="536"/>
      <c r="TUB1" s="536"/>
      <c r="TUC1" s="536"/>
      <c r="TUD1" s="536"/>
      <c r="TUE1" s="536"/>
      <c r="TUF1" s="536"/>
      <c r="TUG1" s="536"/>
      <c r="TUH1" s="536"/>
      <c r="TUI1" s="536"/>
      <c r="TUJ1" s="536"/>
      <c r="TUK1" s="536"/>
      <c r="TUL1" s="536"/>
      <c r="TUM1" s="536"/>
      <c r="TUN1" s="536"/>
      <c r="TUO1" s="536"/>
      <c r="TUP1" s="536"/>
      <c r="TUQ1" s="536"/>
      <c r="TUR1" s="536"/>
      <c r="TUS1" s="536"/>
      <c r="TUT1" s="536"/>
      <c r="TUU1" s="536"/>
      <c r="TUV1" s="536"/>
      <c r="TUW1" s="536"/>
      <c r="TUX1" s="536"/>
      <c r="TUY1" s="536"/>
      <c r="TUZ1" s="536"/>
      <c r="TVA1" s="536"/>
      <c r="TVB1" s="536"/>
      <c r="TVC1" s="536"/>
      <c r="TVD1" s="536"/>
      <c r="TVE1" s="536"/>
      <c r="TVF1" s="536"/>
      <c r="TVG1" s="536"/>
      <c r="TVH1" s="536"/>
      <c r="TVI1" s="536"/>
      <c r="TVJ1" s="536"/>
      <c r="TVK1" s="536"/>
      <c r="TVL1" s="536"/>
      <c r="TVM1" s="536"/>
      <c r="TVN1" s="536"/>
      <c r="TVO1" s="536"/>
      <c r="TVP1" s="536"/>
      <c r="TVQ1" s="536"/>
      <c r="TVR1" s="536"/>
      <c r="TVS1" s="536"/>
      <c r="TVT1" s="536"/>
      <c r="TVU1" s="536"/>
      <c r="TVV1" s="536"/>
      <c r="TVW1" s="536"/>
      <c r="TVX1" s="536"/>
      <c r="TVY1" s="536"/>
      <c r="TVZ1" s="536"/>
      <c r="TWA1" s="536"/>
      <c r="TWB1" s="536"/>
      <c r="TWC1" s="536"/>
      <c r="TWD1" s="536"/>
      <c r="TWE1" s="536"/>
      <c r="TWF1" s="536"/>
      <c r="TWG1" s="536"/>
      <c r="TWH1" s="536"/>
      <c r="TWI1" s="536"/>
      <c r="TWJ1" s="536"/>
      <c r="TWK1" s="536"/>
      <c r="TWL1" s="536"/>
      <c r="TWM1" s="536"/>
      <c r="TWN1" s="536"/>
      <c r="TWO1" s="536"/>
      <c r="TWP1" s="536"/>
      <c r="TWQ1" s="536"/>
      <c r="TWR1" s="536"/>
      <c r="TWS1" s="536"/>
      <c r="TWT1" s="536"/>
      <c r="TWU1" s="536"/>
      <c r="TWV1" s="536"/>
      <c r="TWW1" s="536"/>
      <c r="TWX1" s="536"/>
      <c r="TWY1" s="536"/>
      <c r="TWZ1" s="536"/>
      <c r="TXA1" s="536"/>
      <c r="TXB1" s="536"/>
      <c r="TXC1" s="536"/>
      <c r="TXD1" s="536"/>
      <c r="TXE1" s="536"/>
      <c r="TXF1" s="536"/>
      <c r="TXG1" s="536"/>
      <c r="TXH1" s="536"/>
      <c r="TXI1" s="536"/>
      <c r="TXJ1" s="536"/>
      <c r="TXK1" s="536"/>
      <c r="TXL1" s="536"/>
      <c r="TXM1" s="536"/>
      <c r="TXN1" s="536"/>
      <c r="TXO1" s="536"/>
      <c r="TXP1" s="536"/>
      <c r="TXQ1" s="536"/>
      <c r="TXR1" s="536"/>
      <c r="TXS1" s="536"/>
      <c r="TXT1" s="536"/>
      <c r="TXU1" s="536"/>
      <c r="TXV1" s="536"/>
      <c r="TXW1" s="536"/>
      <c r="TXX1" s="536"/>
      <c r="TXY1" s="536"/>
      <c r="TXZ1" s="536"/>
      <c r="TYA1" s="536"/>
      <c r="TYB1" s="536"/>
      <c r="TYC1" s="536"/>
      <c r="TYD1" s="536"/>
      <c r="TYE1" s="536"/>
      <c r="TYF1" s="536"/>
      <c r="TYG1" s="536"/>
      <c r="TYH1" s="536"/>
      <c r="TYI1" s="536"/>
      <c r="TYJ1" s="536"/>
      <c r="TYK1" s="536"/>
      <c r="TYL1" s="536"/>
      <c r="TYM1" s="536"/>
      <c r="TYN1" s="536"/>
      <c r="TYO1" s="536"/>
      <c r="TYP1" s="536"/>
      <c r="TYQ1" s="536"/>
      <c r="TYR1" s="536"/>
      <c r="TYS1" s="536"/>
      <c r="TYT1" s="536"/>
      <c r="TYU1" s="536"/>
      <c r="TYV1" s="536"/>
      <c r="TYW1" s="536"/>
      <c r="TYX1" s="536"/>
      <c r="TYY1" s="536"/>
      <c r="TYZ1" s="536"/>
      <c r="TZA1" s="536"/>
      <c r="TZB1" s="536"/>
      <c r="TZC1" s="536"/>
      <c r="TZD1" s="536"/>
      <c r="TZE1" s="536"/>
      <c r="TZF1" s="536"/>
      <c r="TZG1" s="536"/>
      <c r="TZH1" s="536"/>
      <c r="TZI1" s="536"/>
      <c r="TZJ1" s="536"/>
      <c r="TZK1" s="536"/>
      <c r="TZL1" s="536"/>
      <c r="TZM1" s="536"/>
      <c r="TZN1" s="536"/>
      <c r="TZO1" s="536"/>
      <c r="TZP1" s="536"/>
      <c r="TZQ1" s="536"/>
      <c r="TZR1" s="536"/>
      <c r="TZS1" s="536"/>
      <c r="TZT1" s="536"/>
      <c r="TZU1" s="536"/>
      <c r="TZV1" s="536"/>
      <c r="TZW1" s="536"/>
      <c r="TZX1" s="536"/>
      <c r="TZY1" s="536"/>
      <c r="TZZ1" s="536"/>
      <c r="UAA1" s="536"/>
      <c r="UAB1" s="536"/>
      <c r="UAC1" s="536"/>
      <c r="UAD1" s="536"/>
      <c r="UAE1" s="536"/>
      <c r="UAF1" s="536"/>
      <c r="UAG1" s="536"/>
      <c r="UAH1" s="536"/>
      <c r="UAI1" s="536"/>
      <c r="UAJ1" s="536"/>
      <c r="UAK1" s="536"/>
      <c r="UAL1" s="536"/>
      <c r="UAM1" s="536"/>
      <c r="UAN1" s="536"/>
      <c r="UAO1" s="536"/>
      <c r="UAP1" s="536"/>
      <c r="UAQ1" s="536"/>
      <c r="UAR1" s="536"/>
      <c r="UAS1" s="536"/>
      <c r="UAT1" s="536"/>
      <c r="UAU1" s="536"/>
      <c r="UAV1" s="536"/>
      <c r="UAW1" s="536"/>
      <c r="UAX1" s="536"/>
      <c r="UAY1" s="536"/>
      <c r="UAZ1" s="536"/>
      <c r="UBA1" s="536"/>
      <c r="UBB1" s="536"/>
      <c r="UBC1" s="536"/>
      <c r="UBD1" s="536"/>
      <c r="UBE1" s="536"/>
      <c r="UBF1" s="536"/>
      <c r="UBG1" s="536"/>
      <c r="UBH1" s="536"/>
      <c r="UBI1" s="536"/>
      <c r="UBJ1" s="536"/>
      <c r="UBK1" s="536"/>
      <c r="UBL1" s="536"/>
      <c r="UBM1" s="536"/>
      <c r="UBN1" s="536"/>
      <c r="UBO1" s="536"/>
      <c r="UBP1" s="536"/>
      <c r="UBQ1" s="536"/>
      <c r="UBR1" s="536"/>
      <c r="UBS1" s="536"/>
      <c r="UBT1" s="536"/>
      <c r="UBU1" s="536"/>
      <c r="UBV1" s="536"/>
      <c r="UBW1" s="536"/>
      <c r="UBX1" s="536"/>
      <c r="UBY1" s="536"/>
      <c r="UBZ1" s="536"/>
      <c r="UCA1" s="536"/>
      <c r="UCB1" s="536"/>
      <c r="UCC1" s="536"/>
      <c r="UCD1" s="536"/>
      <c r="UCE1" s="536"/>
      <c r="UCF1" s="536"/>
      <c r="UCG1" s="536"/>
      <c r="UCH1" s="536"/>
      <c r="UCI1" s="536"/>
      <c r="UCJ1" s="536"/>
      <c r="UCK1" s="536"/>
      <c r="UCL1" s="536"/>
      <c r="UCM1" s="536"/>
      <c r="UCN1" s="536"/>
      <c r="UCO1" s="536"/>
      <c r="UCP1" s="536"/>
      <c r="UCQ1" s="536"/>
      <c r="UCR1" s="536"/>
      <c r="UCS1" s="536"/>
      <c r="UCT1" s="536"/>
      <c r="UCU1" s="536"/>
      <c r="UCV1" s="536"/>
      <c r="UCW1" s="536"/>
      <c r="UCX1" s="536"/>
      <c r="UCY1" s="536"/>
      <c r="UCZ1" s="536"/>
      <c r="UDA1" s="536"/>
      <c r="UDB1" s="536"/>
      <c r="UDC1" s="536"/>
      <c r="UDD1" s="536"/>
      <c r="UDE1" s="536"/>
      <c r="UDF1" s="536"/>
      <c r="UDG1" s="536"/>
      <c r="UDH1" s="536"/>
      <c r="UDI1" s="536"/>
      <c r="UDJ1" s="536"/>
      <c r="UDK1" s="536"/>
      <c r="UDL1" s="536"/>
      <c r="UDM1" s="536"/>
      <c r="UDN1" s="536"/>
      <c r="UDO1" s="536"/>
      <c r="UDP1" s="536"/>
      <c r="UDQ1" s="536"/>
      <c r="UDR1" s="536"/>
      <c r="UDS1" s="536"/>
      <c r="UDT1" s="536"/>
      <c r="UDU1" s="536"/>
      <c r="UDV1" s="536"/>
      <c r="UDW1" s="536"/>
      <c r="UDX1" s="536"/>
      <c r="UDY1" s="536"/>
      <c r="UDZ1" s="536"/>
      <c r="UEA1" s="536"/>
      <c r="UEB1" s="536"/>
      <c r="UEC1" s="536"/>
      <c r="UED1" s="536"/>
      <c r="UEE1" s="536"/>
      <c r="UEF1" s="536"/>
      <c r="UEG1" s="536"/>
      <c r="UEH1" s="536"/>
      <c r="UEI1" s="536"/>
      <c r="UEJ1" s="536"/>
      <c r="UEK1" s="536"/>
      <c r="UEL1" s="536"/>
      <c r="UEM1" s="536"/>
      <c r="UEN1" s="536"/>
      <c r="UEO1" s="536"/>
      <c r="UEP1" s="536"/>
      <c r="UEQ1" s="536"/>
      <c r="UER1" s="536"/>
      <c r="UES1" s="536"/>
      <c r="UET1" s="536"/>
      <c r="UEU1" s="536"/>
      <c r="UEV1" s="536"/>
      <c r="UEW1" s="536"/>
      <c r="UEX1" s="536"/>
      <c r="UEY1" s="536"/>
      <c r="UEZ1" s="536"/>
      <c r="UFA1" s="536"/>
      <c r="UFB1" s="536"/>
      <c r="UFC1" s="536"/>
      <c r="UFD1" s="536"/>
      <c r="UFE1" s="536"/>
      <c r="UFF1" s="536"/>
      <c r="UFG1" s="536"/>
      <c r="UFH1" s="536"/>
      <c r="UFI1" s="536"/>
      <c r="UFJ1" s="536"/>
      <c r="UFK1" s="536"/>
      <c r="UFL1" s="536"/>
      <c r="UFM1" s="536"/>
      <c r="UFN1" s="536"/>
      <c r="UFO1" s="536"/>
      <c r="UFP1" s="536"/>
      <c r="UFQ1" s="536"/>
      <c r="UFR1" s="536"/>
      <c r="UFS1" s="536"/>
      <c r="UFT1" s="536"/>
      <c r="UFU1" s="536"/>
      <c r="UFV1" s="536"/>
      <c r="UFW1" s="536"/>
      <c r="UFX1" s="536"/>
      <c r="UFY1" s="536"/>
      <c r="UFZ1" s="536"/>
      <c r="UGA1" s="536"/>
      <c r="UGB1" s="536"/>
      <c r="UGC1" s="536"/>
      <c r="UGD1" s="536"/>
      <c r="UGE1" s="536"/>
      <c r="UGF1" s="536"/>
      <c r="UGG1" s="536"/>
      <c r="UGH1" s="536"/>
      <c r="UGI1" s="536"/>
      <c r="UGJ1" s="536"/>
      <c r="UGK1" s="536"/>
      <c r="UGL1" s="536"/>
      <c r="UGM1" s="536"/>
      <c r="UGN1" s="536"/>
      <c r="UGO1" s="536"/>
      <c r="UGP1" s="536"/>
      <c r="UGQ1" s="536"/>
      <c r="UGR1" s="536"/>
      <c r="UGS1" s="536"/>
      <c r="UGT1" s="536"/>
      <c r="UGU1" s="536"/>
      <c r="UGV1" s="536"/>
      <c r="UGW1" s="536"/>
      <c r="UGX1" s="536"/>
      <c r="UGY1" s="536"/>
      <c r="UGZ1" s="536"/>
      <c r="UHA1" s="536"/>
      <c r="UHB1" s="536"/>
      <c r="UHC1" s="536"/>
      <c r="UHD1" s="536"/>
      <c r="UHE1" s="536"/>
      <c r="UHF1" s="536"/>
      <c r="UHG1" s="536"/>
      <c r="UHH1" s="536"/>
      <c r="UHI1" s="536"/>
      <c r="UHJ1" s="536"/>
      <c r="UHK1" s="536"/>
      <c r="UHL1" s="536"/>
      <c r="UHM1" s="536"/>
      <c r="UHN1" s="536"/>
      <c r="UHO1" s="536"/>
      <c r="UHP1" s="536"/>
      <c r="UHQ1" s="536"/>
      <c r="UHR1" s="536"/>
      <c r="UHS1" s="536"/>
      <c r="UHT1" s="536"/>
      <c r="UHU1" s="536"/>
      <c r="UHV1" s="536"/>
      <c r="UHW1" s="536"/>
      <c r="UHX1" s="536"/>
      <c r="UHY1" s="536"/>
      <c r="UHZ1" s="536"/>
      <c r="UIA1" s="536"/>
      <c r="UIB1" s="536"/>
      <c r="UIC1" s="536"/>
      <c r="UID1" s="536"/>
      <c r="UIE1" s="536"/>
      <c r="UIF1" s="536"/>
      <c r="UIG1" s="536"/>
      <c r="UIH1" s="536"/>
      <c r="UII1" s="536"/>
      <c r="UIJ1" s="536"/>
      <c r="UIK1" s="536"/>
      <c r="UIL1" s="536"/>
      <c r="UIM1" s="536"/>
      <c r="UIN1" s="536"/>
      <c r="UIO1" s="536"/>
      <c r="UIP1" s="536"/>
      <c r="UIQ1" s="536"/>
      <c r="UIR1" s="536"/>
      <c r="UIS1" s="536"/>
      <c r="UIT1" s="536"/>
      <c r="UIU1" s="536"/>
      <c r="UIV1" s="536"/>
      <c r="UIW1" s="536"/>
      <c r="UIX1" s="536"/>
      <c r="UIY1" s="536"/>
      <c r="UIZ1" s="536"/>
      <c r="UJA1" s="536"/>
      <c r="UJB1" s="536"/>
      <c r="UJC1" s="536"/>
      <c r="UJD1" s="536"/>
      <c r="UJE1" s="536"/>
      <c r="UJF1" s="536"/>
      <c r="UJG1" s="536"/>
      <c r="UJH1" s="536"/>
      <c r="UJI1" s="536"/>
      <c r="UJJ1" s="536"/>
      <c r="UJK1" s="536"/>
      <c r="UJL1" s="536"/>
      <c r="UJM1" s="536"/>
      <c r="UJN1" s="536"/>
      <c r="UJO1" s="536"/>
      <c r="UJP1" s="536"/>
      <c r="UJQ1" s="536"/>
      <c r="UJR1" s="536"/>
      <c r="UJS1" s="536"/>
      <c r="UJT1" s="536"/>
      <c r="UJU1" s="536"/>
      <c r="UJV1" s="536"/>
      <c r="UJW1" s="536"/>
      <c r="UJX1" s="536"/>
      <c r="UJY1" s="536"/>
      <c r="UJZ1" s="536"/>
      <c r="UKA1" s="536"/>
      <c r="UKB1" s="536"/>
      <c r="UKC1" s="536"/>
      <c r="UKD1" s="536"/>
      <c r="UKE1" s="536"/>
      <c r="UKF1" s="536"/>
      <c r="UKG1" s="536"/>
      <c r="UKH1" s="536"/>
      <c r="UKI1" s="536"/>
      <c r="UKJ1" s="536"/>
      <c r="UKK1" s="536"/>
      <c r="UKL1" s="536"/>
      <c r="UKM1" s="536"/>
      <c r="UKN1" s="536"/>
      <c r="UKO1" s="536"/>
      <c r="UKP1" s="536"/>
      <c r="UKQ1" s="536"/>
      <c r="UKR1" s="536"/>
      <c r="UKS1" s="536"/>
      <c r="UKT1" s="536"/>
      <c r="UKU1" s="536"/>
      <c r="UKV1" s="536"/>
      <c r="UKW1" s="536"/>
      <c r="UKX1" s="536"/>
      <c r="UKY1" s="536"/>
      <c r="UKZ1" s="536"/>
      <c r="ULA1" s="536"/>
      <c r="ULB1" s="536"/>
      <c r="ULC1" s="536"/>
      <c r="ULD1" s="536"/>
      <c r="ULE1" s="536"/>
      <c r="ULF1" s="536"/>
      <c r="ULG1" s="536"/>
      <c r="ULH1" s="536"/>
      <c r="ULI1" s="536"/>
      <c r="ULJ1" s="536"/>
      <c r="ULK1" s="536"/>
      <c r="ULL1" s="536"/>
      <c r="ULM1" s="536"/>
      <c r="ULN1" s="536"/>
      <c r="ULO1" s="536"/>
      <c r="ULP1" s="536"/>
      <c r="ULQ1" s="536"/>
      <c r="ULR1" s="536"/>
      <c r="ULS1" s="536"/>
      <c r="ULT1" s="536"/>
      <c r="ULU1" s="536"/>
      <c r="ULV1" s="536"/>
      <c r="ULW1" s="536"/>
      <c r="ULX1" s="536"/>
      <c r="ULY1" s="536"/>
      <c r="ULZ1" s="536"/>
      <c r="UMA1" s="536"/>
      <c r="UMB1" s="536"/>
      <c r="UMC1" s="536"/>
      <c r="UMD1" s="536"/>
      <c r="UME1" s="536"/>
      <c r="UMF1" s="536"/>
      <c r="UMG1" s="536"/>
      <c r="UMH1" s="536"/>
      <c r="UMI1" s="536"/>
      <c r="UMJ1" s="536"/>
      <c r="UMK1" s="536"/>
      <c r="UML1" s="536"/>
      <c r="UMM1" s="536"/>
      <c r="UMN1" s="536"/>
      <c r="UMO1" s="536"/>
      <c r="UMP1" s="536"/>
      <c r="UMQ1" s="536"/>
      <c r="UMR1" s="536"/>
      <c r="UMS1" s="536"/>
      <c r="UMT1" s="536"/>
      <c r="UMU1" s="536"/>
      <c r="UMV1" s="536"/>
      <c r="UMW1" s="536"/>
      <c r="UMX1" s="536"/>
      <c r="UMY1" s="536"/>
      <c r="UMZ1" s="536"/>
      <c r="UNA1" s="536"/>
      <c r="UNB1" s="536"/>
      <c r="UNC1" s="536"/>
      <c r="UND1" s="536"/>
      <c r="UNE1" s="536"/>
      <c r="UNF1" s="536"/>
      <c r="UNG1" s="536"/>
      <c r="UNH1" s="536"/>
      <c r="UNI1" s="536"/>
      <c r="UNJ1" s="536"/>
      <c r="UNK1" s="536"/>
      <c r="UNL1" s="536"/>
      <c r="UNM1" s="536"/>
      <c r="UNN1" s="536"/>
      <c r="UNO1" s="536"/>
      <c r="UNP1" s="536"/>
      <c r="UNQ1" s="536"/>
      <c r="UNR1" s="536"/>
      <c r="UNS1" s="536"/>
      <c r="UNT1" s="536"/>
      <c r="UNU1" s="536"/>
      <c r="UNV1" s="536"/>
      <c r="UNW1" s="536"/>
      <c r="UNX1" s="536"/>
      <c r="UNY1" s="536"/>
      <c r="UNZ1" s="536"/>
      <c r="UOA1" s="536"/>
      <c r="UOB1" s="536"/>
      <c r="UOC1" s="536"/>
      <c r="UOD1" s="536"/>
      <c r="UOE1" s="536"/>
      <c r="UOF1" s="536"/>
      <c r="UOG1" s="536"/>
      <c r="UOH1" s="536"/>
      <c r="UOI1" s="536"/>
      <c r="UOJ1" s="536"/>
      <c r="UOK1" s="536"/>
      <c r="UOL1" s="536"/>
      <c r="UOM1" s="536"/>
      <c r="UON1" s="536"/>
      <c r="UOO1" s="536"/>
      <c r="UOP1" s="536"/>
      <c r="UOQ1" s="536"/>
      <c r="UOR1" s="536"/>
      <c r="UOS1" s="536"/>
      <c r="UOT1" s="536"/>
      <c r="UOU1" s="536"/>
      <c r="UOV1" s="536"/>
      <c r="UOW1" s="536"/>
      <c r="UOX1" s="536"/>
      <c r="UOY1" s="536"/>
      <c r="UOZ1" s="536"/>
      <c r="UPA1" s="536"/>
      <c r="UPB1" s="536"/>
      <c r="UPC1" s="536"/>
      <c r="UPD1" s="536"/>
      <c r="UPE1" s="536"/>
      <c r="UPF1" s="536"/>
      <c r="UPG1" s="536"/>
      <c r="UPH1" s="536"/>
      <c r="UPI1" s="536"/>
      <c r="UPJ1" s="536"/>
      <c r="UPK1" s="536"/>
      <c r="UPL1" s="536"/>
      <c r="UPM1" s="536"/>
      <c r="UPN1" s="536"/>
      <c r="UPO1" s="536"/>
      <c r="UPP1" s="536"/>
      <c r="UPQ1" s="536"/>
      <c r="UPR1" s="536"/>
      <c r="UPS1" s="536"/>
      <c r="UPT1" s="536"/>
      <c r="UPU1" s="536"/>
      <c r="UPV1" s="536"/>
      <c r="UPW1" s="536"/>
      <c r="UPX1" s="536"/>
      <c r="UPY1" s="536"/>
      <c r="UPZ1" s="536"/>
      <c r="UQA1" s="536"/>
      <c r="UQB1" s="536"/>
      <c r="UQC1" s="536"/>
      <c r="UQD1" s="536"/>
      <c r="UQE1" s="536"/>
      <c r="UQF1" s="536"/>
      <c r="UQG1" s="536"/>
      <c r="UQH1" s="536"/>
      <c r="UQI1" s="536"/>
      <c r="UQJ1" s="536"/>
      <c r="UQK1" s="536"/>
      <c r="UQL1" s="536"/>
      <c r="UQM1" s="536"/>
      <c r="UQN1" s="536"/>
      <c r="UQO1" s="536"/>
      <c r="UQP1" s="536"/>
      <c r="UQQ1" s="536"/>
      <c r="UQR1" s="536"/>
      <c r="UQS1" s="536"/>
      <c r="UQT1" s="536"/>
      <c r="UQU1" s="536"/>
      <c r="UQV1" s="536"/>
      <c r="UQW1" s="536"/>
      <c r="UQX1" s="536"/>
      <c r="UQY1" s="536"/>
      <c r="UQZ1" s="536"/>
      <c r="URA1" s="536"/>
      <c r="URB1" s="536"/>
      <c r="URC1" s="536"/>
      <c r="URD1" s="536"/>
      <c r="URE1" s="536"/>
      <c r="URF1" s="536"/>
      <c r="URG1" s="536"/>
      <c r="URH1" s="536"/>
      <c r="URI1" s="536"/>
      <c r="URJ1" s="536"/>
      <c r="URK1" s="536"/>
      <c r="URL1" s="536"/>
      <c r="URM1" s="536"/>
      <c r="URN1" s="536"/>
      <c r="URO1" s="536"/>
      <c r="URP1" s="536"/>
      <c r="URQ1" s="536"/>
      <c r="URR1" s="536"/>
      <c r="URS1" s="536"/>
      <c r="URT1" s="536"/>
      <c r="URU1" s="536"/>
      <c r="URV1" s="536"/>
      <c r="URW1" s="536"/>
      <c r="URX1" s="536"/>
      <c r="URY1" s="536"/>
      <c r="URZ1" s="536"/>
      <c r="USA1" s="536"/>
      <c r="USB1" s="536"/>
      <c r="USC1" s="536"/>
      <c r="USD1" s="536"/>
      <c r="USE1" s="536"/>
      <c r="USF1" s="536"/>
      <c r="USG1" s="536"/>
      <c r="USH1" s="536"/>
      <c r="USI1" s="536"/>
      <c r="USJ1" s="536"/>
      <c r="USK1" s="536"/>
      <c r="USL1" s="536"/>
      <c r="USM1" s="536"/>
      <c r="USN1" s="536"/>
      <c r="USO1" s="536"/>
      <c r="USP1" s="536"/>
      <c r="USQ1" s="536"/>
      <c r="USR1" s="536"/>
      <c r="USS1" s="536"/>
      <c r="UST1" s="536"/>
      <c r="USU1" s="536"/>
      <c r="USV1" s="536"/>
      <c r="USW1" s="536"/>
      <c r="USX1" s="536"/>
      <c r="USY1" s="536"/>
      <c r="USZ1" s="536"/>
      <c r="UTA1" s="536"/>
      <c r="UTB1" s="536"/>
      <c r="UTC1" s="536"/>
      <c r="UTD1" s="536"/>
      <c r="UTE1" s="536"/>
      <c r="UTF1" s="536"/>
      <c r="UTG1" s="536"/>
      <c r="UTH1" s="536"/>
      <c r="UTI1" s="536"/>
      <c r="UTJ1" s="536"/>
      <c r="UTK1" s="536"/>
      <c r="UTL1" s="536"/>
      <c r="UTM1" s="536"/>
      <c r="UTN1" s="536"/>
      <c r="UTO1" s="536"/>
      <c r="UTP1" s="536"/>
      <c r="UTQ1" s="536"/>
      <c r="UTR1" s="536"/>
      <c r="UTS1" s="536"/>
      <c r="UTT1" s="536"/>
      <c r="UTU1" s="536"/>
      <c r="UTV1" s="536"/>
      <c r="UTW1" s="536"/>
      <c r="UTX1" s="536"/>
      <c r="UTY1" s="536"/>
      <c r="UTZ1" s="536"/>
      <c r="UUA1" s="536"/>
      <c r="UUB1" s="536"/>
      <c r="UUC1" s="536"/>
      <c r="UUD1" s="536"/>
      <c r="UUE1" s="536"/>
      <c r="UUF1" s="536"/>
      <c r="UUG1" s="536"/>
      <c r="UUH1" s="536"/>
      <c r="UUI1" s="536"/>
      <c r="UUJ1" s="536"/>
      <c r="UUK1" s="536"/>
      <c r="UUL1" s="536"/>
      <c r="UUM1" s="536"/>
      <c r="UUN1" s="536"/>
      <c r="UUO1" s="536"/>
      <c r="UUP1" s="536"/>
      <c r="UUQ1" s="536"/>
      <c r="UUR1" s="536"/>
      <c r="UUS1" s="536"/>
      <c r="UUT1" s="536"/>
      <c r="UUU1" s="536"/>
      <c r="UUV1" s="536"/>
      <c r="UUW1" s="536"/>
      <c r="UUX1" s="536"/>
      <c r="UUY1" s="536"/>
      <c r="UUZ1" s="536"/>
      <c r="UVA1" s="536"/>
      <c r="UVB1" s="536"/>
      <c r="UVC1" s="536"/>
      <c r="UVD1" s="536"/>
      <c r="UVE1" s="536"/>
      <c r="UVF1" s="536"/>
      <c r="UVG1" s="536"/>
      <c r="UVH1" s="536"/>
      <c r="UVI1" s="536"/>
      <c r="UVJ1" s="536"/>
      <c r="UVK1" s="536"/>
      <c r="UVL1" s="536"/>
      <c r="UVM1" s="536"/>
      <c r="UVN1" s="536"/>
      <c r="UVO1" s="536"/>
      <c r="UVP1" s="536"/>
      <c r="UVQ1" s="536"/>
      <c r="UVR1" s="536"/>
      <c r="UVS1" s="536"/>
      <c r="UVT1" s="536"/>
      <c r="UVU1" s="536"/>
      <c r="UVV1" s="536"/>
      <c r="UVW1" s="536"/>
      <c r="UVX1" s="536"/>
      <c r="UVY1" s="536"/>
      <c r="UVZ1" s="536"/>
      <c r="UWA1" s="536"/>
      <c r="UWB1" s="536"/>
      <c r="UWC1" s="536"/>
      <c r="UWD1" s="536"/>
      <c r="UWE1" s="536"/>
      <c r="UWF1" s="536"/>
      <c r="UWG1" s="536"/>
      <c r="UWH1" s="536"/>
      <c r="UWI1" s="536"/>
      <c r="UWJ1" s="536"/>
      <c r="UWK1" s="536"/>
      <c r="UWL1" s="536"/>
      <c r="UWM1" s="536"/>
      <c r="UWN1" s="536"/>
      <c r="UWO1" s="536"/>
      <c r="UWP1" s="536"/>
      <c r="UWQ1" s="536"/>
      <c r="UWR1" s="536"/>
      <c r="UWS1" s="536"/>
      <c r="UWT1" s="536"/>
      <c r="UWU1" s="536"/>
      <c r="UWV1" s="536"/>
      <c r="UWW1" s="536"/>
      <c r="UWX1" s="536"/>
      <c r="UWY1" s="536"/>
      <c r="UWZ1" s="536"/>
      <c r="UXA1" s="536"/>
      <c r="UXB1" s="536"/>
      <c r="UXC1" s="536"/>
      <c r="UXD1" s="536"/>
      <c r="UXE1" s="536"/>
      <c r="UXF1" s="536"/>
      <c r="UXG1" s="536"/>
      <c r="UXH1" s="536"/>
      <c r="UXI1" s="536"/>
      <c r="UXJ1" s="536"/>
      <c r="UXK1" s="536"/>
      <c r="UXL1" s="536"/>
      <c r="UXM1" s="536"/>
      <c r="UXN1" s="536"/>
      <c r="UXO1" s="536"/>
      <c r="UXP1" s="536"/>
      <c r="UXQ1" s="536"/>
      <c r="UXR1" s="536"/>
      <c r="UXS1" s="536"/>
      <c r="UXT1" s="536"/>
      <c r="UXU1" s="536"/>
      <c r="UXV1" s="536"/>
      <c r="UXW1" s="536"/>
      <c r="UXX1" s="536"/>
      <c r="UXY1" s="536"/>
      <c r="UXZ1" s="536"/>
      <c r="UYA1" s="536"/>
      <c r="UYB1" s="536"/>
      <c r="UYC1" s="536"/>
      <c r="UYD1" s="536"/>
      <c r="UYE1" s="536"/>
      <c r="UYF1" s="536"/>
      <c r="UYG1" s="536"/>
      <c r="UYH1" s="536"/>
      <c r="UYI1" s="536"/>
      <c r="UYJ1" s="536"/>
      <c r="UYK1" s="536"/>
      <c r="UYL1" s="536"/>
      <c r="UYM1" s="536"/>
      <c r="UYN1" s="536"/>
      <c r="UYO1" s="536"/>
      <c r="UYP1" s="536"/>
      <c r="UYQ1" s="536"/>
      <c r="UYR1" s="536"/>
      <c r="UYS1" s="536"/>
      <c r="UYT1" s="536"/>
      <c r="UYU1" s="536"/>
      <c r="UYV1" s="536"/>
      <c r="UYW1" s="536"/>
      <c r="UYX1" s="536"/>
      <c r="UYY1" s="536"/>
      <c r="UYZ1" s="536"/>
      <c r="UZA1" s="536"/>
      <c r="UZB1" s="536"/>
      <c r="UZC1" s="536"/>
      <c r="UZD1" s="536"/>
      <c r="UZE1" s="536"/>
      <c r="UZF1" s="536"/>
      <c r="UZG1" s="536"/>
      <c r="UZH1" s="536"/>
      <c r="UZI1" s="536"/>
      <c r="UZJ1" s="536"/>
      <c r="UZK1" s="536"/>
      <c r="UZL1" s="536"/>
      <c r="UZM1" s="536"/>
      <c r="UZN1" s="536"/>
      <c r="UZO1" s="536"/>
      <c r="UZP1" s="536"/>
      <c r="UZQ1" s="536"/>
      <c r="UZR1" s="536"/>
      <c r="UZS1" s="536"/>
      <c r="UZT1" s="536"/>
      <c r="UZU1" s="536"/>
      <c r="UZV1" s="536"/>
      <c r="UZW1" s="536"/>
      <c r="UZX1" s="536"/>
      <c r="UZY1" s="536"/>
      <c r="UZZ1" s="536"/>
      <c r="VAA1" s="536"/>
      <c r="VAB1" s="536"/>
      <c r="VAC1" s="536"/>
      <c r="VAD1" s="536"/>
      <c r="VAE1" s="536"/>
      <c r="VAF1" s="536"/>
      <c r="VAG1" s="536"/>
      <c r="VAH1" s="536"/>
      <c r="VAI1" s="536"/>
      <c r="VAJ1" s="536"/>
      <c r="VAK1" s="536"/>
      <c r="VAL1" s="536"/>
      <c r="VAM1" s="536"/>
      <c r="VAN1" s="536"/>
      <c r="VAO1" s="536"/>
      <c r="VAP1" s="536"/>
      <c r="VAQ1" s="536"/>
      <c r="VAR1" s="536"/>
      <c r="VAS1" s="536"/>
      <c r="VAT1" s="536"/>
      <c r="VAU1" s="536"/>
      <c r="VAV1" s="536"/>
      <c r="VAW1" s="536"/>
      <c r="VAX1" s="536"/>
      <c r="VAY1" s="536"/>
      <c r="VAZ1" s="536"/>
      <c r="VBA1" s="536"/>
      <c r="VBB1" s="536"/>
      <c r="VBC1" s="536"/>
      <c r="VBD1" s="536"/>
      <c r="VBE1" s="536"/>
      <c r="VBF1" s="536"/>
      <c r="VBG1" s="536"/>
      <c r="VBH1" s="536"/>
      <c r="VBI1" s="536"/>
      <c r="VBJ1" s="536"/>
      <c r="VBK1" s="536"/>
      <c r="VBL1" s="536"/>
      <c r="VBM1" s="536"/>
      <c r="VBN1" s="536"/>
      <c r="VBO1" s="536"/>
      <c r="VBP1" s="536"/>
      <c r="VBQ1" s="536"/>
      <c r="VBR1" s="536"/>
      <c r="VBS1" s="536"/>
      <c r="VBT1" s="536"/>
      <c r="VBU1" s="536"/>
      <c r="VBV1" s="536"/>
      <c r="VBW1" s="536"/>
      <c r="VBX1" s="536"/>
      <c r="VBY1" s="536"/>
      <c r="VBZ1" s="536"/>
      <c r="VCA1" s="536"/>
      <c r="VCB1" s="536"/>
      <c r="VCC1" s="536"/>
      <c r="VCD1" s="536"/>
      <c r="VCE1" s="536"/>
      <c r="VCF1" s="536"/>
      <c r="VCG1" s="536"/>
      <c r="VCH1" s="536"/>
      <c r="VCI1" s="536"/>
      <c r="VCJ1" s="536"/>
      <c r="VCK1" s="536"/>
      <c r="VCL1" s="536"/>
      <c r="VCM1" s="536"/>
      <c r="VCN1" s="536"/>
      <c r="VCO1" s="536"/>
      <c r="VCP1" s="536"/>
      <c r="VCQ1" s="536"/>
      <c r="VCR1" s="536"/>
      <c r="VCS1" s="536"/>
      <c r="VCT1" s="536"/>
      <c r="VCU1" s="536"/>
      <c r="VCV1" s="536"/>
      <c r="VCW1" s="536"/>
      <c r="VCX1" s="536"/>
      <c r="VCY1" s="536"/>
      <c r="VCZ1" s="536"/>
      <c r="VDA1" s="536"/>
      <c r="VDB1" s="536"/>
      <c r="VDC1" s="536"/>
      <c r="VDD1" s="536"/>
      <c r="VDE1" s="536"/>
      <c r="VDF1" s="536"/>
      <c r="VDG1" s="536"/>
      <c r="VDH1" s="536"/>
      <c r="VDI1" s="536"/>
      <c r="VDJ1" s="536"/>
      <c r="VDK1" s="536"/>
      <c r="VDL1" s="536"/>
      <c r="VDM1" s="536"/>
      <c r="VDN1" s="536"/>
      <c r="VDO1" s="536"/>
      <c r="VDP1" s="536"/>
      <c r="VDQ1" s="536"/>
      <c r="VDR1" s="536"/>
      <c r="VDS1" s="536"/>
      <c r="VDT1" s="536"/>
      <c r="VDU1" s="536"/>
      <c r="VDV1" s="536"/>
      <c r="VDW1" s="536"/>
      <c r="VDX1" s="536"/>
      <c r="VDY1" s="536"/>
      <c r="VDZ1" s="536"/>
      <c r="VEA1" s="536"/>
      <c r="VEB1" s="536"/>
      <c r="VEC1" s="536"/>
      <c r="VED1" s="536"/>
      <c r="VEE1" s="536"/>
      <c r="VEF1" s="536"/>
      <c r="VEG1" s="536"/>
      <c r="VEH1" s="536"/>
      <c r="VEI1" s="536"/>
      <c r="VEJ1" s="536"/>
      <c r="VEK1" s="536"/>
      <c r="VEL1" s="536"/>
      <c r="VEM1" s="536"/>
      <c r="VEN1" s="536"/>
      <c r="VEO1" s="536"/>
      <c r="VEP1" s="536"/>
      <c r="VEQ1" s="536"/>
      <c r="VER1" s="536"/>
      <c r="VES1" s="536"/>
      <c r="VET1" s="536"/>
      <c r="VEU1" s="536"/>
      <c r="VEV1" s="536"/>
      <c r="VEW1" s="536"/>
      <c r="VEX1" s="536"/>
      <c r="VEY1" s="536"/>
      <c r="VEZ1" s="536"/>
      <c r="VFA1" s="536"/>
      <c r="VFB1" s="536"/>
      <c r="VFC1" s="536"/>
      <c r="VFD1" s="536"/>
      <c r="VFE1" s="536"/>
      <c r="VFF1" s="536"/>
      <c r="VFG1" s="536"/>
      <c r="VFH1" s="536"/>
      <c r="VFI1" s="536"/>
      <c r="VFJ1" s="536"/>
      <c r="VFK1" s="536"/>
      <c r="VFL1" s="536"/>
      <c r="VFM1" s="536"/>
      <c r="VFN1" s="536"/>
      <c r="VFO1" s="536"/>
      <c r="VFP1" s="536"/>
      <c r="VFQ1" s="536"/>
      <c r="VFR1" s="536"/>
      <c r="VFS1" s="536"/>
      <c r="VFT1" s="536"/>
      <c r="VFU1" s="536"/>
      <c r="VFV1" s="536"/>
      <c r="VFW1" s="536"/>
      <c r="VFX1" s="536"/>
      <c r="VFY1" s="536"/>
      <c r="VFZ1" s="536"/>
      <c r="VGA1" s="536"/>
      <c r="VGB1" s="536"/>
      <c r="VGC1" s="536"/>
      <c r="VGD1" s="536"/>
      <c r="VGE1" s="536"/>
      <c r="VGF1" s="536"/>
      <c r="VGG1" s="536"/>
      <c r="VGH1" s="536"/>
      <c r="VGI1" s="536"/>
      <c r="VGJ1" s="536"/>
      <c r="VGK1" s="536"/>
      <c r="VGL1" s="536"/>
      <c r="VGM1" s="536"/>
      <c r="VGN1" s="536"/>
      <c r="VGO1" s="536"/>
      <c r="VGP1" s="536"/>
      <c r="VGQ1" s="536"/>
      <c r="VGR1" s="536"/>
      <c r="VGS1" s="536"/>
      <c r="VGT1" s="536"/>
      <c r="VGU1" s="536"/>
      <c r="VGV1" s="536"/>
      <c r="VGW1" s="536"/>
      <c r="VGX1" s="536"/>
      <c r="VGY1" s="536"/>
      <c r="VGZ1" s="536"/>
      <c r="VHA1" s="536"/>
      <c r="VHB1" s="536"/>
      <c r="VHC1" s="536"/>
      <c r="VHD1" s="536"/>
      <c r="VHE1" s="536"/>
      <c r="VHF1" s="536"/>
      <c r="VHG1" s="536"/>
      <c r="VHH1" s="536"/>
      <c r="VHI1" s="536"/>
      <c r="VHJ1" s="536"/>
      <c r="VHK1" s="536"/>
      <c r="VHL1" s="536"/>
      <c r="VHM1" s="536"/>
      <c r="VHN1" s="536"/>
      <c r="VHO1" s="536"/>
      <c r="VHP1" s="536"/>
      <c r="VHQ1" s="536"/>
      <c r="VHR1" s="536"/>
      <c r="VHS1" s="536"/>
      <c r="VHT1" s="536"/>
      <c r="VHU1" s="536"/>
      <c r="VHV1" s="536"/>
      <c r="VHW1" s="536"/>
      <c r="VHX1" s="536"/>
      <c r="VHY1" s="536"/>
      <c r="VHZ1" s="536"/>
      <c r="VIA1" s="536"/>
      <c r="VIB1" s="536"/>
      <c r="VIC1" s="536"/>
      <c r="VID1" s="536"/>
      <c r="VIE1" s="536"/>
      <c r="VIF1" s="536"/>
      <c r="VIG1" s="536"/>
      <c r="VIH1" s="536"/>
      <c r="VII1" s="536"/>
      <c r="VIJ1" s="536"/>
      <c r="VIK1" s="536"/>
      <c r="VIL1" s="536"/>
      <c r="VIM1" s="536"/>
      <c r="VIN1" s="536"/>
      <c r="VIO1" s="536"/>
      <c r="VIP1" s="536"/>
      <c r="VIQ1" s="536"/>
      <c r="VIR1" s="536"/>
      <c r="VIS1" s="536"/>
      <c r="VIT1" s="536"/>
      <c r="VIU1" s="536"/>
      <c r="VIV1" s="536"/>
      <c r="VIW1" s="536"/>
      <c r="VIX1" s="536"/>
      <c r="VIY1" s="536"/>
      <c r="VIZ1" s="536"/>
      <c r="VJA1" s="536"/>
      <c r="VJB1" s="536"/>
      <c r="VJC1" s="536"/>
      <c r="VJD1" s="536"/>
      <c r="VJE1" s="536"/>
      <c r="VJF1" s="536"/>
      <c r="VJG1" s="536"/>
      <c r="VJH1" s="536"/>
      <c r="VJI1" s="536"/>
      <c r="VJJ1" s="536"/>
      <c r="VJK1" s="536"/>
      <c r="VJL1" s="536"/>
      <c r="VJM1" s="536"/>
      <c r="VJN1" s="536"/>
      <c r="VJO1" s="536"/>
      <c r="VJP1" s="536"/>
      <c r="VJQ1" s="536"/>
      <c r="VJR1" s="536"/>
      <c r="VJS1" s="536"/>
      <c r="VJT1" s="536"/>
      <c r="VJU1" s="536"/>
      <c r="VJV1" s="536"/>
      <c r="VJW1" s="536"/>
      <c r="VJX1" s="536"/>
      <c r="VJY1" s="536"/>
      <c r="VJZ1" s="536"/>
      <c r="VKA1" s="536"/>
      <c r="VKB1" s="536"/>
      <c r="VKC1" s="536"/>
      <c r="VKD1" s="536"/>
      <c r="VKE1" s="536"/>
      <c r="VKF1" s="536"/>
      <c r="VKG1" s="536"/>
      <c r="VKH1" s="536"/>
      <c r="VKI1" s="536"/>
      <c r="VKJ1" s="536"/>
      <c r="VKK1" s="536"/>
      <c r="VKL1" s="536"/>
      <c r="VKM1" s="536"/>
      <c r="VKN1" s="536"/>
      <c r="VKO1" s="536"/>
      <c r="VKP1" s="536"/>
      <c r="VKQ1" s="536"/>
      <c r="VKR1" s="536"/>
      <c r="VKS1" s="536"/>
      <c r="VKT1" s="536"/>
      <c r="VKU1" s="536"/>
      <c r="VKV1" s="536"/>
      <c r="VKW1" s="536"/>
      <c r="VKX1" s="536"/>
      <c r="VKY1" s="536"/>
      <c r="VKZ1" s="536"/>
      <c r="VLA1" s="536"/>
      <c r="VLB1" s="536"/>
      <c r="VLC1" s="536"/>
      <c r="VLD1" s="536"/>
      <c r="VLE1" s="536"/>
      <c r="VLF1" s="536"/>
      <c r="VLG1" s="536"/>
      <c r="VLH1" s="536"/>
      <c r="VLI1" s="536"/>
      <c r="VLJ1" s="536"/>
      <c r="VLK1" s="536"/>
      <c r="VLL1" s="536"/>
      <c r="VLM1" s="536"/>
      <c r="VLN1" s="536"/>
      <c r="VLO1" s="536"/>
      <c r="VLP1" s="536"/>
      <c r="VLQ1" s="536"/>
      <c r="VLR1" s="536"/>
      <c r="VLS1" s="536"/>
      <c r="VLT1" s="536"/>
      <c r="VLU1" s="536"/>
      <c r="VLV1" s="536"/>
      <c r="VLW1" s="536"/>
      <c r="VLX1" s="536"/>
      <c r="VLY1" s="536"/>
      <c r="VLZ1" s="536"/>
      <c r="VMA1" s="536"/>
      <c r="VMB1" s="536"/>
      <c r="VMC1" s="536"/>
      <c r="VMD1" s="536"/>
      <c r="VME1" s="536"/>
      <c r="VMF1" s="536"/>
      <c r="VMG1" s="536"/>
      <c r="VMH1" s="536"/>
      <c r="VMI1" s="536"/>
      <c r="VMJ1" s="536"/>
      <c r="VMK1" s="536"/>
      <c r="VML1" s="536"/>
      <c r="VMM1" s="536"/>
      <c r="VMN1" s="536"/>
      <c r="VMO1" s="536"/>
      <c r="VMP1" s="536"/>
      <c r="VMQ1" s="536"/>
      <c r="VMR1" s="536"/>
      <c r="VMS1" s="536"/>
      <c r="VMT1" s="536"/>
      <c r="VMU1" s="536"/>
      <c r="VMV1" s="536"/>
      <c r="VMW1" s="536"/>
      <c r="VMX1" s="536"/>
      <c r="VMY1" s="536"/>
      <c r="VMZ1" s="536"/>
      <c r="VNA1" s="536"/>
      <c r="VNB1" s="536"/>
      <c r="VNC1" s="536"/>
      <c r="VND1" s="536"/>
      <c r="VNE1" s="536"/>
      <c r="VNF1" s="536"/>
      <c r="VNG1" s="536"/>
      <c r="VNH1" s="536"/>
      <c r="VNI1" s="536"/>
      <c r="VNJ1" s="536"/>
      <c r="VNK1" s="536"/>
      <c r="VNL1" s="536"/>
      <c r="VNM1" s="536"/>
      <c r="VNN1" s="536"/>
      <c r="VNO1" s="536"/>
      <c r="VNP1" s="536"/>
      <c r="VNQ1" s="536"/>
      <c r="VNR1" s="536"/>
      <c r="VNS1" s="536"/>
      <c r="VNT1" s="536"/>
      <c r="VNU1" s="536"/>
      <c r="VNV1" s="536"/>
      <c r="VNW1" s="536"/>
      <c r="VNX1" s="536"/>
      <c r="VNY1" s="536"/>
      <c r="VNZ1" s="536"/>
      <c r="VOA1" s="536"/>
      <c r="VOB1" s="536"/>
      <c r="VOC1" s="536"/>
      <c r="VOD1" s="536"/>
      <c r="VOE1" s="536"/>
      <c r="VOF1" s="536"/>
      <c r="VOG1" s="536"/>
      <c r="VOH1" s="536"/>
      <c r="VOI1" s="536"/>
      <c r="VOJ1" s="536"/>
      <c r="VOK1" s="536"/>
      <c r="VOL1" s="536"/>
      <c r="VOM1" s="536"/>
      <c r="VON1" s="536"/>
      <c r="VOO1" s="536"/>
      <c r="VOP1" s="536"/>
      <c r="VOQ1" s="536"/>
      <c r="VOR1" s="536"/>
      <c r="VOS1" s="536"/>
      <c r="VOT1" s="536"/>
      <c r="VOU1" s="536"/>
      <c r="VOV1" s="536"/>
      <c r="VOW1" s="536"/>
      <c r="VOX1" s="536"/>
      <c r="VOY1" s="536"/>
      <c r="VOZ1" s="536"/>
      <c r="VPA1" s="536"/>
      <c r="VPB1" s="536"/>
      <c r="VPC1" s="536"/>
      <c r="VPD1" s="536"/>
      <c r="VPE1" s="536"/>
      <c r="VPF1" s="536"/>
      <c r="VPG1" s="536"/>
      <c r="VPH1" s="536"/>
      <c r="VPI1" s="536"/>
      <c r="VPJ1" s="536"/>
      <c r="VPK1" s="536"/>
      <c r="VPL1" s="536"/>
      <c r="VPM1" s="536"/>
      <c r="VPN1" s="536"/>
      <c r="VPO1" s="536"/>
      <c r="VPP1" s="536"/>
      <c r="VPQ1" s="536"/>
      <c r="VPR1" s="536"/>
      <c r="VPS1" s="536"/>
      <c r="VPT1" s="536"/>
      <c r="VPU1" s="536"/>
      <c r="VPV1" s="536"/>
      <c r="VPW1" s="536"/>
      <c r="VPX1" s="536"/>
      <c r="VPY1" s="536"/>
      <c r="VPZ1" s="536"/>
      <c r="VQA1" s="536"/>
      <c r="VQB1" s="536"/>
      <c r="VQC1" s="536"/>
      <c r="VQD1" s="536"/>
      <c r="VQE1" s="536"/>
      <c r="VQF1" s="536"/>
      <c r="VQG1" s="536"/>
      <c r="VQH1" s="536"/>
      <c r="VQI1" s="536"/>
      <c r="VQJ1" s="536"/>
      <c r="VQK1" s="536"/>
      <c r="VQL1" s="536"/>
      <c r="VQM1" s="536"/>
      <c r="VQN1" s="536"/>
      <c r="VQO1" s="536"/>
      <c r="VQP1" s="536"/>
      <c r="VQQ1" s="536"/>
      <c r="VQR1" s="536"/>
      <c r="VQS1" s="536"/>
      <c r="VQT1" s="536"/>
      <c r="VQU1" s="536"/>
      <c r="VQV1" s="536"/>
      <c r="VQW1" s="536"/>
      <c r="VQX1" s="536"/>
      <c r="VQY1" s="536"/>
      <c r="VQZ1" s="536"/>
      <c r="VRA1" s="536"/>
      <c r="VRB1" s="536"/>
      <c r="VRC1" s="536"/>
      <c r="VRD1" s="536"/>
      <c r="VRE1" s="536"/>
      <c r="VRF1" s="536"/>
      <c r="VRG1" s="536"/>
      <c r="VRH1" s="536"/>
      <c r="VRI1" s="536"/>
      <c r="VRJ1" s="536"/>
      <c r="VRK1" s="536"/>
      <c r="VRL1" s="536"/>
      <c r="VRM1" s="536"/>
      <c r="VRN1" s="536"/>
      <c r="VRO1" s="536"/>
      <c r="VRP1" s="536"/>
      <c r="VRQ1" s="536"/>
      <c r="VRR1" s="536"/>
      <c r="VRS1" s="536"/>
      <c r="VRT1" s="536"/>
      <c r="VRU1" s="536"/>
      <c r="VRV1" s="536"/>
      <c r="VRW1" s="536"/>
      <c r="VRX1" s="536"/>
      <c r="VRY1" s="536"/>
      <c r="VRZ1" s="536"/>
      <c r="VSA1" s="536"/>
      <c r="VSB1" s="536"/>
      <c r="VSC1" s="536"/>
      <c r="VSD1" s="536"/>
      <c r="VSE1" s="536"/>
      <c r="VSF1" s="536"/>
      <c r="VSG1" s="536"/>
      <c r="VSH1" s="536"/>
      <c r="VSI1" s="536"/>
      <c r="VSJ1" s="536"/>
      <c r="VSK1" s="536"/>
      <c r="VSL1" s="536"/>
      <c r="VSM1" s="536"/>
      <c r="VSN1" s="536"/>
      <c r="VSO1" s="536"/>
      <c r="VSP1" s="536"/>
      <c r="VSQ1" s="536"/>
      <c r="VSR1" s="536"/>
      <c r="VSS1" s="536"/>
      <c r="VST1" s="536"/>
      <c r="VSU1" s="536"/>
      <c r="VSV1" s="536"/>
      <c r="VSW1" s="536"/>
      <c r="VSX1" s="536"/>
      <c r="VSY1" s="536"/>
      <c r="VSZ1" s="536"/>
      <c r="VTA1" s="536"/>
      <c r="VTB1" s="536"/>
      <c r="VTC1" s="536"/>
      <c r="VTD1" s="536"/>
      <c r="VTE1" s="536"/>
      <c r="VTF1" s="536"/>
      <c r="VTG1" s="536"/>
      <c r="VTH1" s="536"/>
      <c r="VTI1" s="536"/>
      <c r="VTJ1" s="536"/>
      <c r="VTK1" s="536"/>
      <c r="VTL1" s="536"/>
      <c r="VTM1" s="536"/>
      <c r="VTN1" s="536"/>
      <c r="VTO1" s="536"/>
      <c r="VTP1" s="536"/>
      <c r="VTQ1" s="536"/>
      <c r="VTR1" s="536"/>
      <c r="VTS1" s="536"/>
      <c r="VTT1" s="536"/>
      <c r="VTU1" s="536"/>
      <c r="VTV1" s="536"/>
      <c r="VTW1" s="536"/>
      <c r="VTX1" s="536"/>
      <c r="VTY1" s="536"/>
      <c r="VTZ1" s="536"/>
      <c r="VUA1" s="536"/>
      <c r="VUB1" s="536"/>
      <c r="VUC1" s="536"/>
      <c r="VUD1" s="536"/>
      <c r="VUE1" s="536"/>
      <c r="VUF1" s="536"/>
      <c r="VUG1" s="536"/>
      <c r="VUH1" s="536"/>
      <c r="VUI1" s="536"/>
      <c r="VUJ1" s="536"/>
      <c r="VUK1" s="536"/>
      <c r="VUL1" s="536"/>
      <c r="VUM1" s="536"/>
      <c r="VUN1" s="536"/>
      <c r="VUO1" s="536"/>
      <c r="VUP1" s="536"/>
      <c r="VUQ1" s="536"/>
      <c r="VUR1" s="536"/>
      <c r="VUS1" s="536"/>
      <c r="VUT1" s="536"/>
      <c r="VUU1" s="536"/>
      <c r="VUV1" s="536"/>
      <c r="VUW1" s="536"/>
      <c r="VUX1" s="536"/>
      <c r="VUY1" s="536"/>
      <c r="VUZ1" s="536"/>
      <c r="VVA1" s="536"/>
      <c r="VVB1" s="536"/>
      <c r="VVC1" s="536"/>
      <c r="VVD1" s="536"/>
      <c r="VVE1" s="536"/>
      <c r="VVF1" s="536"/>
      <c r="VVG1" s="536"/>
      <c r="VVH1" s="536"/>
      <c r="VVI1" s="536"/>
      <c r="VVJ1" s="536"/>
      <c r="VVK1" s="536"/>
      <c r="VVL1" s="536"/>
      <c r="VVM1" s="536"/>
      <c r="VVN1" s="536"/>
      <c r="VVO1" s="536"/>
      <c r="VVP1" s="536"/>
      <c r="VVQ1" s="536"/>
      <c r="VVR1" s="536"/>
      <c r="VVS1" s="536"/>
      <c r="VVT1" s="536"/>
      <c r="VVU1" s="536"/>
      <c r="VVV1" s="536"/>
      <c r="VVW1" s="536"/>
      <c r="VVX1" s="536"/>
      <c r="VVY1" s="536"/>
      <c r="VVZ1" s="536"/>
      <c r="VWA1" s="536"/>
      <c r="VWB1" s="536"/>
      <c r="VWC1" s="536"/>
      <c r="VWD1" s="536"/>
      <c r="VWE1" s="536"/>
      <c r="VWF1" s="536"/>
      <c r="VWG1" s="536"/>
      <c r="VWH1" s="536"/>
      <c r="VWI1" s="536"/>
      <c r="VWJ1" s="536"/>
      <c r="VWK1" s="536"/>
      <c r="VWL1" s="536"/>
      <c r="VWM1" s="536"/>
      <c r="VWN1" s="536"/>
      <c r="VWO1" s="536"/>
      <c r="VWP1" s="536"/>
      <c r="VWQ1" s="536"/>
      <c r="VWR1" s="536"/>
      <c r="VWS1" s="536"/>
      <c r="VWT1" s="536"/>
      <c r="VWU1" s="536"/>
      <c r="VWV1" s="536"/>
      <c r="VWW1" s="536"/>
      <c r="VWX1" s="536"/>
      <c r="VWY1" s="536"/>
      <c r="VWZ1" s="536"/>
      <c r="VXA1" s="536"/>
      <c r="VXB1" s="536"/>
      <c r="VXC1" s="536"/>
      <c r="VXD1" s="536"/>
      <c r="VXE1" s="536"/>
      <c r="VXF1" s="536"/>
      <c r="VXG1" s="536"/>
      <c r="VXH1" s="536"/>
      <c r="VXI1" s="536"/>
      <c r="VXJ1" s="536"/>
      <c r="VXK1" s="536"/>
      <c r="VXL1" s="536"/>
      <c r="VXM1" s="536"/>
      <c r="VXN1" s="536"/>
      <c r="VXO1" s="536"/>
      <c r="VXP1" s="536"/>
      <c r="VXQ1" s="536"/>
      <c r="VXR1" s="536"/>
      <c r="VXS1" s="536"/>
      <c r="VXT1" s="536"/>
      <c r="VXU1" s="536"/>
      <c r="VXV1" s="536"/>
      <c r="VXW1" s="536"/>
      <c r="VXX1" s="536"/>
      <c r="VXY1" s="536"/>
      <c r="VXZ1" s="536"/>
      <c r="VYA1" s="536"/>
      <c r="VYB1" s="536"/>
      <c r="VYC1" s="536"/>
      <c r="VYD1" s="536"/>
      <c r="VYE1" s="536"/>
      <c r="VYF1" s="536"/>
      <c r="VYG1" s="536"/>
      <c r="VYH1" s="536"/>
      <c r="VYI1" s="536"/>
      <c r="VYJ1" s="536"/>
      <c r="VYK1" s="536"/>
      <c r="VYL1" s="536"/>
      <c r="VYM1" s="536"/>
      <c r="VYN1" s="536"/>
      <c r="VYO1" s="536"/>
      <c r="VYP1" s="536"/>
      <c r="VYQ1" s="536"/>
      <c r="VYR1" s="536"/>
      <c r="VYS1" s="536"/>
      <c r="VYT1" s="536"/>
      <c r="VYU1" s="536"/>
      <c r="VYV1" s="536"/>
      <c r="VYW1" s="536"/>
      <c r="VYX1" s="536"/>
      <c r="VYY1" s="536"/>
      <c r="VYZ1" s="536"/>
      <c r="VZA1" s="536"/>
      <c r="VZB1" s="536"/>
      <c r="VZC1" s="536"/>
      <c r="VZD1" s="536"/>
      <c r="VZE1" s="536"/>
      <c r="VZF1" s="536"/>
      <c r="VZG1" s="536"/>
      <c r="VZH1" s="536"/>
      <c r="VZI1" s="536"/>
      <c r="VZJ1" s="536"/>
      <c r="VZK1" s="536"/>
      <c r="VZL1" s="536"/>
      <c r="VZM1" s="536"/>
      <c r="VZN1" s="536"/>
      <c r="VZO1" s="536"/>
      <c r="VZP1" s="536"/>
      <c r="VZQ1" s="536"/>
      <c r="VZR1" s="536"/>
      <c r="VZS1" s="536"/>
      <c r="VZT1" s="536"/>
      <c r="VZU1" s="536"/>
      <c r="VZV1" s="536"/>
      <c r="VZW1" s="536"/>
      <c r="VZX1" s="536"/>
      <c r="VZY1" s="536"/>
      <c r="VZZ1" s="536"/>
      <c r="WAA1" s="536"/>
      <c r="WAB1" s="536"/>
      <c r="WAC1" s="536"/>
      <c r="WAD1" s="536"/>
      <c r="WAE1" s="536"/>
      <c r="WAF1" s="536"/>
      <c r="WAG1" s="536"/>
      <c r="WAH1" s="536"/>
      <c r="WAI1" s="536"/>
      <c r="WAJ1" s="536"/>
      <c r="WAK1" s="536"/>
      <c r="WAL1" s="536"/>
      <c r="WAM1" s="536"/>
      <c r="WAN1" s="536"/>
      <c r="WAO1" s="536"/>
      <c r="WAP1" s="536"/>
      <c r="WAQ1" s="536"/>
      <c r="WAR1" s="536"/>
      <c r="WAS1" s="536"/>
      <c r="WAT1" s="536"/>
      <c r="WAU1" s="536"/>
      <c r="WAV1" s="536"/>
      <c r="WAW1" s="536"/>
      <c r="WAX1" s="536"/>
      <c r="WAY1" s="536"/>
      <c r="WAZ1" s="536"/>
      <c r="WBA1" s="536"/>
      <c r="WBB1" s="536"/>
      <c r="WBC1" s="536"/>
      <c r="WBD1" s="536"/>
      <c r="WBE1" s="536"/>
      <c r="WBF1" s="536"/>
      <c r="WBG1" s="536"/>
      <c r="WBH1" s="536"/>
      <c r="WBI1" s="536"/>
      <c r="WBJ1" s="536"/>
      <c r="WBK1" s="536"/>
      <c r="WBL1" s="536"/>
      <c r="WBM1" s="536"/>
      <c r="WBN1" s="536"/>
      <c r="WBO1" s="536"/>
      <c r="WBP1" s="536"/>
      <c r="WBQ1" s="536"/>
      <c r="WBR1" s="536"/>
      <c r="WBS1" s="536"/>
      <c r="WBT1" s="536"/>
      <c r="WBU1" s="536"/>
      <c r="WBV1" s="536"/>
      <c r="WBW1" s="536"/>
      <c r="WBX1" s="536"/>
      <c r="WBY1" s="536"/>
      <c r="WBZ1" s="536"/>
      <c r="WCA1" s="536"/>
      <c r="WCB1" s="536"/>
      <c r="WCC1" s="536"/>
      <c r="WCD1" s="536"/>
      <c r="WCE1" s="536"/>
      <c r="WCF1" s="536"/>
      <c r="WCG1" s="536"/>
      <c r="WCH1" s="536"/>
      <c r="WCI1" s="536"/>
      <c r="WCJ1" s="536"/>
      <c r="WCK1" s="536"/>
      <c r="WCL1" s="536"/>
      <c r="WCM1" s="536"/>
      <c r="WCN1" s="536"/>
      <c r="WCO1" s="536"/>
      <c r="WCP1" s="536"/>
      <c r="WCQ1" s="536"/>
      <c r="WCR1" s="536"/>
      <c r="WCS1" s="536"/>
      <c r="WCT1" s="536"/>
      <c r="WCU1" s="536"/>
      <c r="WCV1" s="536"/>
      <c r="WCW1" s="536"/>
      <c r="WCX1" s="536"/>
      <c r="WCY1" s="536"/>
      <c r="WCZ1" s="536"/>
      <c r="WDA1" s="536"/>
      <c r="WDB1" s="536"/>
      <c r="WDC1" s="536"/>
      <c r="WDD1" s="536"/>
      <c r="WDE1" s="536"/>
      <c r="WDF1" s="536"/>
      <c r="WDG1" s="536"/>
      <c r="WDH1" s="536"/>
      <c r="WDI1" s="536"/>
      <c r="WDJ1" s="536"/>
      <c r="WDK1" s="536"/>
      <c r="WDL1" s="536"/>
      <c r="WDM1" s="536"/>
      <c r="WDN1" s="536"/>
      <c r="WDO1" s="536"/>
      <c r="WDP1" s="536"/>
      <c r="WDQ1" s="536"/>
      <c r="WDR1" s="536"/>
      <c r="WDS1" s="536"/>
      <c r="WDT1" s="536"/>
      <c r="WDU1" s="536"/>
      <c r="WDV1" s="536"/>
      <c r="WDW1" s="536"/>
      <c r="WDX1" s="536"/>
      <c r="WDY1" s="536"/>
      <c r="WDZ1" s="536"/>
      <c r="WEA1" s="536"/>
      <c r="WEB1" s="536"/>
      <c r="WEC1" s="536"/>
      <c r="WED1" s="536"/>
      <c r="WEE1" s="536"/>
      <c r="WEF1" s="536"/>
      <c r="WEG1" s="536"/>
      <c r="WEH1" s="536"/>
      <c r="WEI1" s="536"/>
      <c r="WEJ1" s="536"/>
      <c r="WEK1" s="536"/>
      <c r="WEL1" s="536"/>
      <c r="WEM1" s="536"/>
      <c r="WEN1" s="536"/>
      <c r="WEO1" s="536"/>
      <c r="WEP1" s="536"/>
      <c r="WEQ1" s="536"/>
      <c r="WER1" s="536"/>
      <c r="WES1" s="536"/>
      <c r="WET1" s="536"/>
      <c r="WEU1" s="536"/>
      <c r="WEV1" s="536"/>
      <c r="WEW1" s="536"/>
      <c r="WEX1" s="536"/>
      <c r="WEY1" s="536"/>
      <c r="WEZ1" s="536"/>
      <c r="WFA1" s="536"/>
      <c r="WFB1" s="536"/>
      <c r="WFC1" s="536"/>
      <c r="WFD1" s="536"/>
      <c r="WFE1" s="536"/>
      <c r="WFF1" s="536"/>
      <c r="WFG1" s="536"/>
      <c r="WFH1" s="536"/>
      <c r="WFI1" s="536"/>
      <c r="WFJ1" s="536"/>
      <c r="WFK1" s="536"/>
      <c r="WFL1" s="536"/>
      <c r="WFM1" s="536"/>
      <c r="WFN1" s="536"/>
      <c r="WFO1" s="536"/>
      <c r="WFP1" s="536"/>
      <c r="WFQ1" s="536"/>
      <c r="WFR1" s="536"/>
      <c r="WFS1" s="536"/>
      <c r="WFT1" s="536"/>
      <c r="WFU1" s="536"/>
      <c r="WFV1" s="536"/>
      <c r="WFW1" s="536"/>
      <c r="WFX1" s="536"/>
      <c r="WFY1" s="536"/>
      <c r="WFZ1" s="536"/>
      <c r="WGA1" s="536"/>
      <c r="WGB1" s="536"/>
      <c r="WGC1" s="536"/>
      <c r="WGD1" s="536"/>
      <c r="WGE1" s="536"/>
      <c r="WGF1" s="536"/>
      <c r="WGG1" s="536"/>
      <c r="WGH1" s="536"/>
      <c r="WGI1" s="536"/>
      <c r="WGJ1" s="536"/>
      <c r="WGK1" s="536"/>
      <c r="WGL1" s="536"/>
      <c r="WGM1" s="536"/>
      <c r="WGN1" s="536"/>
      <c r="WGO1" s="536"/>
      <c r="WGP1" s="536"/>
      <c r="WGQ1" s="536"/>
      <c r="WGR1" s="536"/>
      <c r="WGS1" s="536"/>
      <c r="WGT1" s="536"/>
      <c r="WGU1" s="536"/>
      <c r="WGV1" s="536"/>
      <c r="WGW1" s="536"/>
      <c r="WGX1" s="536"/>
      <c r="WGY1" s="536"/>
      <c r="WGZ1" s="536"/>
      <c r="WHA1" s="536"/>
      <c r="WHB1" s="536"/>
      <c r="WHC1" s="536"/>
      <c r="WHD1" s="536"/>
      <c r="WHE1" s="536"/>
      <c r="WHF1" s="536"/>
      <c r="WHG1" s="536"/>
      <c r="WHH1" s="536"/>
      <c r="WHI1" s="536"/>
      <c r="WHJ1" s="536"/>
      <c r="WHK1" s="536"/>
      <c r="WHL1" s="536"/>
      <c r="WHM1" s="536"/>
      <c r="WHN1" s="536"/>
      <c r="WHO1" s="536"/>
      <c r="WHP1" s="536"/>
      <c r="WHQ1" s="536"/>
      <c r="WHR1" s="536"/>
      <c r="WHS1" s="536"/>
      <c r="WHT1" s="536"/>
      <c r="WHU1" s="536"/>
      <c r="WHV1" s="536"/>
      <c r="WHW1" s="536"/>
      <c r="WHX1" s="536"/>
      <c r="WHY1" s="536"/>
      <c r="WHZ1" s="536"/>
      <c r="WIA1" s="536"/>
      <c r="WIB1" s="536"/>
      <c r="WIC1" s="536"/>
      <c r="WID1" s="536"/>
      <c r="WIE1" s="536"/>
      <c r="WIF1" s="536"/>
      <c r="WIG1" s="536"/>
      <c r="WIH1" s="536"/>
      <c r="WII1" s="536"/>
      <c r="WIJ1" s="536"/>
      <c r="WIK1" s="536"/>
      <c r="WIL1" s="536"/>
      <c r="WIM1" s="536"/>
      <c r="WIN1" s="536"/>
      <c r="WIO1" s="536"/>
      <c r="WIP1" s="536"/>
      <c r="WIQ1" s="536"/>
      <c r="WIR1" s="536"/>
      <c r="WIS1" s="536"/>
      <c r="WIT1" s="536"/>
      <c r="WIU1" s="536"/>
      <c r="WIV1" s="536"/>
      <c r="WIW1" s="536"/>
      <c r="WIX1" s="536"/>
      <c r="WIY1" s="536"/>
      <c r="WIZ1" s="536"/>
      <c r="WJA1" s="536"/>
      <c r="WJB1" s="536"/>
      <c r="WJC1" s="536"/>
      <c r="WJD1" s="536"/>
      <c r="WJE1" s="536"/>
      <c r="WJF1" s="536"/>
      <c r="WJG1" s="536"/>
      <c r="WJH1" s="536"/>
      <c r="WJI1" s="536"/>
      <c r="WJJ1" s="536"/>
      <c r="WJK1" s="536"/>
      <c r="WJL1" s="536"/>
      <c r="WJM1" s="536"/>
      <c r="WJN1" s="536"/>
      <c r="WJO1" s="536"/>
      <c r="WJP1" s="536"/>
      <c r="WJQ1" s="536"/>
      <c r="WJR1" s="536"/>
      <c r="WJS1" s="536"/>
      <c r="WJT1" s="536"/>
      <c r="WJU1" s="536"/>
      <c r="WJV1" s="536"/>
      <c r="WJW1" s="536"/>
      <c r="WJX1" s="536"/>
      <c r="WJY1" s="536"/>
      <c r="WJZ1" s="536"/>
      <c r="WKA1" s="536"/>
      <c r="WKB1" s="536"/>
      <c r="WKC1" s="536"/>
      <c r="WKD1" s="536"/>
      <c r="WKE1" s="536"/>
      <c r="WKF1" s="536"/>
      <c r="WKG1" s="536"/>
      <c r="WKH1" s="536"/>
      <c r="WKI1" s="536"/>
      <c r="WKJ1" s="536"/>
      <c r="WKK1" s="536"/>
      <c r="WKL1" s="536"/>
      <c r="WKM1" s="536"/>
      <c r="WKN1" s="536"/>
      <c r="WKO1" s="536"/>
      <c r="WKP1" s="536"/>
      <c r="WKQ1" s="536"/>
      <c r="WKR1" s="536"/>
      <c r="WKS1" s="536"/>
      <c r="WKT1" s="536"/>
      <c r="WKU1" s="536"/>
      <c r="WKV1" s="536"/>
      <c r="WKW1" s="536"/>
      <c r="WKX1" s="536"/>
      <c r="WKY1" s="536"/>
      <c r="WKZ1" s="536"/>
      <c r="WLA1" s="536"/>
      <c r="WLB1" s="536"/>
      <c r="WLC1" s="536"/>
      <c r="WLD1" s="536"/>
      <c r="WLE1" s="536"/>
      <c r="WLF1" s="536"/>
      <c r="WLG1" s="536"/>
      <c r="WLH1" s="536"/>
      <c r="WLI1" s="536"/>
      <c r="WLJ1" s="536"/>
      <c r="WLK1" s="536"/>
      <c r="WLL1" s="536"/>
      <c r="WLM1" s="536"/>
      <c r="WLN1" s="536"/>
      <c r="WLO1" s="536"/>
      <c r="WLP1" s="536"/>
      <c r="WLQ1" s="536"/>
      <c r="WLR1" s="536"/>
      <c r="WLS1" s="536"/>
      <c r="WLT1" s="536"/>
      <c r="WLU1" s="536"/>
      <c r="WLV1" s="536"/>
      <c r="WLW1" s="536"/>
      <c r="WLX1" s="536"/>
      <c r="WLY1" s="536"/>
      <c r="WLZ1" s="536"/>
      <c r="WMA1" s="536"/>
      <c r="WMB1" s="536"/>
      <c r="WMC1" s="536"/>
      <c r="WMD1" s="536"/>
      <c r="WME1" s="536"/>
      <c r="WMF1" s="536"/>
      <c r="WMG1" s="536"/>
      <c r="WMH1" s="536"/>
      <c r="WMI1" s="536"/>
      <c r="WMJ1" s="536"/>
      <c r="WMK1" s="536"/>
      <c r="WML1" s="536"/>
      <c r="WMM1" s="536"/>
      <c r="WMN1" s="536"/>
      <c r="WMO1" s="536"/>
      <c r="WMP1" s="536"/>
      <c r="WMQ1" s="536"/>
      <c r="WMR1" s="536"/>
      <c r="WMS1" s="536"/>
      <c r="WMT1" s="536"/>
      <c r="WMU1" s="536"/>
      <c r="WMV1" s="536"/>
      <c r="WMW1" s="536"/>
      <c r="WMX1" s="536"/>
      <c r="WMY1" s="536"/>
      <c r="WMZ1" s="536"/>
      <c r="WNA1" s="536"/>
      <c r="WNB1" s="536"/>
      <c r="WNC1" s="536"/>
      <c r="WND1" s="536"/>
      <c r="WNE1" s="536"/>
      <c r="WNF1" s="536"/>
      <c r="WNG1" s="536"/>
      <c r="WNH1" s="536"/>
      <c r="WNI1" s="536"/>
      <c r="WNJ1" s="536"/>
      <c r="WNK1" s="536"/>
      <c r="WNL1" s="536"/>
      <c r="WNM1" s="536"/>
      <c r="WNN1" s="536"/>
      <c r="WNO1" s="536"/>
      <c r="WNP1" s="536"/>
      <c r="WNQ1" s="536"/>
      <c r="WNR1" s="536"/>
      <c r="WNS1" s="536"/>
      <c r="WNT1" s="536"/>
      <c r="WNU1" s="536"/>
      <c r="WNV1" s="536"/>
      <c r="WNW1" s="536"/>
      <c r="WNX1" s="536"/>
      <c r="WNY1" s="536"/>
      <c r="WNZ1" s="536"/>
      <c r="WOA1" s="536"/>
      <c r="WOB1" s="536"/>
      <c r="WOC1" s="536"/>
      <c r="WOD1" s="536"/>
      <c r="WOE1" s="536"/>
      <c r="WOF1" s="536"/>
      <c r="WOG1" s="536"/>
      <c r="WOH1" s="536"/>
      <c r="WOI1" s="536"/>
      <c r="WOJ1" s="536"/>
      <c r="WOK1" s="536"/>
      <c r="WOL1" s="536"/>
      <c r="WOM1" s="536"/>
      <c r="WON1" s="536"/>
      <c r="WOO1" s="536"/>
      <c r="WOP1" s="536"/>
      <c r="WOQ1" s="536"/>
      <c r="WOR1" s="536"/>
      <c r="WOS1" s="536"/>
      <c r="WOT1" s="536"/>
      <c r="WOU1" s="536"/>
      <c r="WOV1" s="536"/>
      <c r="WOW1" s="536"/>
      <c r="WOX1" s="536"/>
      <c r="WOY1" s="536"/>
      <c r="WOZ1" s="536"/>
      <c r="WPA1" s="536"/>
      <c r="WPB1" s="536"/>
      <c r="WPC1" s="536"/>
      <c r="WPD1" s="536"/>
      <c r="WPE1" s="536"/>
      <c r="WPF1" s="536"/>
      <c r="WPG1" s="536"/>
      <c r="WPH1" s="536"/>
      <c r="WPI1" s="536"/>
      <c r="WPJ1" s="536"/>
      <c r="WPK1" s="536"/>
      <c r="WPL1" s="536"/>
      <c r="WPM1" s="536"/>
      <c r="WPN1" s="536"/>
      <c r="WPO1" s="536"/>
      <c r="WPP1" s="536"/>
      <c r="WPQ1" s="536"/>
      <c r="WPR1" s="536"/>
      <c r="WPS1" s="536"/>
      <c r="WPT1" s="536"/>
      <c r="WPU1" s="536"/>
      <c r="WPV1" s="536"/>
      <c r="WPW1" s="536"/>
      <c r="WPX1" s="536"/>
      <c r="WPY1" s="536"/>
      <c r="WPZ1" s="536"/>
      <c r="WQA1" s="536"/>
      <c r="WQB1" s="536"/>
      <c r="WQC1" s="536"/>
      <c r="WQD1" s="536"/>
      <c r="WQE1" s="536"/>
      <c r="WQF1" s="536"/>
      <c r="WQG1" s="536"/>
      <c r="WQH1" s="536"/>
      <c r="WQI1" s="536"/>
      <c r="WQJ1" s="536"/>
      <c r="WQK1" s="536"/>
      <c r="WQL1" s="536"/>
      <c r="WQM1" s="536"/>
      <c r="WQN1" s="536"/>
      <c r="WQO1" s="536"/>
      <c r="WQP1" s="536"/>
      <c r="WQQ1" s="536"/>
      <c r="WQR1" s="536"/>
      <c r="WQS1" s="536"/>
      <c r="WQT1" s="536"/>
      <c r="WQU1" s="536"/>
      <c r="WQV1" s="536"/>
      <c r="WQW1" s="536"/>
      <c r="WQX1" s="536"/>
      <c r="WQY1" s="536"/>
      <c r="WQZ1" s="536"/>
      <c r="WRA1" s="536"/>
      <c r="WRB1" s="536"/>
      <c r="WRC1" s="536"/>
      <c r="WRD1" s="536"/>
      <c r="WRE1" s="536"/>
      <c r="WRF1" s="536"/>
      <c r="WRG1" s="536"/>
      <c r="WRH1" s="536"/>
      <c r="WRI1" s="536"/>
      <c r="WRJ1" s="536"/>
      <c r="WRK1" s="536"/>
      <c r="WRL1" s="536"/>
      <c r="WRM1" s="536"/>
      <c r="WRN1" s="536"/>
      <c r="WRO1" s="536"/>
      <c r="WRP1" s="536"/>
      <c r="WRQ1" s="536"/>
      <c r="WRR1" s="536"/>
      <c r="WRS1" s="536"/>
      <c r="WRT1" s="536"/>
      <c r="WRU1" s="536"/>
      <c r="WRV1" s="536"/>
      <c r="WRW1" s="536"/>
      <c r="WRX1" s="536"/>
      <c r="WRY1" s="536"/>
      <c r="WRZ1" s="536"/>
      <c r="WSA1" s="536"/>
      <c r="WSB1" s="536"/>
      <c r="WSC1" s="536"/>
      <c r="WSD1" s="536"/>
      <c r="WSE1" s="536"/>
      <c r="WSF1" s="536"/>
      <c r="WSG1" s="536"/>
      <c r="WSH1" s="536"/>
      <c r="WSI1" s="536"/>
      <c r="WSJ1" s="536"/>
      <c r="WSK1" s="536"/>
      <c r="WSL1" s="536"/>
      <c r="WSM1" s="536"/>
      <c r="WSN1" s="536"/>
      <c r="WSO1" s="536"/>
      <c r="WSP1" s="536"/>
      <c r="WSQ1" s="536"/>
      <c r="WSR1" s="536"/>
      <c r="WSS1" s="536"/>
      <c r="WST1" s="536"/>
      <c r="WSU1" s="536"/>
      <c r="WSV1" s="536"/>
      <c r="WSW1" s="536"/>
      <c r="WSX1" s="536"/>
      <c r="WSY1" s="536"/>
      <c r="WSZ1" s="536"/>
      <c r="WTA1" s="536"/>
      <c r="WTB1" s="536"/>
      <c r="WTC1" s="536"/>
      <c r="WTD1" s="536"/>
      <c r="WTE1" s="536"/>
      <c r="WTF1" s="536"/>
      <c r="WTG1" s="536"/>
      <c r="WTH1" s="536"/>
      <c r="WTI1" s="536"/>
      <c r="WTJ1" s="536"/>
      <c r="WTK1" s="536"/>
      <c r="WTL1" s="536"/>
      <c r="WTM1" s="536"/>
      <c r="WTN1" s="536"/>
      <c r="WTO1" s="536"/>
      <c r="WTP1" s="536"/>
      <c r="WTQ1" s="536"/>
      <c r="WTR1" s="536"/>
      <c r="WTS1" s="536"/>
      <c r="WTT1" s="536"/>
      <c r="WTU1" s="536"/>
      <c r="WTV1" s="536"/>
      <c r="WTW1" s="536"/>
      <c r="WTX1" s="536"/>
      <c r="WTY1" s="536"/>
      <c r="WTZ1" s="536"/>
      <c r="WUA1" s="536"/>
      <c r="WUB1" s="536"/>
      <c r="WUC1" s="536"/>
      <c r="WUD1" s="536"/>
      <c r="WUE1" s="536"/>
      <c r="WUF1" s="536"/>
      <c r="WUG1" s="536"/>
      <c r="WUH1" s="536"/>
      <c r="WUI1" s="536"/>
      <c r="WUJ1" s="536"/>
      <c r="WUK1" s="536"/>
      <c r="WUL1" s="536"/>
      <c r="WUM1" s="536"/>
      <c r="WUN1" s="536"/>
      <c r="WUO1" s="536"/>
      <c r="WUP1" s="536"/>
      <c r="WUQ1" s="536"/>
      <c r="WUR1" s="536"/>
      <c r="WUS1" s="536"/>
      <c r="WUT1" s="536"/>
      <c r="WUU1" s="536"/>
      <c r="WUV1" s="536"/>
      <c r="WUW1" s="536"/>
      <c r="WUX1" s="536"/>
      <c r="WUY1" s="536"/>
      <c r="WUZ1" s="536"/>
      <c r="WVA1" s="536"/>
      <c r="WVB1" s="536"/>
      <c r="WVC1" s="536"/>
      <c r="WVD1" s="536"/>
      <c r="WVE1" s="536"/>
      <c r="WVF1" s="536"/>
      <c r="WVG1" s="536"/>
      <c r="WVH1" s="536"/>
      <c r="WVI1" s="536"/>
      <c r="WVJ1" s="536"/>
      <c r="WVK1" s="536"/>
      <c r="WVL1" s="536"/>
      <c r="WVM1" s="536"/>
      <c r="WVN1" s="536"/>
      <c r="WVO1" s="536"/>
      <c r="WVP1" s="536"/>
      <c r="WVQ1" s="536"/>
      <c r="WVR1" s="536"/>
      <c r="WVS1" s="536"/>
      <c r="WVT1" s="536"/>
      <c r="WVU1" s="536"/>
      <c r="WVV1" s="536"/>
      <c r="WVW1" s="536"/>
      <c r="WVX1" s="536"/>
      <c r="WVY1" s="536"/>
      <c r="WVZ1" s="536"/>
      <c r="WWA1" s="536"/>
      <c r="WWB1" s="536"/>
      <c r="WWC1" s="536"/>
      <c r="WWD1" s="536"/>
      <c r="WWE1" s="536"/>
      <c r="WWF1" s="536"/>
      <c r="WWG1" s="536"/>
      <c r="WWH1" s="536"/>
      <c r="WWI1" s="536"/>
      <c r="WWJ1" s="536"/>
      <c r="WWK1" s="536"/>
      <c r="WWL1" s="536"/>
      <c r="WWM1" s="536"/>
      <c r="WWN1" s="536"/>
      <c r="WWO1" s="536"/>
      <c r="WWP1" s="536"/>
      <c r="WWQ1" s="536"/>
      <c r="WWR1" s="536"/>
      <c r="WWS1" s="536"/>
      <c r="WWT1" s="536"/>
      <c r="WWU1" s="536"/>
      <c r="WWV1" s="536"/>
      <c r="WWW1" s="536"/>
      <c r="WWX1" s="536"/>
      <c r="WWY1" s="536"/>
      <c r="WWZ1" s="536"/>
      <c r="WXA1" s="536"/>
      <c r="WXB1" s="536"/>
      <c r="WXC1" s="536"/>
      <c r="WXD1" s="536"/>
      <c r="WXE1" s="536"/>
      <c r="WXF1" s="536"/>
      <c r="WXG1" s="536"/>
      <c r="WXH1" s="536"/>
      <c r="WXI1" s="536"/>
      <c r="WXJ1" s="536"/>
      <c r="WXK1" s="536"/>
      <c r="WXL1" s="536"/>
      <c r="WXM1" s="536"/>
      <c r="WXN1" s="536"/>
      <c r="WXO1" s="536"/>
      <c r="WXP1" s="536"/>
      <c r="WXQ1" s="536"/>
      <c r="WXR1" s="536"/>
      <c r="WXS1" s="536"/>
      <c r="WXT1" s="536"/>
      <c r="WXU1" s="536"/>
      <c r="WXV1" s="536"/>
      <c r="WXW1" s="536"/>
      <c r="WXX1" s="536"/>
      <c r="WXY1" s="536"/>
      <c r="WXZ1" s="536"/>
      <c r="WYA1" s="536"/>
      <c r="WYB1" s="536"/>
      <c r="WYC1" s="536"/>
      <c r="WYD1" s="536"/>
      <c r="WYE1" s="536"/>
      <c r="WYF1" s="536"/>
      <c r="WYG1" s="536"/>
      <c r="WYH1" s="536"/>
      <c r="WYI1" s="536"/>
      <c r="WYJ1" s="536"/>
      <c r="WYK1" s="536"/>
      <c r="WYL1" s="536"/>
      <c r="WYM1" s="536"/>
      <c r="WYN1" s="536"/>
      <c r="WYO1" s="536"/>
      <c r="WYP1" s="536"/>
      <c r="WYQ1" s="536"/>
      <c r="WYR1" s="536"/>
      <c r="WYS1" s="536"/>
      <c r="WYT1" s="536"/>
      <c r="WYU1" s="536"/>
      <c r="WYV1" s="536"/>
      <c r="WYW1" s="536"/>
      <c r="WYX1" s="536"/>
      <c r="WYY1" s="536"/>
      <c r="WYZ1" s="536"/>
      <c r="WZA1" s="536"/>
      <c r="WZB1" s="536"/>
      <c r="WZC1" s="536"/>
      <c r="WZD1" s="536"/>
      <c r="WZE1" s="536"/>
      <c r="WZF1" s="536"/>
      <c r="WZG1" s="536"/>
      <c r="WZH1" s="536"/>
      <c r="WZI1" s="536"/>
      <c r="WZJ1" s="536"/>
      <c r="WZK1" s="536"/>
      <c r="WZL1" s="536"/>
      <c r="WZM1" s="536"/>
      <c r="WZN1" s="536"/>
      <c r="WZO1" s="536"/>
      <c r="WZP1" s="536"/>
      <c r="WZQ1" s="536"/>
      <c r="WZR1" s="536"/>
      <c r="WZS1" s="536"/>
      <c r="WZT1" s="536"/>
      <c r="WZU1" s="536"/>
      <c r="WZV1" s="536"/>
      <c r="WZW1" s="536"/>
      <c r="WZX1" s="536"/>
      <c r="WZY1" s="536"/>
      <c r="WZZ1" s="536"/>
      <c r="XAA1" s="536"/>
      <c r="XAB1" s="536"/>
      <c r="XAC1" s="536"/>
      <c r="XAD1" s="536"/>
      <c r="XAE1" s="536"/>
      <c r="XAF1" s="536"/>
      <c r="XAG1" s="536"/>
      <c r="XAH1" s="536"/>
      <c r="XAI1" s="536"/>
      <c r="XAJ1" s="536"/>
      <c r="XAK1" s="536"/>
      <c r="XAL1" s="536"/>
      <c r="XAM1" s="536"/>
      <c r="XAN1" s="536"/>
      <c r="XAO1" s="536"/>
      <c r="XAP1" s="536"/>
      <c r="XAQ1" s="536"/>
      <c r="XAR1" s="536"/>
      <c r="XAS1" s="536"/>
      <c r="XAT1" s="536"/>
      <c r="XAU1" s="536"/>
      <c r="XAV1" s="536"/>
      <c r="XAW1" s="536"/>
      <c r="XAX1" s="536"/>
      <c r="XAY1" s="536"/>
      <c r="XAZ1" s="536"/>
      <c r="XBA1" s="536"/>
      <c r="XBB1" s="536"/>
      <c r="XBC1" s="536"/>
      <c r="XBD1" s="536"/>
      <c r="XBE1" s="536"/>
      <c r="XBF1" s="536"/>
      <c r="XBG1" s="536"/>
      <c r="XBH1" s="536"/>
      <c r="XBI1" s="536"/>
      <c r="XBJ1" s="536"/>
      <c r="XBK1" s="536"/>
      <c r="XBL1" s="536"/>
      <c r="XBM1" s="536"/>
      <c r="XBN1" s="536"/>
      <c r="XBO1" s="536"/>
      <c r="XBP1" s="536"/>
      <c r="XBQ1" s="536"/>
      <c r="XBR1" s="536"/>
      <c r="XBS1" s="536"/>
      <c r="XBT1" s="536"/>
      <c r="XBU1" s="536"/>
      <c r="XBV1" s="536"/>
      <c r="XBW1" s="536"/>
      <c r="XBX1" s="536"/>
      <c r="XBY1" s="536"/>
      <c r="XBZ1" s="536"/>
      <c r="XCA1" s="536"/>
      <c r="XCB1" s="536"/>
      <c r="XCC1" s="536"/>
      <c r="XCD1" s="536"/>
      <c r="XCE1" s="536"/>
      <c r="XCF1" s="536"/>
      <c r="XCG1" s="536"/>
      <c r="XCH1" s="536"/>
      <c r="XCI1" s="536"/>
      <c r="XCJ1" s="536"/>
      <c r="XCK1" s="536"/>
      <c r="XCL1" s="536"/>
      <c r="XCM1" s="536"/>
      <c r="XCN1" s="536"/>
      <c r="XCO1" s="536"/>
      <c r="XCP1" s="536"/>
      <c r="XCQ1" s="536"/>
      <c r="XCR1" s="536"/>
      <c r="XCS1" s="536"/>
      <c r="XCT1" s="536"/>
      <c r="XCU1" s="536"/>
      <c r="XCV1" s="536"/>
      <c r="XCW1" s="536"/>
      <c r="XCX1" s="536"/>
      <c r="XCY1" s="536"/>
      <c r="XCZ1" s="536"/>
      <c r="XDA1" s="536"/>
      <c r="XDB1" s="536"/>
      <c r="XDC1" s="536"/>
      <c r="XDD1" s="536"/>
      <c r="XDE1" s="536"/>
      <c r="XDF1" s="536"/>
      <c r="XDG1" s="536"/>
      <c r="XDH1" s="536"/>
      <c r="XDI1" s="536"/>
      <c r="XDJ1" s="536"/>
      <c r="XDK1" s="536"/>
      <c r="XDL1" s="536"/>
      <c r="XDM1" s="536"/>
      <c r="XDN1" s="536"/>
      <c r="XDO1" s="536"/>
      <c r="XDP1" s="536"/>
      <c r="XDQ1" s="536"/>
      <c r="XDR1" s="536"/>
      <c r="XDS1" s="536"/>
      <c r="XDT1" s="536"/>
      <c r="XDU1" s="536"/>
      <c r="XDV1" s="536"/>
      <c r="XDW1" s="536"/>
      <c r="XDX1" s="536"/>
      <c r="XDY1" s="536"/>
      <c r="XDZ1" s="536"/>
      <c r="XEA1" s="536"/>
      <c r="XEB1" s="536"/>
      <c r="XEC1" s="536"/>
      <c r="XED1" s="536"/>
      <c r="XEE1" s="536"/>
      <c r="XEF1" s="536"/>
      <c r="XEG1" s="536"/>
      <c r="XEH1" s="536"/>
      <c r="XEI1" s="536"/>
      <c r="XEJ1" s="536"/>
      <c r="XEK1" s="536"/>
      <c r="XEL1" s="536"/>
      <c r="XEM1" s="536"/>
      <c r="XEN1" s="536"/>
      <c r="XEO1" s="536"/>
      <c r="XEP1" s="536"/>
      <c r="XEQ1" s="536"/>
      <c r="XER1" s="536"/>
      <c r="XES1" s="536"/>
      <c r="XET1" s="536"/>
      <c r="XEU1" s="536"/>
      <c r="XEV1" s="536"/>
      <c r="XEW1" s="536"/>
      <c r="XEX1" s="536"/>
      <c r="XEY1" s="536"/>
    </row>
    <row r="2" spans="1:16381" s="131" customFormat="1" ht="20.100000000000001" customHeight="1" x14ac:dyDescent="0.25">
      <c r="A2" s="547" t="s">
        <v>84</v>
      </c>
      <c r="B2" s="547"/>
      <c r="C2" s="547"/>
      <c r="D2" s="547"/>
      <c r="E2" s="225" t="s">
        <v>352</v>
      </c>
      <c r="F2" s="225" t="s">
        <v>353</v>
      </c>
    </row>
    <row r="3" spans="1:16381" s="131" customFormat="1" ht="20.100000000000001" customHeight="1" x14ac:dyDescent="0.25">
      <c r="A3" s="548"/>
      <c r="B3" s="548"/>
      <c r="C3" s="548"/>
      <c r="D3" s="548"/>
      <c r="E3" s="228" t="s">
        <v>214</v>
      </c>
      <c r="F3" s="134"/>
    </row>
    <row r="4" spans="1:16381" s="120" customFormat="1" ht="20.100000000000001" customHeight="1" x14ac:dyDescent="0.25">
      <c r="A4" s="541" t="s">
        <v>799</v>
      </c>
      <c r="B4" s="541"/>
      <c r="C4" s="541"/>
      <c r="D4" s="541"/>
      <c r="E4" s="349" t="s">
        <v>352</v>
      </c>
      <c r="F4" s="135" t="s">
        <v>215</v>
      </c>
    </row>
    <row r="5" spans="1:16381" s="131" customFormat="1" ht="22.5" customHeight="1" x14ac:dyDescent="0.25">
      <c r="A5" s="546" t="s">
        <v>800</v>
      </c>
      <c r="B5" s="546"/>
      <c r="C5" s="546"/>
      <c r="D5" s="546"/>
      <c r="E5" s="136" t="s">
        <v>168</v>
      </c>
      <c r="F5" s="368">
        <v>20</v>
      </c>
    </row>
    <row r="6" spans="1:16381" s="131" customFormat="1" ht="22.15" customHeight="1" x14ac:dyDescent="0.25">
      <c r="A6" s="545" t="s">
        <v>801</v>
      </c>
      <c r="B6" s="545"/>
      <c r="C6" s="545"/>
      <c r="D6" s="545"/>
      <c r="E6" s="136" t="s">
        <v>168</v>
      </c>
      <c r="F6" s="368">
        <v>19</v>
      </c>
      <c r="G6" s="545" t="s">
        <v>816</v>
      </c>
      <c r="H6" s="545"/>
      <c r="I6" s="545"/>
      <c r="J6" s="545"/>
      <c r="K6" s="136" t="s">
        <v>168</v>
      </c>
      <c r="L6" s="137">
        <v>1</v>
      </c>
      <c r="M6" s="137">
        <v>167.32</v>
      </c>
      <c r="N6" s="181" t="s">
        <v>817</v>
      </c>
      <c r="O6" s="545" t="s">
        <v>816</v>
      </c>
      <c r="P6" s="545"/>
      <c r="Q6" s="545"/>
      <c r="R6" s="545"/>
      <c r="S6" s="136" t="s">
        <v>168</v>
      </c>
      <c r="T6" s="137">
        <v>1</v>
      </c>
      <c r="U6" s="137">
        <v>167.32</v>
      </c>
      <c r="V6" s="181" t="s">
        <v>817</v>
      </c>
      <c r="W6" s="545" t="s">
        <v>816</v>
      </c>
      <c r="X6" s="545"/>
      <c r="Y6" s="545"/>
      <c r="Z6" s="545"/>
      <c r="AA6" s="136" t="s">
        <v>168</v>
      </c>
      <c r="AB6" s="137">
        <v>1</v>
      </c>
      <c r="AC6" s="137">
        <v>167.32</v>
      </c>
      <c r="AD6" s="181" t="s">
        <v>817</v>
      </c>
      <c r="AE6" s="545" t="s">
        <v>816</v>
      </c>
      <c r="AF6" s="545"/>
      <c r="AG6" s="545"/>
      <c r="AH6" s="545"/>
      <c r="AI6" s="136" t="s">
        <v>168</v>
      </c>
      <c r="AJ6" s="137">
        <v>1</v>
      </c>
      <c r="AK6" s="137">
        <v>167.32</v>
      </c>
      <c r="AL6" s="181" t="s">
        <v>817</v>
      </c>
      <c r="AM6" s="545" t="s">
        <v>816</v>
      </c>
      <c r="AN6" s="545"/>
      <c r="AO6" s="545"/>
      <c r="AP6" s="545"/>
      <c r="AQ6" s="136" t="s">
        <v>168</v>
      </c>
      <c r="AR6" s="137">
        <v>1</v>
      </c>
      <c r="AS6" s="137">
        <v>167.32</v>
      </c>
      <c r="AT6" s="181" t="s">
        <v>817</v>
      </c>
      <c r="AU6" s="545" t="s">
        <v>816</v>
      </c>
      <c r="AV6" s="545"/>
      <c r="AW6" s="545"/>
      <c r="AX6" s="545"/>
      <c r="AY6" s="136" t="s">
        <v>168</v>
      </c>
      <c r="AZ6" s="137">
        <v>1</v>
      </c>
      <c r="BA6" s="137">
        <v>167.32</v>
      </c>
      <c r="BB6" s="181" t="s">
        <v>817</v>
      </c>
      <c r="BC6" s="545" t="s">
        <v>816</v>
      </c>
      <c r="BD6" s="545"/>
      <c r="BE6" s="545"/>
      <c r="BF6" s="545"/>
      <c r="BG6" s="136" t="s">
        <v>168</v>
      </c>
      <c r="BH6" s="137">
        <v>1</v>
      </c>
      <c r="BI6" s="137">
        <v>167.32</v>
      </c>
      <c r="BJ6" s="181" t="s">
        <v>817</v>
      </c>
      <c r="BK6" s="545" t="s">
        <v>816</v>
      </c>
      <c r="BL6" s="545"/>
      <c r="BM6" s="545"/>
      <c r="BN6" s="545"/>
      <c r="BO6" s="136" t="s">
        <v>168</v>
      </c>
      <c r="BP6" s="137">
        <v>1</v>
      </c>
      <c r="BQ6" s="137">
        <v>167.32</v>
      </c>
      <c r="BR6" s="181" t="s">
        <v>817</v>
      </c>
      <c r="BS6" s="545" t="s">
        <v>816</v>
      </c>
      <c r="BT6" s="545"/>
      <c r="BU6" s="545"/>
      <c r="BV6" s="545"/>
      <c r="BW6" s="136" t="s">
        <v>168</v>
      </c>
      <c r="BX6" s="137">
        <v>1</v>
      </c>
      <c r="BY6" s="137">
        <v>167.32</v>
      </c>
      <c r="BZ6" s="181" t="s">
        <v>817</v>
      </c>
      <c r="CA6" s="545" t="s">
        <v>816</v>
      </c>
      <c r="CB6" s="545"/>
      <c r="CC6" s="545"/>
      <c r="CD6" s="545"/>
      <c r="CE6" s="136" t="s">
        <v>168</v>
      </c>
      <c r="CF6" s="137">
        <v>1</v>
      </c>
      <c r="CG6" s="137">
        <v>167.32</v>
      </c>
      <c r="CH6" s="181" t="s">
        <v>817</v>
      </c>
      <c r="CI6" s="545" t="s">
        <v>816</v>
      </c>
      <c r="CJ6" s="545"/>
      <c r="CK6" s="545"/>
      <c r="CL6" s="545"/>
      <c r="CM6" s="136" t="s">
        <v>168</v>
      </c>
      <c r="CN6" s="137">
        <v>1</v>
      </c>
      <c r="CO6" s="137">
        <v>167.32</v>
      </c>
      <c r="CP6" s="181" t="s">
        <v>817</v>
      </c>
      <c r="CQ6" s="545" t="s">
        <v>816</v>
      </c>
      <c r="CR6" s="545"/>
      <c r="CS6" s="545"/>
      <c r="CT6" s="545"/>
      <c r="CU6" s="136" t="s">
        <v>168</v>
      </c>
      <c r="CV6" s="137">
        <v>1</v>
      </c>
      <c r="CW6" s="137">
        <v>167.32</v>
      </c>
      <c r="CX6" s="181" t="s">
        <v>817</v>
      </c>
      <c r="CY6" s="545" t="s">
        <v>816</v>
      </c>
      <c r="CZ6" s="545"/>
      <c r="DA6" s="545"/>
      <c r="DB6" s="545"/>
      <c r="DC6" s="136" t="s">
        <v>168</v>
      </c>
      <c r="DD6" s="137">
        <v>1</v>
      </c>
      <c r="DE6" s="137">
        <v>167.32</v>
      </c>
      <c r="DF6" s="181" t="s">
        <v>817</v>
      </c>
      <c r="DG6" s="545" t="s">
        <v>816</v>
      </c>
      <c r="DH6" s="545"/>
      <c r="DI6" s="545"/>
      <c r="DJ6" s="545"/>
      <c r="DK6" s="136" t="s">
        <v>168</v>
      </c>
      <c r="DL6" s="137">
        <v>1</v>
      </c>
      <c r="DM6" s="137">
        <v>167.32</v>
      </c>
      <c r="DN6" s="181" t="s">
        <v>817</v>
      </c>
      <c r="DO6" s="545" t="s">
        <v>816</v>
      </c>
      <c r="DP6" s="545"/>
      <c r="DQ6" s="545"/>
      <c r="DR6" s="545"/>
      <c r="DS6" s="136" t="s">
        <v>168</v>
      </c>
      <c r="DT6" s="137">
        <v>1</v>
      </c>
      <c r="DU6" s="137">
        <v>167.32</v>
      </c>
      <c r="DV6" s="181" t="s">
        <v>817</v>
      </c>
      <c r="DW6" s="545" t="s">
        <v>816</v>
      </c>
      <c r="DX6" s="545"/>
      <c r="DY6" s="545"/>
      <c r="DZ6" s="545"/>
      <c r="EA6" s="136" t="s">
        <v>168</v>
      </c>
      <c r="EB6" s="137">
        <v>1</v>
      </c>
      <c r="EC6" s="137">
        <v>167.32</v>
      </c>
      <c r="ED6" s="181" t="s">
        <v>817</v>
      </c>
      <c r="EE6" s="545" t="s">
        <v>816</v>
      </c>
      <c r="EF6" s="545"/>
      <c r="EG6" s="545"/>
      <c r="EH6" s="545"/>
      <c r="EI6" s="136" t="s">
        <v>168</v>
      </c>
      <c r="EJ6" s="137">
        <v>1</v>
      </c>
      <c r="EK6" s="137">
        <v>167.32</v>
      </c>
      <c r="EL6" s="181" t="s">
        <v>817</v>
      </c>
      <c r="EM6" s="545" t="s">
        <v>816</v>
      </c>
      <c r="EN6" s="545"/>
      <c r="EO6" s="545"/>
      <c r="EP6" s="545"/>
      <c r="EQ6" s="136" t="s">
        <v>168</v>
      </c>
      <c r="ER6" s="137">
        <v>1</v>
      </c>
      <c r="ES6" s="137">
        <v>167.32</v>
      </c>
      <c r="ET6" s="181" t="s">
        <v>817</v>
      </c>
      <c r="EU6" s="545" t="s">
        <v>816</v>
      </c>
      <c r="EV6" s="545"/>
      <c r="EW6" s="545"/>
      <c r="EX6" s="545"/>
      <c r="EY6" s="136" t="s">
        <v>168</v>
      </c>
      <c r="EZ6" s="137">
        <v>1</v>
      </c>
      <c r="FA6" s="137">
        <v>167.32</v>
      </c>
      <c r="FB6" s="181" t="s">
        <v>817</v>
      </c>
      <c r="FC6" s="545" t="s">
        <v>816</v>
      </c>
      <c r="FD6" s="545"/>
      <c r="FE6" s="545"/>
      <c r="FF6" s="545"/>
      <c r="FG6" s="136" t="s">
        <v>168</v>
      </c>
      <c r="FH6" s="137">
        <v>1</v>
      </c>
      <c r="FI6" s="137">
        <v>167.32</v>
      </c>
      <c r="FJ6" s="181" t="s">
        <v>817</v>
      </c>
      <c r="FK6" s="545" t="s">
        <v>816</v>
      </c>
      <c r="FL6" s="545"/>
      <c r="FM6" s="545"/>
      <c r="FN6" s="545"/>
      <c r="FO6" s="136" t="s">
        <v>168</v>
      </c>
      <c r="FP6" s="137">
        <v>1</v>
      </c>
      <c r="FQ6" s="137">
        <v>167.32</v>
      </c>
      <c r="FR6" s="181" t="s">
        <v>817</v>
      </c>
      <c r="FS6" s="545" t="s">
        <v>816</v>
      </c>
      <c r="FT6" s="545"/>
      <c r="FU6" s="545"/>
      <c r="FV6" s="545"/>
      <c r="FW6" s="136" t="s">
        <v>168</v>
      </c>
      <c r="FX6" s="137">
        <v>1</v>
      </c>
      <c r="FY6" s="137">
        <v>167.32</v>
      </c>
      <c r="FZ6" s="181" t="s">
        <v>817</v>
      </c>
      <c r="GA6" s="545" t="s">
        <v>816</v>
      </c>
      <c r="GB6" s="545"/>
      <c r="GC6" s="545"/>
      <c r="GD6" s="545"/>
      <c r="GE6" s="136" t="s">
        <v>168</v>
      </c>
      <c r="GF6" s="137">
        <v>1</v>
      </c>
      <c r="GG6" s="137">
        <v>167.32</v>
      </c>
      <c r="GH6" s="181" t="s">
        <v>817</v>
      </c>
      <c r="GI6" s="545" t="s">
        <v>816</v>
      </c>
      <c r="GJ6" s="545"/>
      <c r="GK6" s="545"/>
      <c r="GL6" s="545"/>
      <c r="GM6" s="136" t="s">
        <v>168</v>
      </c>
      <c r="GN6" s="137">
        <v>1</v>
      </c>
      <c r="GO6" s="137">
        <v>167.32</v>
      </c>
      <c r="GP6" s="181" t="s">
        <v>817</v>
      </c>
      <c r="GQ6" s="545" t="s">
        <v>816</v>
      </c>
      <c r="GR6" s="545"/>
      <c r="GS6" s="545"/>
      <c r="GT6" s="545"/>
      <c r="GU6" s="136" t="s">
        <v>168</v>
      </c>
      <c r="GV6" s="137">
        <v>1</v>
      </c>
      <c r="GW6" s="137">
        <v>167.32</v>
      </c>
      <c r="GX6" s="181" t="s">
        <v>817</v>
      </c>
      <c r="GY6" s="545" t="s">
        <v>816</v>
      </c>
      <c r="GZ6" s="545"/>
      <c r="HA6" s="545"/>
      <c r="HB6" s="545"/>
      <c r="HC6" s="136" t="s">
        <v>168</v>
      </c>
      <c r="HD6" s="137">
        <v>1</v>
      </c>
      <c r="HE6" s="137">
        <v>167.32</v>
      </c>
      <c r="HF6" s="181" t="s">
        <v>817</v>
      </c>
      <c r="HG6" s="545" t="s">
        <v>816</v>
      </c>
      <c r="HH6" s="545"/>
      <c r="HI6" s="545"/>
      <c r="HJ6" s="545"/>
      <c r="HK6" s="136" t="s">
        <v>168</v>
      </c>
      <c r="HL6" s="137">
        <v>1</v>
      </c>
      <c r="HM6" s="137">
        <v>167.32</v>
      </c>
      <c r="HN6" s="181" t="s">
        <v>817</v>
      </c>
      <c r="HO6" s="545" t="s">
        <v>816</v>
      </c>
      <c r="HP6" s="545"/>
      <c r="HQ6" s="545"/>
      <c r="HR6" s="545"/>
      <c r="HS6" s="136" t="s">
        <v>168</v>
      </c>
      <c r="HT6" s="137">
        <v>1</v>
      </c>
      <c r="HU6" s="137">
        <v>167.32</v>
      </c>
      <c r="HV6" s="181" t="s">
        <v>817</v>
      </c>
      <c r="HW6" s="545" t="s">
        <v>816</v>
      </c>
      <c r="HX6" s="545"/>
      <c r="HY6" s="545"/>
      <c r="HZ6" s="545"/>
      <c r="IA6" s="136" t="s">
        <v>168</v>
      </c>
      <c r="IB6" s="137">
        <v>1</v>
      </c>
      <c r="IC6" s="137">
        <v>167.32</v>
      </c>
      <c r="ID6" s="181" t="s">
        <v>817</v>
      </c>
      <c r="IE6" s="545" t="s">
        <v>816</v>
      </c>
      <c r="IF6" s="545"/>
      <c r="IG6" s="545"/>
      <c r="IH6" s="545"/>
      <c r="II6" s="136" t="s">
        <v>168</v>
      </c>
      <c r="IJ6" s="137">
        <v>1</v>
      </c>
      <c r="IK6" s="137">
        <v>167.32</v>
      </c>
      <c r="IL6" s="181" t="s">
        <v>817</v>
      </c>
      <c r="IM6" s="545" t="s">
        <v>816</v>
      </c>
      <c r="IN6" s="545"/>
      <c r="IO6" s="545"/>
      <c r="IP6" s="545"/>
      <c r="IQ6" s="136" t="s">
        <v>168</v>
      </c>
      <c r="IR6" s="137">
        <v>1</v>
      </c>
      <c r="IS6" s="137">
        <v>167.32</v>
      </c>
      <c r="IT6" s="181" t="s">
        <v>817</v>
      </c>
      <c r="IU6" s="545" t="s">
        <v>816</v>
      </c>
      <c r="IV6" s="545"/>
      <c r="IW6" s="545"/>
      <c r="IX6" s="545"/>
      <c r="IY6" s="136" t="s">
        <v>168</v>
      </c>
      <c r="IZ6" s="137">
        <v>1</v>
      </c>
      <c r="JA6" s="137">
        <v>167.32</v>
      </c>
      <c r="JB6" s="181" t="s">
        <v>817</v>
      </c>
      <c r="JC6" s="545" t="s">
        <v>816</v>
      </c>
      <c r="JD6" s="545"/>
      <c r="JE6" s="545"/>
      <c r="JF6" s="545"/>
      <c r="JG6" s="136" t="s">
        <v>168</v>
      </c>
      <c r="JH6" s="137">
        <v>1</v>
      </c>
      <c r="JI6" s="137">
        <v>167.32</v>
      </c>
      <c r="JJ6" s="181" t="s">
        <v>817</v>
      </c>
      <c r="JK6" s="545" t="s">
        <v>816</v>
      </c>
      <c r="JL6" s="545"/>
      <c r="JM6" s="545"/>
      <c r="JN6" s="545"/>
      <c r="JO6" s="136" t="s">
        <v>168</v>
      </c>
      <c r="JP6" s="137">
        <v>1</v>
      </c>
      <c r="JQ6" s="137">
        <v>167.32</v>
      </c>
      <c r="JR6" s="181" t="s">
        <v>817</v>
      </c>
      <c r="JS6" s="545" t="s">
        <v>816</v>
      </c>
      <c r="JT6" s="545"/>
      <c r="JU6" s="545"/>
      <c r="JV6" s="545"/>
      <c r="JW6" s="136" t="s">
        <v>168</v>
      </c>
      <c r="JX6" s="137">
        <v>1</v>
      </c>
      <c r="JY6" s="137">
        <v>167.32</v>
      </c>
      <c r="JZ6" s="181" t="s">
        <v>817</v>
      </c>
      <c r="KA6" s="545" t="s">
        <v>816</v>
      </c>
      <c r="KB6" s="545"/>
      <c r="KC6" s="545"/>
      <c r="KD6" s="545"/>
      <c r="KE6" s="136" t="s">
        <v>168</v>
      </c>
      <c r="KF6" s="137">
        <v>1</v>
      </c>
      <c r="KG6" s="137">
        <v>167.32</v>
      </c>
      <c r="KH6" s="181" t="s">
        <v>817</v>
      </c>
      <c r="KI6" s="545" t="s">
        <v>816</v>
      </c>
      <c r="KJ6" s="545"/>
      <c r="KK6" s="545"/>
      <c r="KL6" s="545"/>
      <c r="KM6" s="136" t="s">
        <v>168</v>
      </c>
      <c r="KN6" s="137">
        <v>1</v>
      </c>
      <c r="KO6" s="137">
        <v>167.32</v>
      </c>
      <c r="KP6" s="181" t="s">
        <v>817</v>
      </c>
      <c r="KQ6" s="545" t="s">
        <v>816</v>
      </c>
      <c r="KR6" s="545"/>
      <c r="KS6" s="545"/>
      <c r="KT6" s="545"/>
      <c r="KU6" s="136" t="s">
        <v>168</v>
      </c>
      <c r="KV6" s="137">
        <v>1</v>
      </c>
      <c r="KW6" s="137">
        <v>167.32</v>
      </c>
      <c r="KX6" s="181" t="s">
        <v>817</v>
      </c>
      <c r="KY6" s="545" t="s">
        <v>816</v>
      </c>
      <c r="KZ6" s="545"/>
      <c r="LA6" s="545"/>
      <c r="LB6" s="545"/>
      <c r="LC6" s="136" t="s">
        <v>168</v>
      </c>
      <c r="LD6" s="137">
        <v>1</v>
      </c>
      <c r="LE6" s="137">
        <v>167.32</v>
      </c>
      <c r="LF6" s="181" t="s">
        <v>817</v>
      </c>
      <c r="LG6" s="545" t="s">
        <v>816</v>
      </c>
      <c r="LH6" s="545"/>
      <c r="LI6" s="545"/>
      <c r="LJ6" s="545"/>
      <c r="LK6" s="136" t="s">
        <v>168</v>
      </c>
      <c r="LL6" s="137">
        <v>1</v>
      </c>
      <c r="LM6" s="137">
        <v>167.32</v>
      </c>
      <c r="LN6" s="181" t="s">
        <v>817</v>
      </c>
      <c r="LO6" s="545" t="s">
        <v>816</v>
      </c>
      <c r="LP6" s="545"/>
      <c r="LQ6" s="545"/>
      <c r="LR6" s="545"/>
      <c r="LS6" s="136" t="s">
        <v>168</v>
      </c>
      <c r="LT6" s="137">
        <v>1</v>
      </c>
      <c r="LU6" s="137">
        <v>167.32</v>
      </c>
      <c r="LV6" s="181" t="s">
        <v>817</v>
      </c>
      <c r="LW6" s="545" t="s">
        <v>816</v>
      </c>
      <c r="LX6" s="545"/>
      <c r="LY6" s="545"/>
      <c r="LZ6" s="545"/>
      <c r="MA6" s="136" t="s">
        <v>168</v>
      </c>
      <c r="MB6" s="137">
        <v>1</v>
      </c>
      <c r="MC6" s="137">
        <v>167.32</v>
      </c>
      <c r="MD6" s="181" t="s">
        <v>817</v>
      </c>
      <c r="ME6" s="545" t="s">
        <v>816</v>
      </c>
      <c r="MF6" s="545"/>
      <c r="MG6" s="545"/>
      <c r="MH6" s="545"/>
      <c r="MI6" s="136" t="s">
        <v>168</v>
      </c>
      <c r="MJ6" s="137">
        <v>1</v>
      </c>
      <c r="MK6" s="137">
        <v>167.32</v>
      </c>
      <c r="ML6" s="181" t="s">
        <v>817</v>
      </c>
      <c r="MM6" s="545" t="s">
        <v>816</v>
      </c>
      <c r="MN6" s="545"/>
      <c r="MO6" s="545"/>
      <c r="MP6" s="545"/>
      <c r="MQ6" s="136" t="s">
        <v>168</v>
      </c>
      <c r="MR6" s="137">
        <v>1</v>
      </c>
      <c r="MS6" s="137">
        <v>167.32</v>
      </c>
      <c r="MT6" s="181" t="s">
        <v>817</v>
      </c>
      <c r="MU6" s="545" t="s">
        <v>816</v>
      </c>
      <c r="MV6" s="545"/>
      <c r="MW6" s="545"/>
      <c r="MX6" s="545"/>
      <c r="MY6" s="136" t="s">
        <v>168</v>
      </c>
      <c r="MZ6" s="137">
        <v>1</v>
      </c>
      <c r="NA6" s="137">
        <v>167.32</v>
      </c>
      <c r="NB6" s="181" t="s">
        <v>817</v>
      </c>
      <c r="NC6" s="545" t="s">
        <v>816</v>
      </c>
      <c r="ND6" s="545"/>
      <c r="NE6" s="545"/>
      <c r="NF6" s="545"/>
      <c r="NG6" s="136" t="s">
        <v>168</v>
      </c>
      <c r="NH6" s="137">
        <v>1</v>
      </c>
      <c r="NI6" s="137">
        <v>167.32</v>
      </c>
      <c r="NJ6" s="181" t="s">
        <v>817</v>
      </c>
      <c r="NK6" s="545" t="s">
        <v>816</v>
      </c>
      <c r="NL6" s="545"/>
      <c r="NM6" s="545"/>
      <c r="NN6" s="545"/>
      <c r="NO6" s="136" t="s">
        <v>168</v>
      </c>
      <c r="NP6" s="137">
        <v>1</v>
      </c>
      <c r="NQ6" s="137">
        <v>167.32</v>
      </c>
      <c r="NR6" s="181" t="s">
        <v>817</v>
      </c>
      <c r="NS6" s="545" t="s">
        <v>816</v>
      </c>
      <c r="NT6" s="545"/>
      <c r="NU6" s="545"/>
      <c r="NV6" s="545"/>
      <c r="NW6" s="136" t="s">
        <v>168</v>
      </c>
      <c r="NX6" s="137">
        <v>1</v>
      </c>
      <c r="NY6" s="137">
        <v>167.32</v>
      </c>
      <c r="NZ6" s="181" t="s">
        <v>817</v>
      </c>
      <c r="OA6" s="545" t="s">
        <v>816</v>
      </c>
      <c r="OB6" s="545"/>
      <c r="OC6" s="545"/>
      <c r="OD6" s="545"/>
      <c r="OE6" s="136" t="s">
        <v>168</v>
      </c>
      <c r="OF6" s="137">
        <v>1</v>
      </c>
      <c r="OG6" s="137">
        <v>167.32</v>
      </c>
      <c r="OH6" s="181" t="s">
        <v>817</v>
      </c>
      <c r="OI6" s="545" t="s">
        <v>816</v>
      </c>
      <c r="OJ6" s="545"/>
      <c r="OK6" s="545"/>
      <c r="OL6" s="545"/>
      <c r="OM6" s="136" t="s">
        <v>168</v>
      </c>
      <c r="ON6" s="137">
        <v>1</v>
      </c>
      <c r="OO6" s="137">
        <v>167.32</v>
      </c>
      <c r="OP6" s="181" t="s">
        <v>817</v>
      </c>
      <c r="OQ6" s="545" t="s">
        <v>816</v>
      </c>
      <c r="OR6" s="545"/>
      <c r="OS6" s="545"/>
      <c r="OT6" s="545"/>
      <c r="OU6" s="136" t="s">
        <v>168</v>
      </c>
      <c r="OV6" s="137">
        <v>1</v>
      </c>
      <c r="OW6" s="137">
        <v>167.32</v>
      </c>
      <c r="OX6" s="181" t="s">
        <v>817</v>
      </c>
      <c r="OY6" s="545" t="s">
        <v>816</v>
      </c>
      <c r="OZ6" s="545"/>
      <c r="PA6" s="545"/>
      <c r="PB6" s="545"/>
      <c r="PC6" s="136" t="s">
        <v>168</v>
      </c>
      <c r="PD6" s="137">
        <v>1</v>
      </c>
      <c r="PE6" s="137">
        <v>167.32</v>
      </c>
      <c r="PF6" s="181" t="s">
        <v>817</v>
      </c>
      <c r="PG6" s="545" t="s">
        <v>816</v>
      </c>
      <c r="PH6" s="545"/>
      <c r="PI6" s="545"/>
      <c r="PJ6" s="545"/>
      <c r="PK6" s="136" t="s">
        <v>168</v>
      </c>
      <c r="PL6" s="137">
        <v>1</v>
      </c>
      <c r="PM6" s="137">
        <v>167.32</v>
      </c>
      <c r="PN6" s="181" t="s">
        <v>817</v>
      </c>
      <c r="PO6" s="545" t="s">
        <v>816</v>
      </c>
      <c r="PP6" s="545"/>
      <c r="PQ6" s="545"/>
      <c r="PR6" s="545"/>
      <c r="PS6" s="136" t="s">
        <v>168</v>
      </c>
      <c r="PT6" s="137">
        <v>1</v>
      </c>
      <c r="PU6" s="137">
        <v>167.32</v>
      </c>
      <c r="PV6" s="181" t="s">
        <v>817</v>
      </c>
      <c r="PW6" s="545" t="s">
        <v>816</v>
      </c>
      <c r="PX6" s="545"/>
      <c r="PY6" s="545"/>
      <c r="PZ6" s="545"/>
      <c r="QA6" s="136" t="s">
        <v>168</v>
      </c>
      <c r="QB6" s="137">
        <v>1</v>
      </c>
      <c r="QC6" s="137">
        <v>167.32</v>
      </c>
      <c r="QD6" s="181" t="s">
        <v>817</v>
      </c>
      <c r="QE6" s="545" t="s">
        <v>816</v>
      </c>
      <c r="QF6" s="545"/>
      <c r="QG6" s="545"/>
      <c r="QH6" s="545"/>
      <c r="QI6" s="136" t="s">
        <v>168</v>
      </c>
      <c r="QJ6" s="137">
        <v>1</v>
      </c>
      <c r="QK6" s="137">
        <v>167.32</v>
      </c>
      <c r="QL6" s="181" t="s">
        <v>817</v>
      </c>
      <c r="QM6" s="545" t="s">
        <v>816</v>
      </c>
      <c r="QN6" s="545"/>
      <c r="QO6" s="545"/>
      <c r="QP6" s="545"/>
      <c r="QQ6" s="136" t="s">
        <v>168</v>
      </c>
      <c r="QR6" s="137">
        <v>1</v>
      </c>
      <c r="QS6" s="137">
        <v>167.32</v>
      </c>
      <c r="QT6" s="181" t="s">
        <v>817</v>
      </c>
      <c r="QU6" s="545" t="s">
        <v>816</v>
      </c>
      <c r="QV6" s="545"/>
      <c r="QW6" s="545"/>
      <c r="QX6" s="545"/>
      <c r="QY6" s="136" t="s">
        <v>168</v>
      </c>
      <c r="QZ6" s="137">
        <v>1</v>
      </c>
      <c r="RA6" s="137">
        <v>167.32</v>
      </c>
      <c r="RB6" s="181" t="s">
        <v>817</v>
      </c>
      <c r="RC6" s="545" t="s">
        <v>816</v>
      </c>
      <c r="RD6" s="545"/>
      <c r="RE6" s="545"/>
      <c r="RF6" s="545"/>
      <c r="RG6" s="136" t="s">
        <v>168</v>
      </c>
      <c r="RH6" s="137">
        <v>1</v>
      </c>
      <c r="RI6" s="137">
        <v>167.32</v>
      </c>
      <c r="RJ6" s="181" t="s">
        <v>817</v>
      </c>
      <c r="RK6" s="545" t="s">
        <v>816</v>
      </c>
      <c r="RL6" s="545"/>
      <c r="RM6" s="545"/>
      <c r="RN6" s="545"/>
      <c r="RO6" s="136" t="s">
        <v>168</v>
      </c>
      <c r="RP6" s="137">
        <v>1</v>
      </c>
      <c r="RQ6" s="137">
        <v>167.32</v>
      </c>
      <c r="RR6" s="181" t="s">
        <v>817</v>
      </c>
      <c r="RS6" s="545" t="s">
        <v>816</v>
      </c>
      <c r="RT6" s="545"/>
      <c r="RU6" s="545"/>
      <c r="RV6" s="545"/>
      <c r="RW6" s="136" t="s">
        <v>168</v>
      </c>
      <c r="RX6" s="137">
        <v>1</v>
      </c>
      <c r="RY6" s="137">
        <v>167.32</v>
      </c>
      <c r="RZ6" s="181" t="s">
        <v>817</v>
      </c>
      <c r="SA6" s="545" t="s">
        <v>816</v>
      </c>
      <c r="SB6" s="545"/>
      <c r="SC6" s="545"/>
      <c r="SD6" s="545"/>
      <c r="SE6" s="136" t="s">
        <v>168</v>
      </c>
      <c r="SF6" s="137">
        <v>1</v>
      </c>
      <c r="SG6" s="137">
        <v>167.32</v>
      </c>
      <c r="SH6" s="181" t="s">
        <v>817</v>
      </c>
      <c r="SI6" s="545" t="s">
        <v>816</v>
      </c>
      <c r="SJ6" s="545"/>
      <c r="SK6" s="545"/>
      <c r="SL6" s="545"/>
      <c r="SM6" s="136" t="s">
        <v>168</v>
      </c>
      <c r="SN6" s="137">
        <v>1</v>
      </c>
      <c r="SO6" s="137">
        <v>167.32</v>
      </c>
      <c r="SP6" s="181" t="s">
        <v>817</v>
      </c>
      <c r="SQ6" s="545" t="s">
        <v>816</v>
      </c>
      <c r="SR6" s="545"/>
      <c r="SS6" s="545"/>
      <c r="ST6" s="545"/>
      <c r="SU6" s="136" t="s">
        <v>168</v>
      </c>
      <c r="SV6" s="137">
        <v>1</v>
      </c>
      <c r="SW6" s="137">
        <v>167.32</v>
      </c>
      <c r="SX6" s="181" t="s">
        <v>817</v>
      </c>
      <c r="SY6" s="545" t="s">
        <v>816</v>
      </c>
      <c r="SZ6" s="545"/>
      <c r="TA6" s="545"/>
      <c r="TB6" s="545"/>
      <c r="TC6" s="136" t="s">
        <v>168</v>
      </c>
      <c r="TD6" s="137">
        <v>1</v>
      </c>
      <c r="TE6" s="137">
        <v>167.32</v>
      </c>
      <c r="TF6" s="181" t="s">
        <v>817</v>
      </c>
      <c r="TG6" s="545" t="s">
        <v>816</v>
      </c>
      <c r="TH6" s="545"/>
      <c r="TI6" s="545"/>
      <c r="TJ6" s="545"/>
      <c r="TK6" s="136" t="s">
        <v>168</v>
      </c>
      <c r="TL6" s="137">
        <v>1</v>
      </c>
      <c r="TM6" s="137">
        <v>167.32</v>
      </c>
      <c r="TN6" s="181" t="s">
        <v>817</v>
      </c>
      <c r="TO6" s="545" t="s">
        <v>816</v>
      </c>
      <c r="TP6" s="545"/>
      <c r="TQ6" s="545"/>
      <c r="TR6" s="545"/>
      <c r="TS6" s="136" t="s">
        <v>168</v>
      </c>
      <c r="TT6" s="137">
        <v>1</v>
      </c>
      <c r="TU6" s="137">
        <v>167.32</v>
      </c>
      <c r="TV6" s="181" t="s">
        <v>817</v>
      </c>
      <c r="TW6" s="545" t="s">
        <v>816</v>
      </c>
      <c r="TX6" s="545"/>
      <c r="TY6" s="545"/>
      <c r="TZ6" s="545"/>
      <c r="UA6" s="136" t="s">
        <v>168</v>
      </c>
      <c r="UB6" s="137">
        <v>1</v>
      </c>
      <c r="UC6" s="137">
        <v>167.32</v>
      </c>
      <c r="UD6" s="181" t="s">
        <v>817</v>
      </c>
      <c r="UE6" s="545" t="s">
        <v>816</v>
      </c>
      <c r="UF6" s="545"/>
      <c r="UG6" s="545"/>
      <c r="UH6" s="545"/>
      <c r="UI6" s="136" t="s">
        <v>168</v>
      </c>
      <c r="UJ6" s="137">
        <v>1</v>
      </c>
      <c r="UK6" s="137">
        <v>167.32</v>
      </c>
      <c r="UL6" s="181" t="s">
        <v>817</v>
      </c>
      <c r="UM6" s="545" t="s">
        <v>816</v>
      </c>
      <c r="UN6" s="545"/>
      <c r="UO6" s="545"/>
      <c r="UP6" s="545"/>
      <c r="UQ6" s="136" t="s">
        <v>168</v>
      </c>
      <c r="UR6" s="137">
        <v>1</v>
      </c>
      <c r="US6" s="137">
        <v>167.32</v>
      </c>
      <c r="UT6" s="181" t="s">
        <v>817</v>
      </c>
      <c r="UU6" s="545" t="s">
        <v>816</v>
      </c>
      <c r="UV6" s="545"/>
      <c r="UW6" s="545"/>
      <c r="UX6" s="545"/>
      <c r="UY6" s="136" t="s">
        <v>168</v>
      </c>
      <c r="UZ6" s="137">
        <v>1</v>
      </c>
      <c r="VA6" s="137">
        <v>167.32</v>
      </c>
      <c r="VB6" s="181" t="s">
        <v>817</v>
      </c>
      <c r="VC6" s="545" t="s">
        <v>816</v>
      </c>
      <c r="VD6" s="545"/>
      <c r="VE6" s="545"/>
      <c r="VF6" s="545"/>
      <c r="VG6" s="136" t="s">
        <v>168</v>
      </c>
      <c r="VH6" s="137">
        <v>1</v>
      </c>
      <c r="VI6" s="137">
        <v>167.32</v>
      </c>
      <c r="VJ6" s="181" t="s">
        <v>817</v>
      </c>
      <c r="VK6" s="545" t="s">
        <v>816</v>
      </c>
      <c r="VL6" s="545"/>
      <c r="VM6" s="545"/>
      <c r="VN6" s="545"/>
      <c r="VO6" s="136" t="s">
        <v>168</v>
      </c>
      <c r="VP6" s="137">
        <v>1</v>
      </c>
      <c r="VQ6" s="137">
        <v>167.32</v>
      </c>
      <c r="VR6" s="181" t="s">
        <v>817</v>
      </c>
      <c r="VS6" s="545" t="s">
        <v>816</v>
      </c>
      <c r="VT6" s="545"/>
      <c r="VU6" s="545"/>
      <c r="VV6" s="545"/>
      <c r="VW6" s="136" t="s">
        <v>168</v>
      </c>
      <c r="VX6" s="137">
        <v>1</v>
      </c>
      <c r="VY6" s="137">
        <v>167.32</v>
      </c>
      <c r="VZ6" s="181" t="s">
        <v>817</v>
      </c>
      <c r="WA6" s="545" t="s">
        <v>816</v>
      </c>
      <c r="WB6" s="545"/>
      <c r="WC6" s="545"/>
      <c r="WD6" s="545"/>
      <c r="WE6" s="136" t="s">
        <v>168</v>
      </c>
      <c r="WF6" s="137">
        <v>1</v>
      </c>
      <c r="WG6" s="137">
        <v>167.32</v>
      </c>
      <c r="WH6" s="181" t="s">
        <v>817</v>
      </c>
      <c r="WI6" s="545" t="s">
        <v>816</v>
      </c>
      <c r="WJ6" s="545"/>
      <c r="WK6" s="545"/>
      <c r="WL6" s="545"/>
      <c r="WM6" s="136" t="s">
        <v>168</v>
      </c>
      <c r="WN6" s="137">
        <v>1</v>
      </c>
      <c r="WO6" s="137">
        <v>167.32</v>
      </c>
      <c r="WP6" s="181" t="s">
        <v>817</v>
      </c>
      <c r="WQ6" s="545" t="s">
        <v>816</v>
      </c>
      <c r="WR6" s="545"/>
      <c r="WS6" s="545"/>
      <c r="WT6" s="545"/>
      <c r="WU6" s="136" t="s">
        <v>168</v>
      </c>
      <c r="WV6" s="137">
        <v>1</v>
      </c>
      <c r="WW6" s="137">
        <v>167.32</v>
      </c>
      <c r="WX6" s="181" t="s">
        <v>817</v>
      </c>
      <c r="WY6" s="545" t="s">
        <v>816</v>
      </c>
      <c r="WZ6" s="545"/>
      <c r="XA6" s="545"/>
      <c r="XB6" s="545"/>
      <c r="XC6" s="136" t="s">
        <v>168</v>
      </c>
      <c r="XD6" s="137">
        <v>1</v>
      </c>
      <c r="XE6" s="137">
        <v>167.32</v>
      </c>
      <c r="XF6" s="181" t="s">
        <v>817</v>
      </c>
      <c r="XG6" s="545" t="s">
        <v>816</v>
      </c>
      <c r="XH6" s="545"/>
      <c r="XI6" s="545"/>
      <c r="XJ6" s="545"/>
      <c r="XK6" s="136" t="s">
        <v>168</v>
      </c>
      <c r="XL6" s="137">
        <v>1</v>
      </c>
      <c r="XM6" s="137">
        <v>167.32</v>
      </c>
      <c r="XN6" s="181" t="s">
        <v>817</v>
      </c>
      <c r="XO6" s="545" t="s">
        <v>816</v>
      </c>
      <c r="XP6" s="545"/>
      <c r="XQ6" s="545"/>
      <c r="XR6" s="545"/>
      <c r="XS6" s="136" t="s">
        <v>168</v>
      </c>
      <c r="XT6" s="137">
        <v>1</v>
      </c>
      <c r="XU6" s="137">
        <v>167.32</v>
      </c>
      <c r="XV6" s="181" t="s">
        <v>817</v>
      </c>
      <c r="XW6" s="545" t="s">
        <v>816</v>
      </c>
      <c r="XX6" s="545"/>
      <c r="XY6" s="545"/>
      <c r="XZ6" s="545"/>
      <c r="YA6" s="136" t="s">
        <v>168</v>
      </c>
      <c r="YB6" s="137">
        <v>1</v>
      </c>
      <c r="YC6" s="137">
        <v>167.32</v>
      </c>
      <c r="YD6" s="181" t="s">
        <v>817</v>
      </c>
      <c r="YE6" s="545" t="s">
        <v>816</v>
      </c>
      <c r="YF6" s="545"/>
      <c r="YG6" s="545"/>
      <c r="YH6" s="545"/>
      <c r="YI6" s="136" t="s">
        <v>168</v>
      </c>
      <c r="YJ6" s="137">
        <v>1</v>
      </c>
      <c r="YK6" s="137">
        <v>167.32</v>
      </c>
      <c r="YL6" s="181" t="s">
        <v>817</v>
      </c>
      <c r="YM6" s="545" t="s">
        <v>816</v>
      </c>
      <c r="YN6" s="545"/>
      <c r="YO6" s="545"/>
      <c r="YP6" s="545"/>
      <c r="YQ6" s="136" t="s">
        <v>168</v>
      </c>
      <c r="YR6" s="137">
        <v>1</v>
      </c>
      <c r="YS6" s="137">
        <v>167.32</v>
      </c>
      <c r="YT6" s="181" t="s">
        <v>817</v>
      </c>
      <c r="YU6" s="545" t="s">
        <v>816</v>
      </c>
      <c r="YV6" s="545"/>
      <c r="YW6" s="545"/>
      <c r="YX6" s="545"/>
      <c r="YY6" s="136" t="s">
        <v>168</v>
      </c>
      <c r="YZ6" s="137">
        <v>1</v>
      </c>
      <c r="ZA6" s="137">
        <v>167.32</v>
      </c>
      <c r="ZB6" s="181" t="s">
        <v>817</v>
      </c>
      <c r="ZC6" s="545" t="s">
        <v>816</v>
      </c>
      <c r="ZD6" s="545"/>
      <c r="ZE6" s="545"/>
      <c r="ZF6" s="545"/>
      <c r="ZG6" s="136" t="s">
        <v>168</v>
      </c>
      <c r="ZH6" s="137">
        <v>1</v>
      </c>
      <c r="ZI6" s="137">
        <v>167.32</v>
      </c>
      <c r="ZJ6" s="181" t="s">
        <v>817</v>
      </c>
      <c r="ZK6" s="545" t="s">
        <v>816</v>
      </c>
      <c r="ZL6" s="545"/>
      <c r="ZM6" s="545"/>
      <c r="ZN6" s="545"/>
      <c r="ZO6" s="136" t="s">
        <v>168</v>
      </c>
      <c r="ZP6" s="137">
        <v>1</v>
      </c>
      <c r="ZQ6" s="137">
        <v>167.32</v>
      </c>
      <c r="ZR6" s="181" t="s">
        <v>817</v>
      </c>
      <c r="ZS6" s="545" t="s">
        <v>816</v>
      </c>
      <c r="ZT6" s="545"/>
      <c r="ZU6" s="545"/>
      <c r="ZV6" s="545"/>
      <c r="ZW6" s="136" t="s">
        <v>168</v>
      </c>
      <c r="ZX6" s="137">
        <v>1</v>
      </c>
      <c r="ZY6" s="137">
        <v>167.32</v>
      </c>
      <c r="ZZ6" s="181" t="s">
        <v>817</v>
      </c>
      <c r="AAA6" s="545" t="s">
        <v>816</v>
      </c>
      <c r="AAB6" s="545"/>
      <c r="AAC6" s="545"/>
      <c r="AAD6" s="545"/>
      <c r="AAE6" s="136" t="s">
        <v>168</v>
      </c>
      <c r="AAF6" s="137">
        <v>1</v>
      </c>
      <c r="AAG6" s="137">
        <v>167.32</v>
      </c>
      <c r="AAH6" s="181" t="s">
        <v>817</v>
      </c>
      <c r="AAI6" s="545" t="s">
        <v>816</v>
      </c>
      <c r="AAJ6" s="545"/>
      <c r="AAK6" s="545"/>
      <c r="AAL6" s="545"/>
      <c r="AAM6" s="136" t="s">
        <v>168</v>
      </c>
      <c r="AAN6" s="137">
        <v>1</v>
      </c>
      <c r="AAO6" s="137">
        <v>167.32</v>
      </c>
      <c r="AAP6" s="181" t="s">
        <v>817</v>
      </c>
      <c r="AAQ6" s="545" t="s">
        <v>816</v>
      </c>
      <c r="AAR6" s="545"/>
      <c r="AAS6" s="545"/>
      <c r="AAT6" s="545"/>
      <c r="AAU6" s="136" t="s">
        <v>168</v>
      </c>
      <c r="AAV6" s="137">
        <v>1</v>
      </c>
      <c r="AAW6" s="137">
        <v>167.32</v>
      </c>
      <c r="AAX6" s="181" t="s">
        <v>817</v>
      </c>
      <c r="AAY6" s="545" t="s">
        <v>816</v>
      </c>
      <c r="AAZ6" s="545"/>
      <c r="ABA6" s="545"/>
      <c r="ABB6" s="545"/>
      <c r="ABC6" s="136" t="s">
        <v>168</v>
      </c>
      <c r="ABD6" s="137">
        <v>1</v>
      </c>
      <c r="ABE6" s="137">
        <v>167.32</v>
      </c>
      <c r="ABF6" s="181" t="s">
        <v>817</v>
      </c>
      <c r="ABG6" s="545" t="s">
        <v>816</v>
      </c>
      <c r="ABH6" s="545"/>
      <c r="ABI6" s="545"/>
      <c r="ABJ6" s="545"/>
      <c r="ABK6" s="136" t="s">
        <v>168</v>
      </c>
      <c r="ABL6" s="137">
        <v>1</v>
      </c>
      <c r="ABM6" s="137">
        <v>167.32</v>
      </c>
      <c r="ABN6" s="181" t="s">
        <v>817</v>
      </c>
      <c r="ABO6" s="545" t="s">
        <v>816</v>
      </c>
      <c r="ABP6" s="545"/>
      <c r="ABQ6" s="545"/>
      <c r="ABR6" s="545"/>
      <c r="ABS6" s="136" t="s">
        <v>168</v>
      </c>
      <c r="ABT6" s="137">
        <v>1</v>
      </c>
      <c r="ABU6" s="137">
        <v>167.32</v>
      </c>
      <c r="ABV6" s="181" t="s">
        <v>817</v>
      </c>
      <c r="ABW6" s="545" t="s">
        <v>816</v>
      </c>
      <c r="ABX6" s="545"/>
      <c r="ABY6" s="545"/>
      <c r="ABZ6" s="545"/>
      <c r="ACA6" s="136" t="s">
        <v>168</v>
      </c>
      <c r="ACB6" s="137">
        <v>1</v>
      </c>
      <c r="ACC6" s="137">
        <v>167.32</v>
      </c>
      <c r="ACD6" s="181" t="s">
        <v>817</v>
      </c>
      <c r="ACE6" s="545" t="s">
        <v>816</v>
      </c>
      <c r="ACF6" s="545"/>
      <c r="ACG6" s="545"/>
      <c r="ACH6" s="545"/>
      <c r="ACI6" s="136" t="s">
        <v>168</v>
      </c>
      <c r="ACJ6" s="137">
        <v>1</v>
      </c>
      <c r="ACK6" s="137">
        <v>167.32</v>
      </c>
      <c r="ACL6" s="181" t="s">
        <v>817</v>
      </c>
      <c r="ACM6" s="545" t="s">
        <v>816</v>
      </c>
      <c r="ACN6" s="545"/>
      <c r="ACO6" s="545"/>
      <c r="ACP6" s="545"/>
      <c r="ACQ6" s="136" t="s">
        <v>168</v>
      </c>
      <c r="ACR6" s="137">
        <v>1</v>
      </c>
      <c r="ACS6" s="137">
        <v>167.32</v>
      </c>
      <c r="ACT6" s="181" t="s">
        <v>817</v>
      </c>
      <c r="ACU6" s="545" t="s">
        <v>816</v>
      </c>
      <c r="ACV6" s="545"/>
      <c r="ACW6" s="545"/>
      <c r="ACX6" s="545"/>
      <c r="ACY6" s="136" t="s">
        <v>168</v>
      </c>
      <c r="ACZ6" s="137">
        <v>1</v>
      </c>
      <c r="ADA6" s="137">
        <v>167.32</v>
      </c>
      <c r="ADB6" s="181" t="s">
        <v>817</v>
      </c>
      <c r="ADC6" s="545" t="s">
        <v>816</v>
      </c>
      <c r="ADD6" s="545"/>
      <c r="ADE6" s="545"/>
      <c r="ADF6" s="545"/>
      <c r="ADG6" s="136" t="s">
        <v>168</v>
      </c>
      <c r="ADH6" s="137">
        <v>1</v>
      </c>
      <c r="ADI6" s="137">
        <v>167.32</v>
      </c>
      <c r="ADJ6" s="181" t="s">
        <v>817</v>
      </c>
      <c r="ADK6" s="545" t="s">
        <v>816</v>
      </c>
      <c r="ADL6" s="545"/>
      <c r="ADM6" s="545"/>
      <c r="ADN6" s="545"/>
      <c r="ADO6" s="136" t="s">
        <v>168</v>
      </c>
      <c r="ADP6" s="137">
        <v>1</v>
      </c>
      <c r="ADQ6" s="137">
        <v>167.32</v>
      </c>
      <c r="ADR6" s="181" t="s">
        <v>817</v>
      </c>
      <c r="ADS6" s="545" t="s">
        <v>816</v>
      </c>
      <c r="ADT6" s="545"/>
      <c r="ADU6" s="545"/>
      <c r="ADV6" s="545"/>
      <c r="ADW6" s="136" t="s">
        <v>168</v>
      </c>
      <c r="ADX6" s="137">
        <v>1</v>
      </c>
      <c r="ADY6" s="137">
        <v>167.32</v>
      </c>
      <c r="ADZ6" s="181" t="s">
        <v>817</v>
      </c>
      <c r="AEA6" s="545" t="s">
        <v>816</v>
      </c>
      <c r="AEB6" s="545"/>
      <c r="AEC6" s="545"/>
      <c r="AED6" s="545"/>
      <c r="AEE6" s="136" t="s">
        <v>168</v>
      </c>
      <c r="AEF6" s="137">
        <v>1</v>
      </c>
      <c r="AEG6" s="137">
        <v>167.32</v>
      </c>
      <c r="AEH6" s="181" t="s">
        <v>817</v>
      </c>
      <c r="AEI6" s="545" t="s">
        <v>816</v>
      </c>
      <c r="AEJ6" s="545"/>
      <c r="AEK6" s="545"/>
      <c r="AEL6" s="545"/>
      <c r="AEM6" s="136" t="s">
        <v>168</v>
      </c>
      <c r="AEN6" s="137">
        <v>1</v>
      </c>
      <c r="AEO6" s="137">
        <v>167.32</v>
      </c>
      <c r="AEP6" s="181" t="s">
        <v>817</v>
      </c>
      <c r="AEQ6" s="545" t="s">
        <v>816</v>
      </c>
      <c r="AER6" s="545"/>
      <c r="AES6" s="545"/>
      <c r="AET6" s="545"/>
      <c r="AEU6" s="136" t="s">
        <v>168</v>
      </c>
      <c r="AEV6" s="137">
        <v>1</v>
      </c>
      <c r="AEW6" s="137">
        <v>167.32</v>
      </c>
      <c r="AEX6" s="181" t="s">
        <v>817</v>
      </c>
      <c r="AEY6" s="545" t="s">
        <v>816</v>
      </c>
      <c r="AEZ6" s="545"/>
      <c r="AFA6" s="545"/>
      <c r="AFB6" s="545"/>
      <c r="AFC6" s="136" t="s">
        <v>168</v>
      </c>
      <c r="AFD6" s="137">
        <v>1</v>
      </c>
      <c r="AFE6" s="137">
        <v>167.32</v>
      </c>
      <c r="AFF6" s="181" t="s">
        <v>817</v>
      </c>
      <c r="AFG6" s="545" t="s">
        <v>816</v>
      </c>
      <c r="AFH6" s="545"/>
      <c r="AFI6" s="545"/>
      <c r="AFJ6" s="545"/>
      <c r="AFK6" s="136" t="s">
        <v>168</v>
      </c>
      <c r="AFL6" s="137">
        <v>1</v>
      </c>
      <c r="AFM6" s="137">
        <v>167.32</v>
      </c>
      <c r="AFN6" s="181" t="s">
        <v>817</v>
      </c>
      <c r="AFO6" s="545" t="s">
        <v>816</v>
      </c>
      <c r="AFP6" s="545"/>
      <c r="AFQ6" s="545"/>
      <c r="AFR6" s="545"/>
      <c r="AFS6" s="136" t="s">
        <v>168</v>
      </c>
      <c r="AFT6" s="137">
        <v>1</v>
      </c>
      <c r="AFU6" s="137">
        <v>167.32</v>
      </c>
      <c r="AFV6" s="181" t="s">
        <v>817</v>
      </c>
      <c r="AFW6" s="545" t="s">
        <v>816</v>
      </c>
      <c r="AFX6" s="545"/>
      <c r="AFY6" s="545"/>
      <c r="AFZ6" s="545"/>
      <c r="AGA6" s="136" t="s">
        <v>168</v>
      </c>
      <c r="AGB6" s="137">
        <v>1</v>
      </c>
      <c r="AGC6" s="137">
        <v>167.32</v>
      </c>
      <c r="AGD6" s="181" t="s">
        <v>817</v>
      </c>
      <c r="AGE6" s="545" t="s">
        <v>816</v>
      </c>
      <c r="AGF6" s="545"/>
      <c r="AGG6" s="545"/>
      <c r="AGH6" s="545"/>
      <c r="AGI6" s="136" t="s">
        <v>168</v>
      </c>
      <c r="AGJ6" s="137">
        <v>1</v>
      </c>
      <c r="AGK6" s="137">
        <v>167.32</v>
      </c>
      <c r="AGL6" s="181" t="s">
        <v>817</v>
      </c>
      <c r="AGM6" s="545" t="s">
        <v>816</v>
      </c>
      <c r="AGN6" s="545"/>
      <c r="AGO6" s="545"/>
      <c r="AGP6" s="545"/>
      <c r="AGQ6" s="136" t="s">
        <v>168</v>
      </c>
      <c r="AGR6" s="137">
        <v>1</v>
      </c>
      <c r="AGS6" s="137">
        <v>167.32</v>
      </c>
      <c r="AGT6" s="181" t="s">
        <v>817</v>
      </c>
      <c r="AGU6" s="545" t="s">
        <v>816</v>
      </c>
      <c r="AGV6" s="545"/>
      <c r="AGW6" s="545"/>
      <c r="AGX6" s="545"/>
      <c r="AGY6" s="136" t="s">
        <v>168</v>
      </c>
      <c r="AGZ6" s="137">
        <v>1</v>
      </c>
      <c r="AHA6" s="137">
        <v>167.32</v>
      </c>
      <c r="AHB6" s="181" t="s">
        <v>817</v>
      </c>
      <c r="AHC6" s="545" t="s">
        <v>816</v>
      </c>
      <c r="AHD6" s="545"/>
      <c r="AHE6" s="545"/>
      <c r="AHF6" s="545"/>
      <c r="AHG6" s="136" t="s">
        <v>168</v>
      </c>
      <c r="AHH6" s="137">
        <v>1</v>
      </c>
      <c r="AHI6" s="137">
        <v>167.32</v>
      </c>
      <c r="AHJ6" s="181" t="s">
        <v>817</v>
      </c>
      <c r="AHK6" s="545" t="s">
        <v>816</v>
      </c>
      <c r="AHL6" s="545"/>
      <c r="AHM6" s="545"/>
      <c r="AHN6" s="545"/>
      <c r="AHO6" s="136" t="s">
        <v>168</v>
      </c>
      <c r="AHP6" s="137">
        <v>1</v>
      </c>
      <c r="AHQ6" s="137">
        <v>167.32</v>
      </c>
      <c r="AHR6" s="181" t="s">
        <v>817</v>
      </c>
      <c r="AHS6" s="545" t="s">
        <v>816</v>
      </c>
      <c r="AHT6" s="545"/>
      <c r="AHU6" s="545"/>
      <c r="AHV6" s="545"/>
      <c r="AHW6" s="136" t="s">
        <v>168</v>
      </c>
      <c r="AHX6" s="137">
        <v>1</v>
      </c>
      <c r="AHY6" s="137">
        <v>167.32</v>
      </c>
      <c r="AHZ6" s="181" t="s">
        <v>817</v>
      </c>
      <c r="AIA6" s="545" t="s">
        <v>816</v>
      </c>
      <c r="AIB6" s="545"/>
      <c r="AIC6" s="545"/>
      <c r="AID6" s="545"/>
      <c r="AIE6" s="136" t="s">
        <v>168</v>
      </c>
      <c r="AIF6" s="137">
        <v>1</v>
      </c>
      <c r="AIG6" s="137">
        <v>167.32</v>
      </c>
      <c r="AIH6" s="181" t="s">
        <v>817</v>
      </c>
      <c r="AII6" s="545" t="s">
        <v>816</v>
      </c>
      <c r="AIJ6" s="545"/>
      <c r="AIK6" s="545"/>
      <c r="AIL6" s="545"/>
      <c r="AIM6" s="136" t="s">
        <v>168</v>
      </c>
      <c r="AIN6" s="137">
        <v>1</v>
      </c>
      <c r="AIO6" s="137">
        <v>167.32</v>
      </c>
      <c r="AIP6" s="181" t="s">
        <v>817</v>
      </c>
      <c r="AIQ6" s="545" t="s">
        <v>816</v>
      </c>
      <c r="AIR6" s="545"/>
      <c r="AIS6" s="545"/>
      <c r="AIT6" s="545"/>
      <c r="AIU6" s="136" t="s">
        <v>168</v>
      </c>
      <c r="AIV6" s="137">
        <v>1</v>
      </c>
      <c r="AIW6" s="137">
        <v>167.32</v>
      </c>
      <c r="AIX6" s="181" t="s">
        <v>817</v>
      </c>
      <c r="AIY6" s="545" t="s">
        <v>816</v>
      </c>
      <c r="AIZ6" s="545"/>
      <c r="AJA6" s="545"/>
      <c r="AJB6" s="545"/>
      <c r="AJC6" s="136" t="s">
        <v>168</v>
      </c>
      <c r="AJD6" s="137">
        <v>1</v>
      </c>
      <c r="AJE6" s="137">
        <v>167.32</v>
      </c>
      <c r="AJF6" s="181" t="s">
        <v>817</v>
      </c>
      <c r="AJG6" s="545" t="s">
        <v>816</v>
      </c>
      <c r="AJH6" s="545"/>
      <c r="AJI6" s="545"/>
      <c r="AJJ6" s="545"/>
      <c r="AJK6" s="136" t="s">
        <v>168</v>
      </c>
      <c r="AJL6" s="137">
        <v>1</v>
      </c>
      <c r="AJM6" s="137">
        <v>167.32</v>
      </c>
      <c r="AJN6" s="181" t="s">
        <v>817</v>
      </c>
      <c r="AJO6" s="545" t="s">
        <v>816</v>
      </c>
      <c r="AJP6" s="545"/>
      <c r="AJQ6" s="545"/>
      <c r="AJR6" s="545"/>
      <c r="AJS6" s="136" t="s">
        <v>168</v>
      </c>
      <c r="AJT6" s="137">
        <v>1</v>
      </c>
      <c r="AJU6" s="137">
        <v>167.32</v>
      </c>
      <c r="AJV6" s="181" t="s">
        <v>817</v>
      </c>
      <c r="AJW6" s="545" t="s">
        <v>816</v>
      </c>
      <c r="AJX6" s="545"/>
      <c r="AJY6" s="545"/>
      <c r="AJZ6" s="545"/>
      <c r="AKA6" s="136" t="s">
        <v>168</v>
      </c>
      <c r="AKB6" s="137">
        <v>1</v>
      </c>
      <c r="AKC6" s="137">
        <v>167.32</v>
      </c>
      <c r="AKD6" s="181" t="s">
        <v>817</v>
      </c>
      <c r="AKE6" s="545" t="s">
        <v>816</v>
      </c>
      <c r="AKF6" s="545"/>
      <c r="AKG6" s="545"/>
      <c r="AKH6" s="545"/>
      <c r="AKI6" s="136" t="s">
        <v>168</v>
      </c>
      <c r="AKJ6" s="137">
        <v>1</v>
      </c>
      <c r="AKK6" s="137">
        <v>167.32</v>
      </c>
      <c r="AKL6" s="181" t="s">
        <v>817</v>
      </c>
      <c r="AKM6" s="545" t="s">
        <v>816</v>
      </c>
      <c r="AKN6" s="545"/>
      <c r="AKO6" s="545"/>
      <c r="AKP6" s="545"/>
      <c r="AKQ6" s="136" t="s">
        <v>168</v>
      </c>
      <c r="AKR6" s="137">
        <v>1</v>
      </c>
      <c r="AKS6" s="137">
        <v>167.32</v>
      </c>
      <c r="AKT6" s="181" t="s">
        <v>817</v>
      </c>
      <c r="AKU6" s="545" t="s">
        <v>816</v>
      </c>
      <c r="AKV6" s="545"/>
      <c r="AKW6" s="545"/>
      <c r="AKX6" s="545"/>
      <c r="AKY6" s="136" t="s">
        <v>168</v>
      </c>
      <c r="AKZ6" s="137">
        <v>1</v>
      </c>
      <c r="ALA6" s="137">
        <v>167.32</v>
      </c>
      <c r="ALB6" s="181" t="s">
        <v>817</v>
      </c>
      <c r="ALC6" s="545" t="s">
        <v>816</v>
      </c>
      <c r="ALD6" s="545"/>
      <c r="ALE6" s="545"/>
      <c r="ALF6" s="545"/>
      <c r="ALG6" s="136" t="s">
        <v>168</v>
      </c>
      <c r="ALH6" s="137">
        <v>1</v>
      </c>
      <c r="ALI6" s="137">
        <v>167.32</v>
      </c>
      <c r="ALJ6" s="181" t="s">
        <v>817</v>
      </c>
      <c r="ALK6" s="545" t="s">
        <v>816</v>
      </c>
      <c r="ALL6" s="545"/>
      <c r="ALM6" s="545"/>
      <c r="ALN6" s="545"/>
      <c r="ALO6" s="136" t="s">
        <v>168</v>
      </c>
      <c r="ALP6" s="137">
        <v>1</v>
      </c>
      <c r="ALQ6" s="137">
        <v>167.32</v>
      </c>
      <c r="ALR6" s="181" t="s">
        <v>817</v>
      </c>
      <c r="ALS6" s="545" t="s">
        <v>816</v>
      </c>
      <c r="ALT6" s="545"/>
      <c r="ALU6" s="545"/>
      <c r="ALV6" s="545"/>
      <c r="ALW6" s="136" t="s">
        <v>168</v>
      </c>
      <c r="ALX6" s="137">
        <v>1</v>
      </c>
      <c r="ALY6" s="137">
        <v>167.32</v>
      </c>
      <c r="ALZ6" s="181" t="s">
        <v>817</v>
      </c>
      <c r="AMA6" s="545" t="s">
        <v>816</v>
      </c>
      <c r="AMB6" s="545"/>
      <c r="AMC6" s="545"/>
      <c r="AMD6" s="545"/>
      <c r="AME6" s="136" t="s">
        <v>168</v>
      </c>
      <c r="AMF6" s="137">
        <v>1</v>
      </c>
      <c r="AMG6" s="137">
        <v>167.32</v>
      </c>
      <c r="AMH6" s="181" t="s">
        <v>817</v>
      </c>
      <c r="AMI6" s="545" t="s">
        <v>816</v>
      </c>
      <c r="AMJ6" s="545"/>
      <c r="AMK6" s="545"/>
      <c r="AML6" s="545"/>
      <c r="AMM6" s="136" t="s">
        <v>168</v>
      </c>
      <c r="AMN6" s="137">
        <v>1</v>
      </c>
      <c r="AMO6" s="137">
        <v>167.32</v>
      </c>
      <c r="AMP6" s="181" t="s">
        <v>817</v>
      </c>
      <c r="AMQ6" s="545" t="s">
        <v>816</v>
      </c>
      <c r="AMR6" s="545"/>
      <c r="AMS6" s="545"/>
      <c r="AMT6" s="545"/>
      <c r="AMU6" s="136" t="s">
        <v>168</v>
      </c>
      <c r="AMV6" s="137">
        <v>1</v>
      </c>
      <c r="AMW6" s="137">
        <v>167.32</v>
      </c>
      <c r="AMX6" s="181" t="s">
        <v>817</v>
      </c>
      <c r="AMY6" s="545" t="s">
        <v>816</v>
      </c>
      <c r="AMZ6" s="545"/>
      <c r="ANA6" s="545"/>
      <c r="ANB6" s="545"/>
      <c r="ANC6" s="136" t="s">
        <v>168</v>
      </c>
      <c r="AND6" s="137">
        <v>1</v>
      </c>
      <c r="ANE6" s="137">
        <v>167.32</v>
      </c>
      <c r="ANF6" s="181" t="s">
        <v>817</v>
      </c>
      <c r="ANG6" s="545" t="s">
        <v>816</v>
      </c>
      <c r="ANH6" s="545"/>
      <c r="ANI6" s="545"/>
      <c r="ANJ6" s="545"/>
      <c r="ANK6" s="136" t="s">
        <v>168</v>
      </c>
      <c r="ANL6" s="137">
        <v>1</v>
      </c>
      <c r="ANM6" s="137">
        <v>167.32</v>
      </c>
      <c r="ANN6" s="181" t="s">
        <v>817</v>
      </c>
      <c r="ANO6" s="545" t="s">
        <v>816</v>
      </c>
      <c r="ANP6" s="545"/>
      <c r="ANQ6" s="545"/>
      <c r="ANR6" s="545"/>
      <c r="ANS6" s="136" t="s">
        <v>168</v>
      </c>
      <c r="ANT6" s="137">
        <v>1</v>
      </c>
      <c r="ANU6" s="137">
        <v>167.32</v>
      </c>
      <c r="ANV6" s="181" t="s">
        <v>817</v>
      </c>
      <c r="ANW6" s="545" t="s">
        <v>816</v>
      </c>
      <c r="ANX6" s="545"/>
      <c r="ANY6" s="545"/>
      <c r="ANZ6" s="545"/>
      <c r="AOA6" s="136" t="s">
        <v>168</v>
      </c>
      <c r="AOB6" s="137">
        <v>1</v>
      </c>
      <c r="AOC6" s="137">
        <v>167.32</v>
      </c>
      <c r="AOD6" s="181" t="s">
        <v>817</v>
      </c>
      <c r="AOE6" s="545" t="s">
        <v>816</v>
      </c>
      <c r="AOF6" s="545"/>
      <c r="AOG6" s="545"/>
      <c r="AOH6" s="545"/>
      <c r="AOI6" s="136" t="s">
        <v>168</v>
      </c>
      <c r="AOJ6" s="137">
        <v>1</v>
      </c>
      <c r="AOK6" s="137">
        <v>167.32</v>
      </c>
      <c r="AOL6" s="181" t="s">
        <v>817</v>
      </c>
      <c r="AOM6" s="545" t="s">
        <v>816</v>
      </c>
      <c r="AON6" s="545"/>
      <c r="AOO6" s="545"/>
      <c r="AOP6" s="545"/>
      <c r="AOQ6" s="136" t="s">
        <v>168</v>
      </c>
      <c r="AOR6" s="137">
        <v>1</v>
      </c>
      <c r="AOS6" s="137">
        <v>167.32</v>
      </c>
      <c r="AOT6" s="181" t="s">
        <v>817</v>
      </c>
      <c r="AOU6" s="545" t="s">
        <v>816</v>
      </c>
      <c r="AOV6" s="545"/>
      <c r="AOW6" s="545"/>
      <c r="AOX6" s="545"/>
      <c r="AOY6" s="136" t="s">
        <v>168</v>
      </c>
      <c r="AOZ6" s="137">
        <v>1</v>
      </c>
      <c r="APA6" s="137">
        <v>167.32</v>
      </c>
      <c r="APB6" s="181" t="s">
        <v>817</v>
      </c>
      <c r="APC6" s="545" t="s">
        <v>816</v>
      </c>
      <c r="APD6" s="545"/>
      <c r="APE6" s="545"/>
      <c r="APF6" s="545"/>
      <c r="APG6" s="136" t="s">
        <v>168</v>
      </c>
      <c r="APH6" s="137">
        <v>1</v>
      </c>
      <c r="API6" s="137">
        <v>167.32</v>
      </c>
      <c r="APJ6" s="181" t="s">
        <v>817</v>
      </c>
      <c r="APK6" s="545" t="s">
        <v>816</v>
      </c>
      <c r="APL6" s="545"/>
      <c r="APM6" s="545"/>
      <c r="APN6" s="545"/>
      <c r="APO6" s="136" t="s">
        <v>168</v>
      </c>
      <c r="APP6" s="137">
        <v>1</v>
      </c>
      <c r="APQ6" s="137">
        <v>167.32</v>
      </c>
      <c r="APR6" s="181" t="s">
        <v>817</v>
      </c>
      <c r="APS6" s="545" t="s">
        <v>816</v>
      </c>
      <c r="APT6" s="545"/>
      <c r="APU6" s="545"/>
      <c r="APV6" s="545"/>
      <c r="APW6" s="136" t="s">
        <v>168</v>
      </c>
      <c r="APX6" s="137">
        <v>1</v>
      </c>
      <c r="APY6" s="137">
        <v>167.32</v>
      </c>
      <c r="APZ6" s="181" t="s">
        <v>817</v>
      </c>
      <c r="AQA6" s="545" t="s">
        <v>816</v>
      </c>
      <c r="AQB6" s="545"/>
      <c r="AQC6" s="545"/>
      <c r="AQD6" s="545"/>
      <c r="AQE6" s="136" t="s">
        <v>168</v>
      </c>
      <c r="AQF6" s="137">
        <v>1</v>
      </c>
      <c r="AQG6" s="137">
        <v>167.32</v>
      </c>
      <c r="AQH6" s="181" t="s">
        <v>817</v>
      </c>
      <c r="AQI6" s="545" t="s">
        <v>816</v>
      </c>
      <c r="AQJ6" s="545"/>
      <c r="AQK6" s="545"/>
      <c r="AQL6" s="545"/>
      <c r="AQM6" s="136" t="s">
        <v>168</v>
      </c>
      <c r="AQN6" s="137">
        <v>1</v>
      </c>
      <c r="AQO6" s="137">
        <v>167.32</v>
      </c>
      <c r="AQP6" s="181" t="s">
        <v>817</v>
      </c>
      <c r="AQQ6" s="545" t="s">
        <v>816</v>
      </c>
      <c r="AQR6" s="545"/>
      <c r="AQS6" s="545"/>
      <c r="AQT6" s="545"/>
      <c r="AQU6" s="136" t="s">
        <v>168</v>
      </c>
      <c r="AQV6" s="137">
        <v>1</v>
      </c>
      <c r="AQW6" s="137">
        <v>167.32</v>
      </c>
      <c r="AQX6" s="181" t="s">
        <v>817</v>
      </c>
      <c r="AQY6" s="545" t="s">
        <v>816</v>
      </c>
      <c r="AQZ6" s="545"/>
      <c r="ARA6" s="545"/>
      <c r="ARB6" s="545"/>
      <c r="ARC6" s="136" t="s">
        <v>168</v>
      </c>
      <c r="ARD6" s="137">
        <v>1</v>
      </c>
      <c r="ARE6" s="137">
        <v>167.32</v>
      </c>
      <c r="ARF6" s="181" t="s">
        <v>817</v>
      </c>
      <c r="ARG6" s="545" t="s">
        <v>816</v>
      </c>
      <c r="ARH6" s="545"/>
      <c r="ARI6" s="545"/>
      <c r="ARJ6" s="545"/>
      <c r="ARK6" s="136" t="s">
        <v>168</v>
      </c>
      <c r="ARL6" s="137">
        <v>1</v>
      </c>
      <c r="ARM6" s="137">
        <v>167.32</v>
      </c>
      <c r="ARN6" s="181" t="s">
        <v>817</v>
      </c>
      <c r="ARO6" s="545" t="s">
        <v>816</v>
      </c>
      <c r="ARP6" s="545"/>
      <c r="ARQ6" s="545"/>
      <c r="ARR6" s="545"/>
      <c r="ARS6" s="136" t="s">
        <v>168</v>
      </c>
      <c r="ART6" s="137">
        <v>1</v>
      </c>
      <c r="ARU6" s="137">
        <v>167.32</v>
      </c>
      <c r="ARV6" s="181" t="s">
        <v>817</v>
      </c>
      <c r="ARW6" s="545" t="s">
        <v>816</v>
      </c>
      <c r="ARX6" s="545"/>
      <c r="ARY6" s="545"/>
      <c r="ARZ6" s="545"/>
      <c r="ASA6" s="136" t="s">
        <v>168</v>
      </c>
      <c r="ASB6" s="137">
        <v>1</v>
      </c>
      <c r="ASC6" s="137">
        <v>167.32</v>
      </c>
      <c r="ASD6" s="181" t="s">
        <v>817</v>
      </c>
      <c r="ASE6" s="545" t="s">
        <v>816</v>
      </c>
      <c r="ASF6" s="545"/>
      <c r="ASG6" s="545"/>
      <c r="ASH6" s="545"/>
      <c r="ASI6" s="136" t="s">
        <v>168</v>
      </c>
      <c r="ASJ6" s="137">
        <v>1</v>
      </c>
      <c r="ASK6" s="137">
        <v>167.32</v>
      </c>
      <c r="ASL6" s="181" t="s">
        <v>817</v>
      </c>
      <c r="ASM6" s="545" t="s">
        <v>816</v>
      </c>
      <c r="ASN6" s="545"/>
      <c r="ASO6" s="545"/>
      <c r="ASP6" s="545"/>
      <c r="ASQ6" s="136" t="s">
        <v>168</v>
      </c>
      <c r="ASR6" s="137">
        <v>1</v>
      </c>
      <c r="ASS6" s="137">
        <v>167.32</v>
      </c>
      <c r="AST6" s="181" t="s">
        <v>817</v>
      </c>
      <c r="ASU6" s="545" t="s">
        <v>816</v>
      </c>
      <c r="ASV6" s="545"/>
      <c r="ASW6" s="545"/>
      <c r="ASX6" s="545"/>
      <c r="ASY6" s="136" t="s">
        <v>168</v>
      </c>
      <c r="ASZ6" s="137">
        <v>1</v>
      </c>
      <c r="ATA6" s="137">
        <v>167.32</v>
      </c>
      <c r="ATB6" s="181" t="s">
        <v>817</v>
      </c>
      <c r="ATC6" s="545" t="s">
        <v>816</v>
      </c>
      <c r="ATD6" s="545"/>
      <c r="ATE6" s="545"/>
      <c r="ATF6" s="545"/>
      <c r="ATG6" s="136" t="s">
        <v>168</v>
      </c>
      <c r="ATH6" s="137">
        <v>1</v>
      </c>
      <c r="ATI6" s="137">
        <v>167.32</v>
      </c>
      <c r="ATJ6" s="181" t="s">
        <v>817</v>
      </c>
      <c r="ATK6" s="545" t="s">
        <v>816</v>
      </c>
      <c r="ATL6" s="545"/>
      <c r="ATM6" s="545"/>
      <c r="ATN6" s="545"/>
      <c r="ATO6" s="136" t="s">
        <v>168</v>
      </c>
      <c r="ATP6" s="137">
        <v>1</v>
      </c>
      <c r="ATQ6" s="137">
        <v>167.32</v>
      </c>
      <c r="ATR6" s="181" t="s">
        <v>817</v>
      </c>
      <c r="ATS6" s="545" t="s">
        <v>816</v>
      </c>
      <c r="ATT6" s="545"/>
      <c r="ATU6" s="545"/>
      <c r="ATV6" s="545"/>
      <c r="ATW6" s="136" t="s">
        <v>168</v>
      </c>
      <c r="ATX6" s="137">
        <v>1</v>
      </c>
      <c r="ATY6" s="137">
        <v>167.32</v>
      </c>
      <c r="ATZ6" s="181" t="s">
        <v>817</v>
      </c>
      <c r="AUA6" s="545" t="s">
        <v>816</v>
      </c>
      <c r="AUB6" s="545"/>
      <c r="AUC6" s="545"/>
      <c r="AUD6" s="545"/>
      <c r="AUE6" s="136" t="s">
        <v>168</v>
      </c>
      <c r="AUF6" s="137">
        <v>1</v>
      </c>
      <c r="AUG6" s="137">
        <v>167.32</v>
      </c>
      <c r="AUH6" s="181" t="s">
        <v>817</v>
      </c>
      <c r="AUI6" s="545" t="s">
        <v>816</v>
      </c>
      <c r="AUJ6" s="545"/>
      <c r="AUK6" s="545"/>
      <c r="AUL6" s="545"/>
      <c r="AUM6" s="136" t="s">
        <v>168</v>
      </c>
      <c r="AUN6" s="137">
        <v>1</v>
      </c>
      <c r="AUO6" s="137">
        <v>167.32</v>
      </c>
      <c r="AUP6" s="181" t="s">
        <v>817</v>
      </c>
      <c r="AUQ6" s="545" t="s">
        <v>816</v>
      </c>
      <c r="AUR6" s="545"/>
      <c r="AUS6" s="545"/>
      <c r="AUT6" s="545"/>
      <c r="AUU6" s="136" t="s">
        <v>168</v>
      </c>
      <c r="AUV6" s="137">
        <v>1</v>
      </c>
      <c r="AUW6" s="137">
        <v>167.32</v>
      </c>
      <c r="AUX6" s="181" t="s">
        <v>817</v>
      </c>
      <c r="AUY6" s="545" t="s">
        <v>816</v>
      </c>
      <c r="AUZ6" s="545"/>
      <c r="AVA6" s="545"/>
      <c r="AVB6" s="545"/>
      <c r="AVC6" s="136" t="s">
        <v>168</v>
      </c>
      <c r="AVD6" s="137">
        <v>1</v>
      </c>
      <c r="AVE6" s="137">
        <v>167.32</v>
      </c>
      <c r="AVF6" s="181" t="s">
        <v>817</v>
      </c>
      <c r="AVG6" s="545" t="s">
        <v>816</v>
      </c>
      <c r="AVH6" s="545"/>
      <c r="AVI6" s="545"/>
      <c r="AVJ6" s="545"/>
      <c r="AVK6" s="136" t="s">
        <v>168</v>
      </c>
      <c r="AVL6" s="137">
        <v>1</v>
      </c>
      <c r="AVM6" s="137">
        <v>167.32</v>
      </c>
      <c r="AVN6" s="181" t="s">
        <v>817</v>
      </c>
      <c r="AVO6" s="545" t="s">
        <v>816</v>
      </c>
      <c r="AVP6" s="545"/>
      <c r="AVQ6" s="545"/>
      <c r="AVR6" s="545"/>
      <c r="AVS6" s="136" t="s">
        <v>168</v>
      </c>
      <c r="AVT6" s="137">
        <v>1</v>
      </c>
      <c r="AVU6" s="137">
        <v>167.32</v>
      </c>
      <c r="AVV6" s="181" t="s">
        <v>817</v>
      </c>
      <c r="AVW6" s="545" t="s">
        <v>816</v>
      </c>
      <c r="AVX6" s="545"/>
      <c r="AVY6" s="545"/>
      <c r="AVZ6" s="545"/>
      <c r="AWA6" s="136" t="s">
        <v>168</v>
      </c>
      <c r="AWB6" s="137">
        <v>1</v>
      </c>
      <c r="AWC6" s="137">
        <v>167.32</v>
      </c>
      <c r="AWD6" s="181" t="s">
        <v>817</v>
      </c>
      <c r="AWE6" s="545" t="s">
        <v>816</v>
      </c>
      <c r="AWF6" s="545"/>
      <c r="AWG6" s="545"/>
      <c r="AWH6" s="545"/>
      <c r="AWI6" s="136" t="s">
        <v>168</v>
      </c>
      <c r="AWJ6" s="137">
        <v>1</v>
      </c>
      <c r="AWK6" s="137">
        <v>167.32</v>
      </c>
      <c r="AWL6" s="181" t="s">
        <v>817</v>
      </c>
      <c r="AWM6" s="545" t="s">
        <v>816</v>
      </c>
      <c r="AWN6" s="545"/>
      <c r="AWO6" s="545"/>
      <c r="AWP6" s="545"/>
      <c r="AWQ6" s="136" t="s">
        <v>168</v>
      </c>
      <c r="AWR6" s="137">
        <v>1</v>
      </c>
      <c r="AWS6" s="137">
        <v>167.32</v>
      </c>
      <c r="AWT6" s="181" t="s">
        <v>817</v>
      </c>
      <c r="AWU6" s="545" t="s">
        <v>816</v>
      </c>
      <c r="AWV6" s="545"/>
      <c r="AWW6" s="545"/>
      <c r="AWX6" s="545"/>
      <c r="AWY6" s="136" t="s">
        <v>168</v>
      </c>
      <c r="AWZ6" s="137">
        <v>1</v>
      </c>
      <c r="AXA6" s="137">
        <v>167.32</v>
      </c>
      <c r="AXB6" s="181" t="s">
        <v>817</v>
      </c>
      <c r="AXC6" s="545" t="s">
        <v>816</v>
      </c>
      <c r="AXD6" s="545"/>
      <c r="AXE6" s="545"/>
      <c r="AXF6" s="545"/>
      <c r="AXG6" s="136" t="s">
        <v>168</v>
      </c>
      <c r="AXH6" s="137">
        <v>1</v>
      </c>
      <c r="AXI6" s="137">
        <v>167.32</v>
      </c>
      <c r="AXJ6" s="181" t="s">
        <v>817</v>
      </c>
      <c r="AXK6" s="545" t="s">
        <v>816</v>
      </c>
      <c r="AXL6" s="545"/>
      <c r="AXM6" s="545"/>
      <c r="AXN6" s="545"/>
      <c r="AXO6" s="136" t="s">
        <v>168</v>
      </c>
      <c r="AXP6" s="137">
        <v>1</v>
      </c>
      <c r="AXQ6" s="137">
        <v>167.32</v>
      </c>
      <c r="AXR6" s="181" t="s">
        <v>817</v>
      </c>
      <c r="AXS6" s="545" t="s">
        <v>816</v>
      </c>
      <c r="AXT6" s="545"/>
      <c r="AXU6" s="545"/>
      <c r="AXV6" s="545"/>
      <c r="AXW6" s="136" t="s">
        <v>168</v>
      </c>
      <c r="AXX6" s="137">
        <v>1</v>
      </c>
      <c r="AXY6" s="137">
        <v>167.32</v>
      </c>
      <c r="AXZ6" s="181" t="s">
        <v>817</v>
      </c>
      <c r="AYA6" s="545" t="s">
        <v>816</v>
      </c>
      <c r="AYB6" s="545"/>
      <c r="AYC6" s="545"/>
      <c r="AYD6" s="545"/>
      <c r="AYE6" s="136" t="s">
        <v>168</v>
      </c>
      <c r="AYF6" s="137">
        <v>1</v>
      </c>
      <c r="AYG6" s="137">
        <v>167.32</v>
      </c>
      <c r="AYH6" s="181" t="s">
        <v>817</v>
      </c>
      <c r="AYI6" s="545" t="s">
        <v>816</v>
      </c>
      <c r="AYJ6" s="545"/>
      <c r="AYK6" s="545"/>
      <c r="AYL6" s="545"/>
      <c r="AYM6" s="136" t="s">
        <v>168</v>
      </c>
      <c r="AYN6" s="137">
        <v>1</v>
      </c>
      <c r="AYO6" s="137">
        <v>167.32</v>
      </c>
      <c r="AYP6" s="181" t="s">
        <v>817</v>
      </c>
      <c r="AYQ6" s="545" t="s">
        <v>816</v>
      </c>
      <c r="AYR6" s="545"/>
      <c r="AYS6" s="545"/>
      <c r="AYT6" s="545"/>
      <c r="AYU6" s="136" t="s">
        <v>168</v>
      </c>
      <c r="AYV6" s="137">
        <v>1</v>
      </c>
      <c r="AYW6" s="137">
        <v>167.32</v>
      </c>
      <c r="AYX6" s="181" t="s">
        <v>817</v>
      </c>
      <c r="AYY6" s="545" t="s">
        <v>816</v>
      </c>
      <c r="AYZ6" s="545"/>
      <c r="AZA6" s="545"/>
      <c r="AZB6" s="545"/>
      <c r="AZC6" s="136" t="s">
        <v>168</v>
      </c>
      <c r="AZD6" s="137">
        <v>1</v>
      </c>
      <c r="AZE6" s="137">
        <v>167.32</v>
      </c>
      <c r="AZF6" s="181" t="s">
        <v>817</v>
      </c>
      <c r="AZG6" s="545" t="s">
        <v>816</v>
      </c>
      <c r="AZH6" s="545"/>
      <c r="AZI6" s="545"/>
      <c r="AZJ6" s="545"/>
      <c r="AZK6" s="136" t="s">
        <v>168</v>
      </c>
      <c r="AZL6" s="137">
        <v>1</v>
      </c>
      <c r="AZM6" s="137">
        <v>167.32</v>
      </c>
      <c r="AZN6" s="181" t="s">
        <v>817</v>
      </c>
      <c r="AZO6" s="545" t="s">
        <v>816</v>
      </c>
      <c r="AZP6" s="545"/>
      <c r="AZQ6" s="545"/>
      <c r="AZR6" s="545"/>
      <c r="AZS6" s="136" t="s">
        <v>168</v>
      </c>
      <c r="AZT6" s="137">
        <v>1</v>
      </c>
      <c r="AZU6" s="137">
        <v>167.32</v>
      </c>
      <c r="AZV6" s="181" t="s">
        <v>817</v>
      </c>
      <c r="AZW6" s="545" t="s">
        <v>816</v>
      </c>
      <c r="AZX6" s="545"/>
      <c r="AZY6" s="545"/>
      <c r="AZZ6" s="545"/>
      <c r="BAA6" s="136" t="s">
        <v>168</v>
      </c>
      <c r="BAB6" s="137">
        <v>1</v>
      </c>
      <c r="BAC6" s="137">
        <v>167.32</v>
      </c>
      <c r="BAD6" s="181" t="s">
        <v>817</v>
      </c>
      <c r="BAE6" s="545" t="s">
        <v>816</v>
      </c>
      <c r="BAF6" s="545"/>
      <c r="BAG6" s="545"/>
      <c r="BAH6" s="545"/>
      <c r="BAI6" s="136" t="s">
        <v>168</v>
      </c>
      <c r="BAJ6" s="137">
        <v>1</v>
      </c>
      <c r="BAK6" s="137">
        <v>167.32</v>
      </c>
      <c r="BAL6" s="181" t="s">
        <v>817</v>
      </c>
      <c r="BAM6" s="545" t="s">
        <v>816</v>
      </c>
      <c r="BAN6" s="545"/>
      <c r="BAO6" s="545"/>
      <c r="BAP6" s="545"/>
      <c r="BAQ6" s="136" t="s">
        <v>168</v>
      </c>
      <c r="BAR6" s="137">
        <v>1</v>
      </c>
      <c r="BAS6" s="137">
        <v>167.32</v>
      </c>
      <c r="BAT6" s="181" t="s">
        <v>817</v>
      </c>
      <c r="BAU6" s="545" t="s">
        <v>816</v>
      </c>
      <c r="BAV6" s="545"/>
      <c r="BAW6" s="545"/>
      <c r="BAX6" s="545"/>
      <c r="BAY6" s="136" t="s">
        <v>168</v>
      </c>
      <c r="BAZ6" s="137">
        <v>1</v>
      </c>
      <c r="BBA6" s="137">
        <v>167.32</v>
      </c>
      <c r="BBB6" s="181" t="s">
        <v>817</v>
      </c>
      <c r="BBC6" s="545" t="s">
        <v>816</v>
      </c>
      <c r="BBD6" s="545"/>
      <c r="BBE6" s="545"/>
      <c r="BBF6" s="545"/>
      <c r="BBG6" s="136" t="s">
        <v>168</v>
      </c>
      <c r="BBH6" s="137">
        <v>1</v>
      </c>
      <c r="BBI6" s="137">
        <v>167.32</v>
      </c>
      <c r="BBJ6" s="181" t="s">
        <v>817</v>
      </c>
      <c r="BBK6" s="545" t="s">
        <v>816</v>
      </c>
      <c r="BBL6" s="545"/>
      <c r="BBM6" s="545"/>
      <c r="BBN6" s="545"/>
      <c r="BBO6" s="136" t="s">
        <v>168</v>
      </c>
      <c r="BBP6" s="137">
        <v>1</v>
      </c>
      <c r="BBQ6" s="137">
        <v>167.32</v>
      </c>
      <c r="BBR6" s="181" t="s">
        <v>817</v>
      </c>
      <c r="BBS6" s="545" t="s">
        <v>816</v>
      </c>
      <c r="BBT6" s="545"/>
      <c r="BBU6" s="545"/>
      <c r="BBV6" s="545"/>
      <c r="BBW6" s="136" t="s">
        <v>168</v>
      </c>
      <c r="BBX6" s="137">
        <v>1</v>
      </c>
      <c r="BBY6" s="137">
        <v>167.32</v>
      </c>
      <c r="BBZ6" s="181" t="s">
        <v>817</v>
      </c>
      <c r="BCA6" s="545" t="s">
        <v>816</v>
      </c>
      <c r="BCB6" s="545"/>
      <c r="BCC6" s="545"/>
      <c r="BCD6" s="545"/>
      <c r="BCE6" s="136" t="s">
        <v>168</v>
      </c>
      <c r="BCF6" s="137">
        <v>1</v>
      </c>
      <c r="BCG6" s="137">
        <v>167.32</v>
      </c>
      <c r="BCH6" s="181" t="s">
        <v>817</v>
      </c>
      <c r="BCI6" s="545" t="s">
        <v>816</v>
      </c>
      <c r="BCJ6" s="545"/>
      <c r="BCK6" s="545"/>
      <c r="BCL6" s="545"/>
      <c r="BCM6" s="136" t="s">
        <v>168</v>
      </c>
      <c r="BCN6" s="137">
        <v>1</v>
      </c>
      <c r="BCO6" s="137">
        <v>167.32</v>
      </c>
      <c r="BCP6" s="181" t="s">
        <v>817</v>
      </c>
      <c r="BCQ6" s="545" t="s">
        <v>816</v>
      </c>
      <c r="BCR6" s="545"/>
      <c r="BCS6" s="545"/>
      <c r="BCT6" s="545"/>
      <c r="BCU6" s="136" t="s">
        <v>168</v>
      </c>
      <c r="BCV6" s="137">
        <v>1</v>
      </c>
      <c r="BCW6" s="137">
        <v>167.32</v>
      </c>
      <c r="BCX6" s="181" t="s">
        <v>817</v>
      </c>
      <c r="BCY6" s="545" t="s">
        <v>816</v>
      </c>
      <c r="BCZ6" s="545"/>
      <c r="BDA6" s="545"/>
      <c r="BDB6" s="545"/>
      <c r="BDC6" s="136" t="s">
        <v>168</v>
      </c>
      <c r="BDD6" s="137">
        <v>1</v>
      </c>
      <c r="BDE6" s="137">
        <v>167.32</v>
      </c>
      <c r="BDF6" s="181" t="s">
        <v>817</v>
      </c>
      <c r="BDG6" s="545" t="s">
        <v>816</v>
      </c>
      <c r="BDH6" s="545"/>
      <c r="BDI6" s="545"/>
      <c r="BDJ6" s="545"/>
      <c r="BDK6" s="136" t="s">
        <v>168</v>
      </c>
      <c r="BDL6" s="137">
        <v>1</v>
      </c>
      <c r="BDM6" s="137">
        <v>167.32</v>
      </c>
      <c r="BDN6" s="181" t="s">
        <v>817</v>
      </c>
      <c r="BDO6" s="545" t="s">
        <v>816</v>
      </c>
      <c r="BDP6" s="545"/>
      <c r="BDQ6" s="545"/>
      <c r="BDR6" s="545"/>
      <c r="BDS6" s="136" t="s">
        <v>168</v>
      </c>
      <c r="BDT6" s="137">
        <v>1</v>
      </c>
      <c r="BDU6" s="137">
        <v>167.32</v>
      </c>
      <c r="BDV6" s="181" t="s">
        <v>817</v>
      </c>
      <c r="BDW6" s="545" t="s">
        <v>816</v>
      </c>
      <c r="BDX6" s="545"/>
      <c r="BDY6" s="545"/>
      <c r="BDZ6" s="545"/>
      <c r="BEA6" s="136" t="s">
        <v>168</v>
      </c>
      <c r="BEB6" s="137">
        <v>1</v>
      </c>
      <c r="BEC6" s="137">
        <v>167.32</v>
      </c>
      <c r="BED6" s="181" t="s">
        <v>817</v>
      </c>
      <c r="BEE6" s="545" t="s">
        <v>816</v>
      </c>
      <c r="BEF6" s="545"/>
      <c r="BEG6" s="545"/>
      <c r="BEH6" s="545"/>
      <c r="BEI6" s="136" t="s">
        <v>168</v>
      </c>
      <c r="BEJ6" s="137">
        <v>1</v>
      </c>
      <c r="BEK6" s="137">
        <v>167.32</v>
      </c>
      <c r="BEL6" s="181" t="s">
        <v>817</v>
      </c>
      <c r="BEM6" s="545" t="s">
        <v>816</v>
      </c>
      <c r="BEN6" s="545"/>
      <c r="BEO6" s="545"/>
      <c r="BEP6" s="545"/>
      <c r="BEQ6" s="136" t="s">
        <v>168</v>
      </c>
      <c r="BER6" s="137">
        <v>1</v>
      </c>
      <c r="BES6" s="137">
        <v>167.32</v>
      </c>
      <c r="BET6" s="181" t="s">
        <v>817</v>
      </c>
      <c r="BEU6" s="545" t="s">
        <v>816</v>
      </c>
      <c r="BEV6" s="545"/>
      <c r="BEW6" s="545"/>
      <c r="BEX6" s="545"/>
      <c r="BEY6" s="136" t="s">
        <v>168</v>
      </c>
      <c r="BEZ6" s="137">
        <v>1</v>
      </c>
      <c r="BFA6" s="137">
        <v>167.32</v>
      </c>
      <c r="BFB6" s="181" t="s">
        <v>817</v>
      </c>
      <c r="BFC6" s="545" t="s">
        <v>816</v>
      </c>
      <c r="BFD6" s="545"/>
      <c r="BFE6" s="545"/>
      <c r="BFF6" s="545"/>
      <c r="BFG6" s="136" t="s">
        <v>168</v>
      </c>
      <c r="BFH6" s="137">
        <v>1</v>
      </c>
      <c r="BFI6" s="137">
        <v>167.32</v>
      </c>
      <c r="BFJ6" s="181" t="s">
        <v>817</v>
      </c>
      <c r="BFK6" s="545" t="s">
        <v>816</v>
      </c>
      <c r="BFL6" s="545"/>
      <c r="BFM6" s="545"/>
      <c r="BFN6" s="545"/>
      <c r="BFO6" s="136" t="s">
        <v>168</v>
      </c>
      <c r="BFP6" s="137">
        <v>1</v>
      </c>
      <c r="BFQ6" s="137">
        <v>167.32</v>
      </c>
      <c r="BFR6" s="181" t="s">
        <v>817</v>
      </c>
      <c r="BFS6" s="545" t="s">
        <v>816</v>
      </c>
      <c r="BFT6" s="545"/>
      <c r="BFU6" s="545"/>
      <c r="BFV6" s="545"/>
      <c r="BFW6" s="136" t="s">
        <v>168</v>
      </c>
      <c r="BFX6" s="137">
        <v>1</v>
      </c>
      <c r="BFY6" s="137">
        <v>167.32</v>
      </c>
      <c r="BFZ6" s="181" t="s">
        <v>817</v>
      </c>
      <c r="BGA6" s="545" t="s">
        <v>816</v>
      </c>
      <c r="BGB6" s="545"/>
      <c r="BGC6" s="545"/>
      <c r="BGD6" s="545"/>
      <c r="BGE6" s="136" t="s">
        <v>168</v>
      </c>
      <c r="BGF6" s="137">
        <v>1</v>
      </c>
      <c r="BGG6" s="137">
        <v>167.32</v>
      </c>
      <c r="BGH6" s="181" t="s">
        <v>817</v>
      </c>
      <c r="BGI6" s="545" t="s">
        <v>816</v>
      </c>
      <c r="BGJ6" s="545"/>
      <c r="BGK6" s="545"/>
      <c r="BGL6" s="545"/>
      <c r="BGM6" s="136" t="s">
        <v>168</v>
      </c>
      <c r="BGN6" s="137">
        <v>1</v>
      </c>
      <c r="BGO6" s="137">
        <v>167.32</v>
      </c>
      <c r="BGP6" s="181" t="s">
        <v>817</v>
      </c>
      <c r="BGQ6" s="545" t="s">
        <v>816</v>
      </c>
      <c r="BGR6" s="545"/>
      <c r="BGS6" s="545"/>
      <c r="BGT6" s="545"/>
      <c r="BGU6" s="136" t="s">
        <v>168</v>
      </c>
      <c r="BGV6" s="137">
        <v>1</v>
      </c>
      <c r="BGW6" s="137">
        <v>167.32</v>
      </c>
      <c r="BGX6" s="181" t="s">
        <v>817</v>
      </c>
      <c r="BGY6" s="545" t="s">
        <v>816</v>
      </c>
      <c r="BGZ6" s="545"/>
      <c r="BHA6" s="545"/>
      <c r="BHB6" s="545"/>
      <c r="BHC6" s="136" t="s">
        <v>168</v>
      </c>
      <c r="BHD6" s="137">
        <v>1</v>
      </c>
      <c r="BHE6" s="137">
        <v>167.32</v>
      </c>
      <c r="BHF6" s="181" t="s">
        <v>817</v>
      </c>
      <c r="BHG6" s="545" t="s">
        <v>816</v>
      </c>
      <c r="BHH6" s="545"/>
      <c r="BHI6" s="545"/>
      <c r="BHJ6" s="545"/>
      <c r="BHK6" s="136" t="s">
        <v>168</v>
      </c>
      <c r="BHL6" s="137">
        <v>1</v>
      </c>
      <c r="BHM6" s="137">
        <v>167.32</v>
      </c>
      <c r="BHN6" s="181" t="s">
        <v>817</v>
      </c>
      <c r="BHO6" s="545" t="s">
        <v>816</v>
      </c>
      <c r="BHP6" s="545"/>
      <c r="BHQ6" s="545"/>
      <c r="BHR6" s="545"/>
      <c r="BHS6" s="136" t="s">
        <v>168</v>
      </c>
      <c r="BHT6" s="137">
        <v>1</v>
      </c>
      <c r="BHU6" s="137">
        <v>167.32</v>
      </c>
      <c r="BHV6" s="181" t="s">
        <v>817</v>
      </c>
      <c r="BHW6" s="545" t="s">
        <v>816</v>
      </c>
      <c r="BHX6" s="545"/>
      <c r="BHY6" s="545"/>
      <c r="BHZ6" s="545"/>
      <c r="BIA6" s="136" t="s">
        <v>168</v>
      </c>
      <c r="BIB6" s="137">
        <v>1</v>
      </c>
      <c r="BIC6" s="137">
        <v>167.32</v>
      </c>
      <c r="BID6" s="181" t="s">
        <v>817</v>
      </c>
      <c r="BIE6" s="545" t="s">
        <v>816</v>
      </c>
      <c r="BIF6" s="545"/>
      <c r="BIG6" s="545"/>
      <c r="BIH6" s="545"/>
      <c r="BII6" s="136" t="s">
        <v>168</v>
      </c>
      <c r="BIJ6" s="137">
        <v>1</v>
      </c>
      <c r="BIK6" s="137">
        <v>167.32</v>
      </c>
      <c r="BIL6" s="181" t="s">
        <v>817</v>
      </c>
      <c r="BIM6" s="545" t="s">
        <v>816</v>
      </c>
      <c r="BIN6" s="545"/>
      <c r="BIO6" s="545"/>
      <c r="BIP6" s="545"/>
      <c r="BIQ6" s="136" t="s">
        <v>168</v>
      </c>
      <c r="BIR6" s="137">
        <v>1</v>
      </c>
      <c r="BIS6" s="137">
        <v>167.32</v>
      </c>
      <c r="BIT6" s="181" t="s">
        <v>817</v>
      </c>
      <c r="BIU6" s="545" t="s">
        <v>816</v>
      </c>
      <c r="BIV6" s="545"/>
      <c r="BIW6" s="545"/>
      <c r="BIX6" s="545"/>
      <c r="BIY6" s="136" t="s">
        <v>168</v>
      </c>
      <c r="BIZ6" s="137">
        <v>1</v>
      </c>
      <c r="BJA6" s="137">
        <v>167.32</v>
      </c>
      <c r="BJB6" s="181" t="s">
        <v>817</v>
      </c>
      <c r="BJC6" s="545" t="s">
        <v>816</v>
      </c>
      <c r="BJD6" s="545"/>
      <c r="BJE6" s="545"/>
      <c r="BJF6" s="545"/>
      <c r="BJG6" s="136" t="s">
        <v>168</v>
      </c>
      <c r="BJH6" s="137">
        <v>1</v>
      </c>
      <c r="BJI6" s="137">
        <v>167.32</v>
      </c>
      <c r="BJJ6" s="181" t="s">
        <v>817</v>
      </c>
      <c r="BJK6" s="545" t="s">
        <v>816</v>
      </c>
      <c r="BJL6" s="545"/>
      <c r="BJM6" s="545"/>
      <c r="BJN6" s="545"/>
      <c r="BJO6" s="136" t="s">
        <v>168</v>
      </c>
      <c r="BJP6" s="137">
        <v>1</v>
      </c>
      <c r="BJQ6" s="137">
        <v>167.32</v>
      </c>
      <c r="BJR6" s="181" t="s">
        <v>817</v>
      </c>
      <c r="BJS6" s="545" t="s">
        <v>816</v>
      </c>
      <c r="BJT6" s="545"/>
      <c r="BJU6" s="545"/>
      <c r="BJV6" s="545"/>
      <c r="BJW6" s="136" t="s">
        <v>168</v>
      </c>
      <c r="BJX6" s="137">
        <v>1</v>
      </c>
      <c r="BJY6" s="137">
        <v>167.32</v>
      </c>
      <c r="BJZ6" s="181" t="s">
        <v>817</v>
      </c>
      <c r="BKA6" s="545" t="s">
        <v>816</v>
      </c>
      <c r="BKB6" s="545"/>
      <c r="BKC6" s="545"/>
      <c r="BKD6" s="545"/>
      <c r="BKE6" s="136" t="s">
        <v>168</v>
      </c>
      <c r="BKF6" s="137">
        <v>1</v>
      </c>
      <c r="BKG6" s="137">
        <v>167.32</v>
      </c>
      <c r="BKH6" s="181" t="s">
        <v>817</v>
      </c>
      <c r="BKI6" s="545" t="s">
        <v>816</v>
      </c>
      <c r="BKJ6" s="545"/>
      <c r="BKK6" s="545"/>
      <c r="BKL6" s="545"/>
      <c r="BKM6" s="136" t="s">
        <v>168</v>
      </c>
      <c r="BKN6" s="137">
        <v>1</v>
      </c>
      <c r="BKO6" s="137">
        <v>167.32</v>
      </c>
      <c r="BKP6" s="181" t="s">
        <v>817</v>
      </c>
      <c r="BKQ6" s="545" t="s">
        <v>816</v>
      </c>
      <c r="BKR6" s="545"/>
      <c r="BKS6" s="545"/>
      <c r="BKT6" s="545"/>
      <c r="BKU6" s="136" t="s">
        <v>168</v>
      </c>
      <c r="BKV6" s="137">
        <v>1</v>
      </c>
      <c r="BKW6" s="137">
        <v>167.32</v>
      </c>
      <c r="BKX6" s="181" t="s">
        <v>817</v>
      </c>
      <c r="BKY6" s="545" t="s">
        <v>816</v>
      </c>
      <c r="BKZ6" s="545"/>
      <c r="BLA6" s="545"/>
      <c r="BLB6" s="545"/>
      <c r="BLC6" s="136" t="s">
        <v>168</v>
      </c>
      <c r="BLD6" s="137">
        <v>1</v>
      </c>
      <c r="BLE6" s="137">
        <v>167.32</v>
      </c>
      <c r="BLF6" s="181" t="s">
        <v>817</v>
      </c>
      <c r="BLG6" s="545" t="s">
        <v>816</v>
      </c>
      <c r="BLH6" s="545"/>
      <c r="BLI6" s="545"/>
      <c r="BLJ6" s="545"/>
      <c r="BLK6" s="136" t="s">
        <v>168</v>
      </c>
      <c r="BLL6" s="137">
        <v>1</v>
      </c>
      <c r="BLM6" s="137">
        <v>167.32</v>
      </c>
      <c r="BLN6" s="181" t="s">
        <v>817</v>
      </c>
      <c r="BLO6" s="545" t="s">
        <v>816</v>
      </c>
      <c r="BLP6" s="545"/>
      <c r="BLQ6" s="545"/>
      <c r="BLR6" s="545"/>
      <c r="BLS6" s="136" t="s">
        <v>168</v>
      </c>
      <c r="BLT6" s="137">
        <v>1</v>
      </c>
      <c r="BLU6" s="137">
        <v>167.32</v>
      </c>
      <c r="BLV6" s="181" t="s">
        <v>817</v>
      </c>
      <c r="BLW6" s="545" t="s">
        <v>816</v>
      </c>
      <c r="BLX6" s="545"/>
      <c r="BLY6" s="545"/>
      <c r="BLZ6" s="545"/>
      <c r="BMA6" s="136" t="s">
        <v>168</v>
      </c>
      <c r="BMB6" s="137">
        <v>1</v>
      </c>
      <c r="BMC6" s="137">
        <v>167.32</v>
      </c>
      <c r="BMD6" s="181" t="s">
        <v>817</v>
      </c>
      <c r="BME6" s="545" t="s">
        <v>816</v>
      </c>
      <c r="BMF6" s="545"/>
      <c r="BMG6" s="545"/>
      <c r="BMH6" s="545"/>
      <c r="BMI6" s="136" t="s">
        <v>168</v>
      </c>
      <c r="BMJ6" s="137">
        <v>1</v>
      </c>
      <c r="BMK6" s="137">
        <v>167.32</v>
      </c>
      <c r="BML6" s="181" t="s">
        <v>817</v>
      </c>
      <c r="BMM6" s="545" t="s">
        <v>816</v>
      </c>
      <c r="BMN6" s="545"/>
      <c r="BMO6" s="545"/>
      <c r="BMP6" s="545"/>
      <c r="BMQ6" s="136" t="s">
        <v>168</v>
      </c>
      <c r="BMR6" s="137">
        <v>1</v>
      </c>
      <c r="BMS6" s="137">
        <v>167.32</v>
      </c>
      <c r="BMT6" s="181" t="s">
        <v>817</v>
      </c>
      <c r="BMU6" s="545" t="s">
        <v>816</v>
      </c>
      <c r="BMV6" s="545"/>
      <c r="BMW6" s="545"/>
      <c r="BMX6" s="545"/>
      <c r="BMY6" s="136" t="s">
        <v>168</v>
      </c>
      <c r="BMZ6" s="137">
        <v>1</v>
      </c>
      <c r="BNA6" s="137">
        <v>167.32</v>
      </c>
      <c r="BNB6" s="181" t="s">
        <v>817</v>
      </c>
      <c r="BNC6" s="545" t="s">
        <v>816</v>
      </c>
      <c r="BND6" s="545"/>
      <c r="BNE6" s="545"/>
      <c r="BNF6" s="545"/>
      <c r="BNG6" s="136" t="s">
        <v>168</v>
      </c>
      <c r="BNH6" s="137">
        <v>1</v>
      </c>
      <c r="BNI6" s="137">
        <v>167.32</v>
      </c>
      <c r="BNJ6" s="181" t="s">
        <v>817</v>
      </c>
      <c r="BNK6" s="545" t="s">
        <v>816</v>
      </c>
      <c r="BNL6" s="545"/>
      <c r="BNM6" s="545"/>
      <c r="BNN6" s="545"/>
      <c r="BNO6" s="136" t="s">
        <v>168</v>
      </c>
      <c r="BNP6" s="137">
        <v>1</v>
      </c>
      <c r="BNQ6" s="137">
        <v>167.32</v>
      </c>
      <c r="BNR6" s="181" t="s">
        <v>817</v>
      </c>
      <c r="BNS6" s="545" t="s">
        <v>816</v>
      </c>
      <c r="BNT6" s="545"/>
      <c r="BNU6" s="545"/>
      <c r="BNV6" s="545"/>
      <c r="BNW6" s="136" t="s">
        <v>168</v>
      </c>
      <c r="BNX6" s="137">
        <v>1</v>
      </c>
      <c r="BNY6" s="137">
        <v>167.32</v>
      </c>
      <c r="BNZ6" s="181" t="s">
        <v>817</v>
      </c>
      <c r="BOA6" s="545" t="s">
        <v>816</v>
      </c>
      <c r="BOB6" s="545"/>
      <c r="BOC6" s="545"/>
      <c r="BOD6" s="545"/>
      <c r="BOE6" s="136" t="s">
        <v>168</v>
      </c>
      <c r="BOF6" s="137">
        <v>1</v>
      </c>
      <c r="BOG6" s="137">
        <v>167.32</v>
      </c>
      <c r="BOH6" s="181" t="s">
        <v>817</v>
      </c>
      <c r="BOI6" s="545" t="s">
        <v>816</v>
      </c>
      <c r="BOJ6" s="545"/>
      <c r="BOK6" s="545"/>
      <c r="BOL6" s="545"/>
      <c r="BOM6" s="136" t="s">
        <v>168</v>
      </c>
      <c r="BON6" s="137">
        <v>1</v>
      </c>
      <c r="BOO6" s="137">
        <v>167.32</v>
      </c>
      <c r="BOP6" s="181" t="s">
        <v>817</v>
      </c>
      <c r="BOQ6" s="545" t="s">
        <v>816</v>
      </c>
      <c r="BOR6" s="545"/>
      <c r="BOS6" s="545"/>
      <c r="BOT6" s="545"/>
      <c r="BOU6" s="136" t="s">
        <v>168</v>
      </c>
      <c r="BOV6" s="137">
        <v>1</v>
      </c>
      <c r="BOW6" s="137">
        <v>167.32</v>
      </c>
      <c r="BOX6" s="181" t="s">
        <v>817</v>
      </c>
      <c r="BOY6" s="545" t="s">
        <v>816</v>
      </c>
      <c r="BOZ6" s="545"/>
      <c r="BPA6" s="545"/>
      <c r="BPB6" s="545"/>
      <c r="BPC6" s="136" t="s">
        <v>168</v>
      </c>
      <c r="BPD6" s="137">
        <v>1</v>
      </c>
      <c r="BPE6" s="137">
        <v>167.32</v>
      </c>
      <c r="BPF6" s="181" t="s">
        <v>817</v>
      </c>
      <c r="BPG6" s="545" t="s">
        <v>816</v>
      </c>
      <c r="BPH6" s="545"/>
      <c r="BPI6" s="545"/>
      <c r="BPJ6" s="545"/>
      <c r="BPK6" s="136" t="s">
        <v>168</v>
      </c>
      <c r="BPL6" s="137">
        <v>1</v>
      </c>
      <c r="BPM6" s="137">
        <v>167.32</v>
      </c>
      <c r="BPN6" s="181" t="s">
        <v>817</v>
      </c>
      <c r="BPO6" s="545" t="s">
        <v>816</v>
      </c>
      <c r="BPP6" s="545"/>
      <c r="BPQ6" s="545"/>
      <c r="BPR6" s="545"/>
      <c r="BPS6" s="136" t="s">
        <v>168</v>
      </c>
      <c r="BPT6" s="137">
        <v>1</v>
      </c>
      <c r="BPU6" s="137">
        <v>167.32</v>
      </c>
      <c r="BPV6" s="181" t="s">
        <v>817</v>
      </c>
      <c r="BPW6" s="545" t="s">
        <v>816</v>
      </c>
      <c r="BPX6" s="545"/>
      <c r="BPY6" s="545"/>
      <c r="BPZ6" s="545"/>
      <c r="BQA6" s="136" t="s">
        <v>168</v>
      </c>
      <c r="BQB6" s="137">
        <v>1</v>
      </c>
      <c r="BQC6" s="137">
        <v>167.32</v>
      </c>
      <c r="BQD6" s="181" t="s">
        <v>817</v>
      </c>
      <c r="BQE6" s="545" t="s">
        <v>816</v>
      </c>
      <c r="BQF6" s="545"/>
      <c r="BQG6" s="545"/>
      <c r="BQH6" s="545"/>
      <c r="BQI6" s="136" t="s">
        <v>168</v>
      </c>
      <c r="BQJ6" s="137">
        <v>1</v>
      </c>
      <c r="BQK6" s="137">
        <v>167.32</v>
      </c>
      <c r="BQL6" s="181" t="s">
        <v>817</v>
      </c>
      <c r="BQM6" s="545" t="s">
        <v>816</v>
      </c>
      <c r="BQN6" s="545"/>
      <c r="BQO6" s="545"/>
      <c r="BQP6" s="545"/>
      <c r="BQQ6" s="136" t="s">
        <v>168</v>
      </c>
      <c r="BQR6" s="137">
        <v>1</v>
      </c>
      <c r="BQS6" s="137">
        <v>167.32</v>
      </c>
      <c r="BQT6" s="181" t="s">
        <v>817</v>
      </c>
      <c r="BQU6" s="545" t="s">
        <v>816</v>
      </c>
      <c r="BQV6" s="545"/>
      <c r="BQW6" s="545"/>
      <c r="BQX6" s="545"/>
      <c r="BQY6" s="136" t="s">
        <v>168</v>
      </c>
      <c r="BQZ6" s="137">
        <v>1</v>
      </c>
      <c r="BRA6" s="137">
        <v>167.32</v>
      </c>
      <c r="BRB6" s="181" t="s">
        <v>817</v>
      </c>
      <c r="BRC6" s="545" t="s">
        <v>816</v>
      </c>
      <c r="BRD6" s="545"/>
      <c r="BRE6" s="545"/>
      <c r="BRF6" s="545"/>
      <c r="BRG6" s="136" t="s">
        <v>168</v>
      </c>
      <c r="BRH6" s="137">
        <v>1</v>
      </c>
      <c r="BRI6" s="137">
        <v>167.32</v>
      </c>
      <c r="BRJ6" s="181" t="s">
        <v>817</v>
      </c>
      <c r="BRK6" s="545" t="s">
        <v>816</v>
      </c>
      <c r="BRL6" s="545"/>
      <c r="BRM6" s="545"/>
      <c r="BRN6" s="545"/>
      <c r="BRO6" s="136" t="s">
        <v>168</v>
      </c>
      <c r="BRP6" s="137">
        <v>1</v>
      </c>
      <c r="BRQ6" s="137">
        <v>167.32</v>
      </c>
      <c r="BRR6" s="181" t="s">
        <v>817</v>
      </c>
      <c r="BRS6" s="545" t="s">
        <v>816</v>
      </c>
      <c r="BRT6" s="545"/>
      <c r="BRU6" s="545"/>
      <c r="BRV6" s="545"/>
      <c r="BRW6" s="136" t="s">
        <v>168</v>
      </c>
      <c r="BRX6" s="137">
        <v>1</v>
      </c>
      <c r="BRY6" s="137">
        <v>167.32</v>
      </c>
      <c r="BRZ6" s="181" t="s">
        <v>817</v>
      </c>
      <c r="BSA6" s="545" t="s">
        <v>816</v>
      </c>
      <c r="BSB6" s="545"/>
      <c r="BSC6" s="545"/>
      <c r="BSD6" s="545"/>
      <c r="BSE6" s="136" t="s">
        <v>168</v>
      </c>
      <c r="BSF6" s="137">
        <v>1</v>
      </c>
      <c r="BSG6" s="137">
        <v>167.32</v>
      </c>
      <c r="BSH6" s="181" t="s">
        <v>817</v>
      </c>
      <c r="BSI6" s="545" t="s">
        <v>816</v>
      </c>
      <c r="BSJ6" s="545"/>
      <c r="BSK6" s="545"/>
      <c r="BSL6" s="545"/>
      <c r="BSM6" s="136" t="s">
        <v>168</v>
      </c>
      <c r="BSN6" s="137">
        <v>1</v>
      </c>
      <c r="BSO6" s="137">
        <v>167.32</v>
      </c>
      <c r="BSP6" s="181" t="s">
        <v>817</v>
      </c>
      <c r="BSQ6" s="545" t="s">
        <v>816</v>
      </c>
      <c r="BSR6" s="545"/>
      <c r="BSS6" s="545"/>
      <c r="BST6" s="545"/>
      <c r="BSU6" s="136" t="s">
        <v>168</v>
      </c>
      <c r="BSV6" s="137">
        <v>1</v>
      </c>
      <c r="BSW6" s="137">
        <v>167.32</v>
      </c>
      <c r="BSX6" s="181" t="s">
        <v>817</v>
      </c>
      <c r="BSY6" s="545" t="s">
        <v>816</v>
      </c>
      <c r="BSZ6" s="545"/>
      <c r="BTA6" s="545"/>
      <c r="BTB6" s="545"/>
      <c r="BTC6" s="136" t="s">
        <v>168</v>
      </c>
      <c r="BTD6" s="137">
        <v>1</v>
      </c>
      <c r="BTE6" s="137">
        <v>167.32</v>
      </c>
      <c r="BTF6" s="181" t="s">
        <v>817</v>
      </c>
      <c r="BTG6" s="545" t="s">
        <v>816</v>
      </c>
      <c r="BTH6" s="545"/>
      <c r="BTI6" s="545"/>
      <c r="BTJ6" s="545"/>
      <c r="BTK6" s="136" t="s">
        <v>168</v>
      </c>
      <c r="BTL6" s="137">
        <v>1</v>
      </c>
      <c r="BTM6" s="137">
        <v>167.32</v>
      </c>
      <c r="BTN6" s="181" t="s">
        <v>817</v>
      </c>
      <c r="BTO6" s="545" t="s">
        <v>816</v>
      </c>
      <c r="BTP6" s="545"/>
      <c r="BTQ6" s="545"/>
      <c r="BTR6" s="545"/>
      <c r="BTS6" s="136" t="s">
        <v>168</v>
      </c>
      <c r="BTT6" s="137">
        <v>1</v>
      </c>
      <c r="BTU6" s="137">
        <v>167.32</v>
      </c>
      <c r="BTV6" s="181" t="s">
        <v>817</v>
      </c>
      <c r="BTW6" s="545" t="s">
        <v>816</v>
      </c>
      <c r="BTX6" s="545"/>
      <c r="BTY6" s="545"/>
      <c r="BTZ6" s="545"/>
      <c r="BUA6" s="136" t="s">
        <v>168</v>
      </c>
      <c r="BUB6" s="137">
        <v>1</v>
      </c>
      <c r="BUC6" s="137">
        <v>167.32</v>
      </c>
      <c r="BUD6" s="181" t="s">
        <v>817</v>
      </c>
      <c r="BUE6" s="545" t="s">
        <v>816</v>
      </c>
      <c r="BUF6" s="545"/>
      <c r="BUG6" s="545"/>
      <c r="BUH6" s="545"/>
      <c r="BUI6" s="136" t="s">
        <v>168</v>
      </c>
      <c r="BUJ6" s="137">
        <v>1</v>
      </c>
      <c r="BUK6" s="137">
        <v>167.32</v>
      </c>
      <c r="BUL6" s="181" t="s">
        <v>817</v>
      </c>
      <c r="BUM6" s="545" t="s">
        <v>816</v>
      </c>
      <c r="BUN6" s="545"/>
      <c r="BUO6" s="545"/>
      <c r="BUP6" s="545"/>
      <c r="BUQ6" s="136" t="s">
        <v>168</v>
      </c>
      <c r="BUR6" s="137">
        <v>1</v>
      </c>
      <c r="BUS6" s="137">
        <v>167.32</v>
      </c>
      <c r="BUT6" s="181" t="s">
        <v>817</v>
      </c>
      <c r="BUU6" s="545" t="s">
        <v>816</v>
      </c>
      <c r="BUV6" s="545"/>
      <c r="BUW6" s="545"/>
      <c r="BUX6" s="545"/>
      <c r="BUY6" s="136" t="s">
        <v>168</v>
      </c>
      <c r="BUZ6" s="137">
        <v>1</v>
      </c>
      <c r="BVA6" s="137">
        <v>167.32</v>
      </c>
      <c r="BVB6" s="181" t="s">
        <v>817</v>
      </c>
      <c r="BVC6" s="545" t="s">
        <v>816</v>
      </c>
      <c r="BVD6" s="545"/>
      <c r="BVE6" s="545"/>
      <c r="BVF6" s="545"/>
      <c r="BVG6" s="136" t="s">
        <v>168</v>
      </c>
      <c r="BVH6" s="137">
        <v>1</v>
      </c>
      <c r="BVI6" s="137">
        <v>167.32</v>
      </c>
      <c r="BVJ6" s="181" t="s">
        <v>817</v>
      </c>
      <c r="BVK6" s="545" t="s">
        <v>816</v>
      </c>
      <c r="BVL6" s="545"/>
      <c r="BVM6" s="545"/>
      <c r="BVN6" s="545"/>
      <c r="BVO6" s="136" t="s">
        <v>168</v>
      </c>
      <c r="BVP6" s="137">
        <v>1</v>
      </c>
      <c r="BVQ6" s="137">
        <v>167.32</v>
      </c>
      <c r="BVR6" s="181" t="s">
        <v>817</v>
      </c>
      <c r="BVS6" s="545" t="s">
        <v>816</v>
      </c>
      <c r="BVT6" s="545"/>
      <c r="BVU6" s="545"/>
      <c r="BVV6" s="545"/>
      <c r="BVW6" s="136" t="s">
        <v>168</v>
      </c>
      <c r="BVX6" s="137">
        <v>1</v>
      </c>
      <c r="BVY6" s="137">
        <v>167.32</v>
      </c>
      <c r="BVZ6" s="181" t="s">
        <v>817</v>
      </c>
      <c r="BWA6" s="545" t="s">
        <v>816</v>
      </c>
      <c r="BWB6" s="545"/>
      <c r="BWC6" s="545"/>
      <c r="BWD6" s="545"/>
      <c r="BWE6" s="136" t="s">
        <v>168</v>
      </c>
      <c r="BWF6" s="137">
        <v>1</v>
      </c>
      <c r="BWG6" s="137">
        <v>167.32</v>
      </c>
      <c r="BWH6" s="181" t="s">
        <v>817</v>
      </c>
      <c r="BWI6" s="545" t="s">
        <v>816</v>
      </c>
      <c r="BWJ6" s="545"/>
      <c r="BWK6" s="545"/>
      <c r="BWL6" s="545"/>
      <c r="BWM6" s="136" t="s">
        <v>168</v>
      </c>
      <c r="BWN6" s="137">
        <v>1</v>
      </c>
      <c r="BWO6" s="137">
        <v>167.32</v>
      </c>
      <c r="BWP6" s="181" t="s">
        <v>817</v>
      </c>
      <c r="BWQ6" s="545" t="s">
        <v>816</v>
      </c>
      <c r="BWR6" s="545"/>
      <c r="BWS6" s="545"/>
      <c r="BWT6" s="545"/>
      <c r="BWU6" s="136" t="s">
        <v>168</v>
      </c>
      <c r="BWV6" s="137">
        <v>1</v>
      </c>
      <c r="BWW6" s="137">
        <v>167.32</v>
      </c>
      <c r="BWX6" s="181" t="s">
        <v>817</v>
      </c>
      <c r="BWY6" s="545" t="s">
        <v>816</v>
      </c>
      <c r="BWZ6" s="545"/>
      <c r="BXA6" s="545"/>
      <c r="BXB6" s="545"/>
      <c r="BXC6" s="136" t="s">
        <v>168</v>
      </c>
      <c r="BXD6" s="137">
        <v>1</v>
      </c>
      <c r="BXE6" s="137">
        <v>167.32</v>
      </c>
      <c r="BXF6" s="181" t="s">
        <v>817</v>
      </c>
      <c r="BXG6" s="545" t="s">
        <v>816</v>
      </c>
      <c r="BXH6" s="545"/>
      <c r="BXI6" s="545"/>
      <c r="BXJ6" s="545"/>
      <c r="BXK6" s="136" t="s">
        <v>168</v>
      </c>
      <c r="BXL6" s="137">
        <v>1</v>
      </c>
      <c r="BXM6" s="137">
        <v>167.32</v>
      </c>
      <c r="BXN6" s="181" t="s">
        <v>817</v>
      </c>
      <c r="BXO6" s="545" t="s">
        <v>816</v>
      </c>
      <c r="BXP6" s="545"/>
      <c r="BXQ6" s="545"/>
      <c r="BXR6" s="545"/>
      <c r="BXS6" s="136" t="s">
        <v>168</v>
      </c>
      <c r="BXT6" s="137">
        <v>1</v>
      </c>
      <c r="BXU6" s="137">
        <v>167.32</v>
      </c>
      <c r="BXV6" s="181" t="s">
        <v>817</v>
      </c>
      <c r="BXW6" s="545" t="s">
        <v>816</v>
      </c>
      <c r="BXX6" s="545"/>
      <c r="BXY6" s="545"/>
      <c r="BXZ6" s="545"/>
      <c r="BYA6" s="136" t="s">
        <v>168</v>
      </c>
      <c r="BYB6" s="137">
        <v>1</v>
      </c>
      <c r="BYC6" s="137">
        <v>167.32</v>
      </c>
      <c r="BYD6" s="181" t="s">
        <v>817</v>
      </c>
      <c r="BYE6" s="545" t="s">
        <v>816</v>
      </c>
      <c r="BYF6" s="545"/>
      <c r="BYG6" s="545"/>
      <c r="BYH6" s="545"/>
      <c r="BYI6" s="136" t="s">
        <v>168</v>
      </c>
      <c r="BYJ6" s="137">
        <v>1</v>
      </c>
      <c r="BYK6" s="137">
        <v>167.32</v>
      </c>
      <c r="BYL6" s="181" t="s">
        <v>817</v>
      </c>
      <c r="BYM6" s="545" t="s">
        <v>816</v>
      </c>
      <c r="BYN6" s="545"/>
      <c r="BYO6" s="545"/>
      <c r="BYP6" s="545"/>
      <c r="BYQ6" s="136" t="s">
        <v>168</v>
      </c>
      <c r="BYR6" s="137">
        <v>1</v>
      </c>
      <c r="BYS6" s="137">
        <v>167.32</v>
      </c>
      <c r="BYT6" s="181" t="s">
        <v>817</v>
      </c>
      <c r="BYU6" s="545" t="s">
        <v>816</v>
      </c>
      <c r="BYV6" s="545"/>
      <c r="BYW6" s="545"/>
      <c r="BYX6" s="545"/>
      <c r="BYY6" s="136" t="s">
        <v>168</v>
      </c>
      <c r="BYZ6" s="137">
        <v>1</v>
      </c>
      <c r="BZA6" s="137">
        <v>167.32</v>
      </c>
      <c r="BZB6" s="181" t="s">
        <v>817</v>
      </c>
      <c r="BZC6" s="545" t="s">
        <v>816</v>
      </c>
      <c r="BZD6" s="545"/>
      <c r="BZE6" s="545"/>
      <c r="BZF6" s="545"/>
      <c r="BZG6" s="136" t="s">
        <v>168</v>
      </c>
      <c r="BZH6" s="137">
        <v>1</v>
      </c>
      <c r="BZI6" s="137">
        <v>167.32</v>
      </c>
      <c r="BZJ6" s="181" t="s">
        <v>817</v>
      </c>
      <c r="BZK6" s="545" t="s">
        <v>816</v>
      </c>
      <c r="BZL6" s="545"/>
      <c r="BZM6" s="545"/>
      <c r="BZN6" s="545"/>
      <c r="BZO6" s="136" t="s">
        <v>168</v>
      </c>
      <c r="BZP6" s="137">
        <v>1</v>
      </c>
      <c r="BZQ6" s="137">
        <v>167.32</v>
      </c>
      <c r="BZR6" s="181" t="s">
        <v>817</v>
      </c>
      <c r="BZS6" s="545" t="s">
        <v>816</v>
      </c>
      <c r="BZT6" s="545"/>
      <c r="BZU6" s="545"/>
      <c r="BZV6" s="545"/>
      <c r="BZW6" s="136" t="s">
        <v>168</v>
      </c>
      <c r="BZX6" s="137">
        <v>1</v>
      </c>
      <c r="BZY6" s="137">
        <v>167.32</v>
      </c>
      <c r="BZZ6" s="181" t="s">
        <v>817</v>
      </c>
      <c r="CAA6" s="545" t="s">
        <v>816</v>
      </c>
      <c r="CAB6" s="545"/>
      <c r="CAC6" s="545"/>
      <c r="CAD6" s="545"/>
      <c r="CAE6" s="136" t="s">
        <v>168</v>
      </c>
      <c r="CAF6" s="137">
        <v>1</v>
      </c>
      <c r="CAG6" s="137">
        <v>167.32</v>
      </c>
      <c r="CAH6" s="181" t="s">
        <v>817</v>
      </c>
      <c r="CAI6" s="545" t="s">
        <v>816</v>
      </c>
      <c r="CAJ6" s="545"/>
      <c r="CAK6" s="545"/>
      <c r="CAL6" s="545"/>
      <c r="CAM6" s="136" t="s">
        <v>168</v>
      </c>
      <c r="CAN6" s="137">
        <v>1</v>
      </c>
      <c r="CAO6" s="137">
        <v>167.32</v>
      </c>
      <c r="CAP6" s="181" t="s">
        <v>817</v>
      </c>
      <c r="CAQ6" s="545" t="s">
        <v>816</v>
      </c>
      <c r="CAR6" s="545"/>
      <c r="CAS6" s="545"/>
      <c r="CAT6" s="545"/>
      <c r="CAU6" s="136" t="s">
        <v>168</v>
      </c>
      <c r="CAV6" s="137">
        <v>1</v>
      </c>
      <c r="CAW6" s="137">
        <v>167.32</v>
      </c>
      <c r="CAX6" s="181" t="s">
        <v>817</v>
      </c>
      <c r="CAY6" s="545" t="s">
        <v>816</v>
      </c>
      <c r="CAZ6" s="545"/>
      <c r="CBA6" s="545"/>
      <c r="CBB6" s="545"/>
      <c r="CBC6" s="136" t="s">
        <v>168</v>
      </c>
      <c r="CBD6" s="137">
        <v>1</v>
      </c>
      <c r="CBE6" s="137">
        <v>167.32</v>
      </c>
      <c r="CBF6" s="181" t="s">
        <v>817</v>
      </c>
      <c r="CBG6" s="545" t="s">
        <v>816</v>
      </c>
      <c r="CBH6" s="545"/>
      <c r="CBI6" s="545"/>
      <c r="CBJ6" s="545"/>
      <c r="CBK6" s="136" t="s">
        <v>168</v>
      </c>
      <c r="CBL6" s="137">
        <v>1</v>
      </c>
      <c r="CBM6" s="137">
        <v>167.32</v>
      </c>
      <c r="CBN6" s="181" t="s">
        <v>817</v>
      </c>
      <c r="CBO6" s="545" t="s">
        <v>816</v>
      </c>
      <c r="CBP6" s="545"/>
      <c r="CBQ6" s="545"/>
      <c r="CBR6" s="545"/>
      <c r="CBS6" s="136" t="s">
        <v>168</v>
      </c>
      <c r="CBT6" s="137">
        <v>1</v>
      </c>
      <c r="CBU6" s="137">
        <v>167.32</v>
      </c>
      <c r="CBV6" s="181" t="s">
        <v>817</v>
      </c>
      <c r="CBW6" s="545" t="s">
        <v>816</v>
      </c>
      <c r="CBX6" s="545"/>
      <c r="CBY6" s="545"/>
      <c r="CBZ6" s="545"/>
      <c r="CCA6" s="136" t="s">
        <v>168</v>
      </c>
      <c r="CCB6" s="137">
        <v>1</v>
      </c>
      <c r="CCC6" s="137">
        <v>167.32</v>
      </c>
      <c r="CCD6" s="181" t="s">
        <v>817</v>
      </c>
      <c r="CCE6" s="545" t="s">
        <v>816</v>
      </c>
      <c r="CCF6" s="545"/>
      <c r="CCG6" s="545"/>
      <c r="CCH6" s="545"/>
      <c r="CCI6" s="136" t="s">
        <v>168</v>
      </c>
      <c r="CCJ6" s="137">
        <v>1</v>
      </c>
      <c r="CCK6" s="137">
        <v>167.32</v>
      </c>
      <c r="CCL6" s="181" t="s">
        <v>817</v>
      </c>
      <c r="CCM6" s="545" t="s">
        <v>816</v>
      </c>
      <c r="CCN6" s="545"/>
      <c r="CCO6" s="545"/>
      <c r="CCP6" s="545"/>
      <c r="CCQ6" s="136" t="s">
        <v>168</v>
      </c>
      <c r="CCR6" s="137">
        <v>1</v>
      </c>
      <c r="CCS6" s="137">
        <v>167.32</v>
      </c>
      <c r="CCT6" s="181" t="s">
        <v>817</v>
      </c>
      <c r="CCU6" s="545" t="s">
        <v>816</v>
      </c>
      <c r="CCV6" s="545"/>
      <c r="CCW6" s="545"/>
      <c r="CCX6" s="545"/>
      <c r="CCY6" s="136" t="s">
        <v>168</v>
      </c>
      <c r="CCZ6" s="137">
        <v>1</v>
      </c>
      <c r="CDA6" s="137">
        <v>167.32</v>
      </c>
      <c r="CDB6" s="181" t="s">
        <v>817</v>
      </c>
      <c r="CDC6" s="545" t="s">
        <v>816</v>
      </c>
      <c r="CDD6" s="545"/>
      <c r="CDE6" s="545"/>
      <c r="CDF6" s="545"/>
      <c r="CDG6" s="136" t="s">
        <v>168</v>
      </c>
      <c r="CDH6" s="137">
        <v>1</v>
      </c>
      <c r="CDI6" s="137">
        <v>167.32</v>
      </c>
      <c r="CDJ6" s="181" t="s">
        <v>817</v>
      </c>
      <c r="CDK6" s="545" t="s">
        <v>816</v>
      </c>
      <c r="CDL6" s="545"/>
      <c r="CDM6" s="545"/>
      <c r="CDN6" s="545"/>
      <c r="CDO6" s="136" t="s">
        <v>168</v>
      </c>
      <c r="CDP6" s="137">
        <v>1</v>
      </c>
      <c r="CDQ6" s="137">
        <v>167.32</v>
      </c>
      <c r="CDR6" s="181" t="s">
        <v>817</v>
      </c>
      <c r="CDS6" s="545" t="s">
        <v>816</v>
      </c>
      <c r="CDT6" s="545"/>
      <c r="CDU6" s="545"/>
      <c r="CDV6" s="545"/>
      <c r="CDW6" s="136" t="s">
        <v>168</v>
      </c>
      <c r="CDX6" s="137">
        <v>1</v>
      </c>
      <c r="CDY6" s="137">
        <v>167.32</v>
      </c>
      <c r="CDZ6" s="181" t="s">
        <v>817</v>
      </c>
      <c r="CEA6" s="545" t="s">
        <v>816</v>
      </c>
      <c r="CEB6" s="545"/>
      <c r="CEC6" s="545"/>
      <c r="CED6" s="545"/>
      <c r="CEE6" s="136" t="s">
        <v>168</v>
      </c>
      <c r="CEF6" s="137">
        <v>1</v>
      </c>
      <c r="CEG6" s="137">
        <v>167.32</v>
      </c>
      <c r="CEH6" s="181" t="s">
        <v>817</v>
      </c>
      <c r="CEI6" s="545" t="s">
        <v>816</v>
      </c>
      <c r="CEJ6" s="545"/>
      <c r="CEK6" s="545"/>
      <c r="CEL6" s="545"/>
      <c r="CEM6" s="136" t="s">
        <v>168</v>
      </c>
      <c r="CEN6" s="137">
        <v>1</v>
      </c>
      <c r="CEO6" s="137">
        <v>167.32</v>
      </c>
      <c r="CEP6" s="181" t="s">
        <v>817</v>
      </c>
      <c r="CEQ6" s="545" t="s">
        <v>816</v>
      </c>
      <c r="CER6" s="545"/>
      <c r="CES6" s="545"/>
      <c r="CET6" s="545"/>
      <c r="CEU6" s="136" t="s">
        <v>168</v>
      </c>
      <c r="CEV6" s="137">
        <v>1</v>
      </c>
      <c r="CEW6" s="137">
        <v>167.32</v>
      </c>
      <c r="CEX6" s="181" t="s">
        <v>817</v>
      </c>
      <c r="CEY6" s="545" t="s">
        <v>816</v>
      </c>
      <c r="CEZ6" s="545"/>
      <c r="CFA6" s="545"/>
      <c r="CFB6" s="545"/>
      <c r="CFC6" s="136" t="s">
        <v>168</v>
      </c>
      <c r="CFD6" s="137">
        <v>1</v>
      </c>
      <c r="CFE6" s="137">
        <v>167.32</v>
      </c>
      <c r="CFF6" s="181" t="s">
        <v>817</v>
      </c>
      <c r="CFG6" s="545" t="s">
        <v>816</v>
      </c>
      <c r="CFH6" s="545"/>
      <c r="CFI6" s="545"/>
      <c r="CFJ6" s="545"/>
      <c r="CFK6" s="136" t="s">
        <v>168</v>
      </c>
      <c r="CFL6" s="137">
        <v>1</v>
      </c>
      <c r="CFM6" s="137">
        <v>167.32</v>
      </c>
      <c r="CFN6" s="181" t="s">
        <v>817</v>
      </c>
      <c r="CFO6" s="545" t="s">
        <v>816</v>
      </c>
      <c r="CFP6" s="545"/>
      <c r="CFQ6" s="545"/>
      <c r="CFR6" s="545"/>
      <c r="CFS6" s="136" t="s">
        <v>168</v>
      </c>
      <c r="CFT6" s="137">
        <v>1</v>
      </c>
      <c r="CFU6" s="137">
        <v>167.32</v>
      </c>
      <c r="CFV6" s="181" t="s">
        <v>817</v>
      </c>
      <c r="CFW6" s="545" t="s">
        <v>816</v>
      </c>
      <c r="CFX6" s="545"/>
      <c r="CFY6" s="545"/>
      <c r="CFZ6" s="545"/>
      <c r="CGA6" s="136" t="s">
        <v>168</v>
      </c>
      <c r="CGB6" s="137">
        <v>1</v>
      </c>
      <c r="CGC6" s="137">
        <v>167.32</v>
      </c>
      <c r="CGD6" s="181" t="s">
        <v>817</v>
      </c>
      <c r="CGE6" s="545" t="s">
        <v>816</v>
      </c>
      <c r="CGF6" s="545"/>
      <c r="CGG6" s="545"/>
      <c r="CGH6" s="545"/>
      <c r="CGI6" s="136" t="s">
        <v>168</v>
      </c>
      <c r="CGJ6" s="137">
        <v>1</v>
      </c>
      <c r="CGK6" s="137">
        <v>167.32</v>
      </c>
      <c r="CGL6" s="181" t="s">
        <v>817</v>
      </c>
      <c r="CGM6" s="545" t="s">
        <v>816</v>
      </c>
      <c r="CGN6" s="545"/>
      <c r="CGO6" s="545"/>
      <c r="CGP6" s="545"/>
      <c r="CGQ6" s="136" t="s">
        <v>168</v>
      </c>
      <c r="CGR6" s="137">
        <v>1</v>
      </c>
      <c r="CGS6" s="137">
        <v>167.32</v>
      </c>
      <c r="CGT6" s="181" t="s">
        <v>817</v>
      </c>
      <c r="CGU6" s="545" t="s">
        <v>816</v>
      </c>
      <c r="CGV6" s="545"/>
      <c r="CGW6" s="545"/>
      <c r="CGX6" s="545"/>
      <c r="CGY6" s="136" t="s">
        <v>168</v>
      </c>
      <c r="CGZ6" s="137">
        <v>1</v>
      </c>
      <c r="CHA6" s="137">
        <v>167.32</v>
      </c>
      <c r="CHB6" s="181" t="s">
        <v>817</v>
      </c>
      <c r="CHC6" s="545" t="s">
        <v>816</v>
      </c>
      <c r="CHD6" s="545"/>
      <c r="CHE6" s="545"/>
      <c r="CHF6" s="545"/>
      <c r="CHG6" s="136" t="s">
        <v>168</v>
      </c>
      <c r="CHH6" s="137">
        <v>1</v>
      </c>
      <c r="CHI6" s="137">
        <v>167.32</v>
      </c>
      <c r="CHJ6" s="181" t="s">
        <v>817</v>
      </c>
      <c r="CHK6" s="545" t="s">
        <v>816</v>
      </c>
      <c r="CHL6" s="545"/>
      <c r="CHM6" s="545"/>
      <c r="CHN6" s="545"/>
      <c r="CHO6" s="136" t="s">
        <v>168</v>
      </c>
      <c r="CHP6" s="137">
        <v>1</v>
      </c>
      <c r="CHQ6" s="137">
        <v>167.32</v>
      </c>
      <c r="CHR6" s="181" t="s">
        <v>817</v>
      </c>
      <c r="CHS6" s="545" t="s">
        <v>816</v>
      </c>
      <c r="CHT6" s="545"/>
      <c r="CHU6" s="545"/>
      <c r="CHV6" s="545"/>
      <c r="CHW6" s="136" t="s">
        <v>168</v>
      </c>
      <c r="CHX6" s="137">
        <v>1</v>
      </c>
      <c r="CHY6" s="137">
        <v>167.32</v>
      </c>
      <c r="CHZ6" s="181" t="s">
        <v>817</v>
      </c>
      <c r="CIA6" s="545" t="s">
        <v>816</v>
      </c>
      <c r="CIB6" s="545"/>
      <c r="CIC6" s="545"/>
      <c r="CID6" s="545"/>
      <c r="CIE6" s="136" t="s">
        <v>168</v>
      </c>
      <c r="CIF6" s="137">
        <v>1</v>
      </c>
      <c r="CIG6" s="137">
        <v>167.32</v>
      </c>
      <c r="CIH6" s="181" t="s">
        <v>817</v>
      </c>
      <c r="CII6" s="545" t="s">
        <v>816</v>
      </c>
      <c r="CIJ6" s="545"/>
      <c r="CIK6" s="545"/>
      <c r="CIL6" s="545"/>
      <c r="CIM6" s="136" t="s">
        <v>168</v>
      </c>
      <c r="CIN6" s="137">
        <v>1</v>
      </c>
      <c r="CIO6" s="137">
        <v>167.32</v>
      </c>
      <c r="CIP6" s="181" t="s">
        <v>817</v>
      </c>
      <c r="CIQ6" s="545" t="s">
        <v>816</v>
      </c>
      <c r="CIR6" s="545"/>
      <c r="CIS6" s="545"/>
      <c r="CIT6" s="545"/>
      <c r="CIU6" s="136" t="s">
        <v>168</v>
      </c>
      <c r="CIV6" s="137">
        <v>1</v>
      </c>
      <c r="CIW6" s="137">
        <v>167.32</v>
      </c>
      <c r="CIX6" s="181" t="s">
        <v>817</v>
      </c>
      <c r="CIY6" s="545" t="s">
        <v>816</v>
      </c>
      <c r="CIZ6" s="545"/>
      <c r="CJA6" s="545"/>
      <c r="CJB6" s="545"/>
      <c r="CJC6" s="136" t="s">
        <v>168</v>
      </c>
      <c r="CJD6" s="137">
        <v>1</v>
      </c>
      <c r="CJE6" s="137">
        <v>167.32</v>
      </c>
      <c r="CJF6" s="181" t="s">
        <v>817</v>
      </c>
      <c r="CJG6" s="545" t="s">
        <v>816</v>
      </c>
      <c r="CJH6" s="545"/>
      <c r="CJI6" s="545"/>
      <c r="CJJ6" s="545"/>
      <c r="CJK6" s="136" t="s">
        <v>168</v>
      </c>
      <c r="CJL6" s="137">
        <v>1</v>
      </c>
      <c r="CJM6" s="137">
        <v>167.32</v>
      </c>
      <c r="CJN6" s="181" t="s">
        <v>817</v>
      </c>
      <c r="CJO6" s="545" t="s">
        <v>816</v>
      </c>
      <c r="CJP6" s="545"/>
      <c r="CJQ6" s="545"/>
      <c r="CJR6" s="545"/>
      <c r="CJS6" s="136" t="s">
        <v>168</v>
      </c>
      <c r="CJT6" s="137">
        <v>1</v>
      </c>
      <c r="CJU6" s="137">
        <v>167.32</v>
      </c>
      <c r="CJV6" s="181" t="s">
        <v>817</v>
      </c>
      <c r="CJW6" s="545" t="s">
        <v>816</v>
      </c>
      <c r="CJX6" s="545"/>
      <c r="CJY6" s="545"/>
      <c r="CJZ6" s="545"/>
      <c r="CKA6" s="136" t="s">
        <v>168</v>
      </c>
      <c r="CKB6" s="137">
        <v>1</v>
      </c>
      <c r="CKC6" s="137">
        <v>167.32</v>
      </c>
      <c r="CKD6" s="181" t="s">
        <v>817</v>
      </c>
      <c r="CKE6" s="545" t="s">
        <v>816</v>
      </c>
      <c r="CKF6" s="545"/>
      <c r="CKG6" s="545"/>
      <c r="CKH6" s="545"/>
      <c r="CKI6" s="136" t="s">
        <v>168</v>
      </c>
      <c r="CKJ6" s="137">
        <v>1</v>
      </c>
      <c r="CKK6" s="137">
        <v>167.32</v>
      </c>
      <c r="CKL6" s="181" t="s">
        <v>817</v>
      </c>
      <c r="CKM6" s="545" t="s">
        <v>816</v>
      </c>
      <c r="CKN6" s="545"/>
      <c r="CKO6" s="545"/>
      <c r="CKP6" s="545"/>
      <c r="CKQ6" s="136" t="s">
        <v>168</v>
      </c>
      <c r="CKR6" s="137">
        <v>1</v>
      </c>
      <c r="CKS6" s="137">
        <v>167.32</v>
      </c>
      <c r="CKT6" s="181" t="s">
        <v>817</v>
      </c>
      <c r="CKU6" s="545" t="s">
        <v>816</v>
      </c>
      <c r="CKV6" s="545"/>
      <c r="CKW6" s="545"/>
      <c r="CKX6" s="545"/>
      <c r="CKY6" s="136" t="s">
        <v>168</v>
      </c>
      <c r="CKZ6" s="137">
        <v>1</v>
      </c>
      <c r="CLA6" s="137">
        <v>167.32</v>
      </c>
      <c r="CLB6" s="181" t="s">
        <v>817</v>
      </c>
      <c r="CLC6" s="545" t="s">
        <v>816</v>
      </c>
      <c r="CLD6" s="545"/>
      <c r="CLE6" s="545"/>
      <c r="CLF6" s="545"/>
      <c r="CLG6" s="136" t="s">
        <v>168</v>
      </c>
      <c r="CLH6" s="137">
        <v>1</v>
      </c>
      <c r="CLI6" s="137">
        <v>167.32</v>
      </c>
      <c r="CLJ6" s="181" t="s">
        <v>817</v>
      </c>
      <c r="CLK6" s="545" t="s">
        <v>816</v>
      </c>
      <c r="CLL6" s="545"/>
      <c r="CLM6" s="545"/>
      <c r="CLN6" s="545"/>
      <c r="CLO6" s="136" t="s">
        <v>168</v>
      </c>
      <c r="CLP6" s="137">
        <v>1</v>
      </c>
      <c r="CLQ6" s="137">
        <v>167.32</v>
      </c>
      <c r="CLR6" s="181" t="s">
        <v>817</v>
      </c>
      <c r="CLS6" s="545" t="s">
        <v>816</v>
      </c>
      <c r="CLT6" s="545"/>
      <c r="CLU6" s="545"/>
      <c r="CLV6" s="545"/>
      <c r="CLW6" s="136" t="s">
        <v>168</v>
      </c>
      <c r="CLX6" s="137">
        <v>1</v>
      </c>
      <c r="CLY6" s="137">
        <v>167.32</v>
      </c>
      <c r="CLZ6" s="181" t="s">
        <v>817</v>
      </c>
      <c r="CMA6" s="545" t="s">
        <v>816</v>
      </c>
      <c r="CMB6" s="545"/>
      <c r="CMC6" s="545"/>
      <c r="CMD6" s="545"/>
      <c r="CME6" s="136" t="s">
        <v>168</v>
      </c>
      <c r="CMF6" s="137">
        <v>1</v>
      </c>
      <c r="CMG6" s="137">
        <v>167.32</v>
      </c>
      <c r="CMH6" s="181" t="s">
        <v>817</v>
      </c>
      <c r="CMI6" s="545" t="s">
        <v>816</v>
      </c>
      <c r="CMJ6" s="545"/>
      <c r="CMK6" s="545"/>
      <c r="CML6" s="545"/>
      <c r="CMM6" s="136" t="s">
        <v>168</v>
      </c>
      <c r="CMN6" s="137">
        <v>1</v>
      </c>
      <c r="CMO6" s="137">
        <v>167.32</v>
      </c>
      <c r="CMP6" s="181" t="s">
        <v>817</v>
      </c>
      <c r="CMQ6" s="545" t="s">
        <v>816</v>
      </c>
      <c r="CMR6" s="545"/>
      <c r="CMS6" s="545"/>
      <c r="CMT6" s="545"/>
      <c r="CMU6" s="136" t="s">
        <v>168</v>
      </c>
      <c r="CMV6" s="137">
        <v>1</v>
      </c>
      <c r="CMW6" s="137">
        <v>167.32</v>
      </c>
      <c r="CMX6" s="181" t="s">
        <v>817</v>
      </c>
      <c r="CMY6" s="545" t="s">
        <v>816</v>
      </c>
      <c r="CMZ6" s="545"/>
      <c r="CNA6" s="545"/>
      <c r="CNB6" s="545"/>
      <c r="CNC6" s="136" t="s">
        <v>168</v>
      </c>
      <c r="CND6" s="137">
        <v>1</v>
      </c>
      <c r="CNE6" s="137">
        <v>167.32</v>
      </c>
      <c r="CNF6" s="181" t="s">
        <v>817</v>
      </c>
      <c r="CNG6" s="545" t="s">
        <v>816</v>
      </c>
      <c r="CNH6" s="545"/>
      <c r="CNI6" s="545"/>
      <c r="CNJ6" s="545"/>
      <c r="CNK6" s="136" t="s">
        <v>168</v>
      </c>
      <c r="CNL6" s="137">
        <v>1</v>
      </c>
      <c r="CNM6" s="137">
        <v>167.32</v>
      </c>
      <c r="CNN6" s="181" t="s">
        <v>817</v>
      </c>
      <c r="CNO6" s="545" t="s">
        <v>816</v>
      </c>
      <c r="CNP6" s="545"/>
      <c r="CNQ6" s="545"/>
      <c r="CNR6" s="545"/>
      <c r="CNS6" s="136" t="s">
        <v>168</v>
      </c>
      <c r="CNT6" s="137">
        <v>1</v>
      </c>
      <c r="CNU6" s="137">
        <v>167.32</v>
      </c>
      <c r="CNV6" s="181" t="s">
        <v>817</v>
      </c>
      <c r="CNW6" s="545" t="s">
        <v>816</v>
      </c>
      <c r="CNX6" s="545"/>
      <c r="CNY6" s="545"/>
      <c r="CNZ6" s="545"/>
      <c r="COA6" s="136" t="s">
        <v>168</v>
      </c>
      <c r="COB6" s="137">
        <v>1</v>
      </c>
      <c r="COC6" s="137">
        <v>167.32</v>
      </c>
      <c r="COD6" s="181" t="s">
        <v>817</v>
      </c>
      <c r="COE6" s="545" t="s">
        <v>816</v>
      </c>
      <c r="COF6" s="545"/>
      <c r="COG6" s="545"/>
      <c r="COH6" s="545"/>
      <c r="COI6" s="136" t="s">
        <v>168</v>
      </c>
      <c r="COJ6" s="137">
        <v>1</v>
      </c>
      <c r="COK6" s="137">
        <v>167.32</v>
      </c>
      <c r="COL6" s="181" t="s">
        <v>817</v>
      </c>
      <c r="COM6" s="545" t="s">
        <v>816</v>
      </c>
      <c r="CON6" s="545"/>
      <c r="COO6" s="545"/>
      <c r="COP6" s="545"/>
      <c r="COQ6" s="136" t="s">
        <v>168</v>
      </c>
      <c r="COR6" s="137">
        <v>1</v>
      </c>
      <c r="COS6" s="137">
        <v>167.32</v>
      </c>
      <c r="COT6" s="181" t="s">
        <v>817</v>
      </c>
      <c r="COU6" s="545" t="s">
        <v>816</v>
      </c>
      <c r="COV6" s="545"/>
      <c r="COW6" s="545"/>
      <c r="COX6" s="545"/>
      <c r="COY6" s="136" t="s">
        <v>168</v>
      </c>
      <c r="COZ6" s="137">
        <v>1</v>
      </c>
      <c r="CPA6" s="137">
        <v>167.32</v>
      </c>
      <c r="CPB6" s="181" t="s">
        <v>817</v>
      </c>
      <c r="CPC6" s="545" t="s">
        <v>816</v>
      </c>
      <c r="CPD6" s="545"/>
      <c r="CPE6" s="545"/>
      <c r="CPF6" s="545"/>
      <c r="CPG6" s="136" t="s">
        <v>168</v>
      </c>
      <c r="CPH6" s="137">
        <v>1</v>
      </c>
      <c r="CPI6" s="137">
        <v>167.32</v>
      </c>
      <c r="CPJ6" s="181" t="s">
        <v>817</v>
      </c>
      <c r="CPK6" s="545" t="s">
        <v>816</v>
      </c>
      <c r="CPL6" s="545"/>
      <c r="CPM6" s="545"/>
      <c r="CPN6" s="545"/>
      <c r="CPO6" s="136" t="s">
        <v>168</v>
      </c>
      <c r="CPP6" s="137">
        <v>1</v>
      </c>
      <c r="CPQ6" s="137">
        <v>167.32</v>
      </c>
      <c r="CPR6" s="181" t="s">
        <v>817</v>
      </c>
      <c r="CPS6" s="545" t="s">
        <v>816</v>
      </c>
      <c r="CPT6" s="545"/>
      <c r="CPU6" s="545"/>
      <c r="CPV6" s="545"/>
      <c r="CPW6" s="136" t="s">
        <v>168</v>
      </c>
      <c r="CPX6" s="137">
        <v>1</v>
      </c>
      <c r="CPY6" s="137">
        <v>167.32</v>
      </c>
      <c r="CPZ6" s="181" t="s">
        <v>817</v>
      </c>
      <c r="CQA6" s="545" t="s">
        <v>816</v>
      </c>
      <c r="CQB6" s="545"/>
      <c r="CQC6" s="545"/>
      <c r="CQD6" s="545"/>
      <c r="CQE6" s="136" t="s">
        <v>168</v>
      </c>
      <c r="CQF6" s="137">
        <v>1</v>
      </c>
      <c r="CQG6" s="137">
        <v>167.32</v>
      </c>
      <c r="CQH6" s="181" t="s">
        <v>817</v>
      </c>
      <c r="CQI6" s="545" t="s">
        <v>816</v>
      </c>
      <c r="CQJ6" s="545"/>
      <c r="CQK6" s="545"/>
      <c r="CQL6" s="545"/>
      <c r="CQM6" s="136" t="s">
        <v>168</v>
      </c>
      <c r="CQN6" s="137">
        <v>1</v>
      </c>
      <c r="CQO6" s="137">
        <v>167.32</v>
      </c>
      <c r="CQP6" s="181" t="s">
        <v>817</v>
      </c>
      <c r="CQQ6" s="545" t="s">
        <v>816</v>
      </c>
      <c r="CQR6" s="545"/>
      <c r="CQS6" s="545"/>
      <c r="CQT6" s="545"/>
      <c r="CQU6" s="136" t="s">
        <v>168</v>
      </c>
      <c r="CQV6" s="137">
        <v>1</v>
      </c>
      <c r="CQW6" s="137">
        <v>167.32</v>
      </c>
      <c r="CQX6" s="181" t="s">
        <v>817</v>
      </c>
      <c r="CQY6" s="545" t="s">
        <v>816</v>
      </c>
      <c r="CQZ6" s="545"/>
      <c r="CRA6" s="545"/>
      <c r="CRB6" s="545"/>
      <c r="CRC6" s="136" t="s">
        <v>168</v>
      </c>
      <c r="CRD6" s="137">
        <v>1</v>
      </c>
      <c r="CRE6" s="137">
        <v>167.32</v>
      </c>
      <c r="CRF6" s="181" t="s">
        <v>817</v>
      </c>
      <c r="CRG6" s="545" t="s">
        <v>816</v>
      </c>
      <c r="CRH6" s="545"/>
      <c r="CRI6" s="545"/>
      <c r="CRJ6" s="545"/>
      <c r="CRK6" s="136" t="s">
        <v>168</v>
      </c>
      <c r="CRL6" s="137">
        <v>1</v>
      </c>
      <c r="CRM6" s="137">
        <v>167.32</v>
      </c>
      <c r="CRN6" s="181" t="s">
        <v>817</v>
      </c>
      <c r="CRO6" s="545" t="s">
        <v>816</v>
      </c>
      <c r="CRP6" s="545"/>
      <c r="CRQ6" s="545"/>
      <c r="CRR6" s="545"/>
      <c r="CRS6" s="136" t="s">
        <v>168</v>
      </c>
      <c r="CRT6" s="137">
        <v>1</v>
      </c>
      <c r="CRU6" s="137">
        <v>167.32</v>
      </c>
      <c r="CRV6" s="181" t="s">
        <v>817</v>
      </c>
      <c r="CRW6" s="545" t="s">
        <v>816</v>
      </c>
      <c r="CRX6" s="545"/>
      <c r="CRY6" s="545"/>
      <c r="CRZ6" s="545"/>
      <c r="CSA6" s="136" t="s">
        <v>168</v>
      </c>
      <c r="CSB6" s="137">
        <v>1</v>
      </c>
      <c r="CSC6" s="137">
        <v>167.32</v>
      </c>
      <c r="CSD6" s="181" t="s">
        <v>817</v>
      </c>
      <c r="CSE6" s="545" t="s">
        <v>816</v>
      </c>
      <c r="CSF6" s="545"/>
      <c r="CSG6" s="545"/>
      <c r="CSH6" s="545"/>
      <c r="CSI6" s="136" t="s">
        <v>168</v>
      </c>
      <c r="CSJ6" s="137">
        <v>1</v>
      </c>
      <c r="CSK6" s="137">
        <v>167.32</v>
      </c>
      <c r="CSL6" s="181" t="s">
        <v>817</v>
      </c>
      <c r="CSM6" s="545" t="s">
        <v>816</v>
      </c>
      <c r="CSN6" s="545"/>
      <c r="CSO6" s="545"/>
      <c r="CSP6" s="545"/>
      <c r="CSQ6" s="136" t="s">
        <v>168</v>
      </c>
      <c r="CSR6" s="137">
        <v>1</v>
      </c>
      <c r="CSS6" s="137">
        <v>167.32</v>
      </c>
      <c r="CST6" s="181" t="s">
        <v>817</v>
      </c>
      <c r="CSU6" s="545" t="s">
        <v>816</v>
      </c>
      <c r="CSV6" s="545"/>
      <c r="CSW6" s="545"/>
      <c r="CSX6" s="545"/>
      <c r="CSY6" s="136" t="s">
        <v>168</v>
      </c>
      <c r="CSZ6" s="137">
        <v>1</v>
      </c>
      <c r="CTA6" s="137">
        <v>167.32</v>
      </c>
      <c r="CTB6" s="181" t="s">
        <v>817</v>
      </c>
      <c r="CTC6" s="545" t="s">
        <v>816</v>
      </c>
      <c r="CTD6" s="545"/>
      <c r="CTE6" s="545"/>
      <c r="CTF6" s="545"/>
      <c r="CTG6" s="136" t="s">
        <v>168</v>
      </c>
      <c r="CTH6" s="137">
        <v>1</v>
      </c>
      <c r="CTI6" s="137">
        <v>167.32</v>
      </c>
      <c r="CTJ6" s="181" t="s">
        <v>817</v>
      </c>
      <c r="CTK6" s="545" t="s">
        <v>816</v>
      </c>
      <c r="CTL6" s="545"/>
      <c r="CTM6" s="545"/>
      <c r="CTN6" s="545"/>
      <c r="CTO6" s="136" t="s">
        <v>168</v>
      </c>
      <c r="CTP6" s="137">
        <v>1</v>
      </c>
      <c r="CTQ6" s="137">
        <v>167.32</v>
      </c>
      <c r="CTR6" s="181" t="s">
        <v>817</v>
      </c>
      <c r="CTS6" s="545" t="s">
        <v>816</v>
      </c>
      <c r="CTT6" s="545"/>
      <c r="CTU6" s="545"/>
      <c r="CTV6" s="545"/>
      <c r="CTW6" s="136" t="s">
        <v>168</v>
      </c>
      <c r="CTX6" s="137">
        <v>1</v>
      </c>
      <c r="CTY6" s="137">
        <v>167.32</v>
      </c>
      <c r="CTZ6" s="181" t="s">
        <v>817</v>
      </c>
      <c r="CUA6" s="545" t="s">
        <v>816</v>
      </c>
      <c r="CUB6" s="545"/>
      <c r="CUC6" s="545"/>
      <c r="CUD6" s="545"/>
      <c r="CUE6" s="136" t="s">
        <v>168</v>
      </c>
      <c r="CUF6" s="137">
        <v>1</v>
      </c>
      <c r="CUG6" s="137">
        <v>167.32</v>
      </c>
      <c r="CUH6" s="181" t="s">
        <v>817</v>
      </c>
      <c r="CUI6" s="545" t="s">
        <v>816</v>
      </c>
      <c r="CUJ6" s="545"/>
      <c r="CUK6" s="545"/>
      <c r="CUL6" s="545"/>
      <c r="CUM6" s="136" t="s">
        <v>168</v>
      </c>
      <c r="CUN6" s="137">
        <v>1</v>
      </c>
      <c r="CUO6" s="137">
        <v>167.32</v>
      </c>
      <c r="CUP6" s="181" t="s">
        <v>817</v>
      </c>
      <c r="CUQ6" s="545" t="s">
        <v>816</v>
      </c>
      <c r="CUR6" s="545"/>
      <c r="CUS6" s="545"/>
      <c r="CUT6" s="545"/>
      <c r="CUU6" s="136" t="s">
        <v>168</v>
      </c>
      <c r="CUV6" s="137">
        <v>1</v>
      </c>
      <c r="CUW6" s="137">
        <v>167.32</v>
      </c>
      <c r="CUX6" s="181" t="s">
        <v>817</v>
      </c>
      <c r="CUY6" s="545" t="s">
        <v>816</v>
      </c>
      <c r="CUZ6" s="545"/>
      <c r="CVA6" s="545"/>
      <c r="CVB6" s="545"/>
      <c r="CVC6" s="136" t="s">
        <v>168</v>
      </c>
      <c r="CVD6" s="137">
        <v>1</v>
      </c>
      <c r="CVE6" s="137">
        <v>167.32</v>
      </c>
      <c r="CVF6" s="181" t="s">
        <v>817</v>
      </c>
      <c r="CVG6" s="545" t="s">
        <v>816</v>
      </c>
      <c r="CVH6" s="545"/>
      <c r="CVI6" s="545"/>
      <c r="CVJ6" s="545"/>
      <c r="CVK6" s="136" t="s">
        <v>168</v>
      </c>
      <c r="CVL6" s="137">
        <v>1</v>
      </c>
      <c r="CVM6" s="137">
        <v>167.32</v>
      </c>
      <c r="CVN6" s="181" t="s">
        <v>817</v>
      </c>
      <c r="CVO6" s="545" t="s">
        <v>816</v>
      </c>
      <c r="CVP6" s="545"/>
      <c r="CVQ6" s="545"/>
      <c r="CVR6" s="545"/>
      <c r="CVS6" s="136" t="s">
        <v>168</v>
      </c>
      <c r="CVT6" s="137">
        <v>1</v>
      </c>
      <c r="CVU6" s="137">
        <v>167.32</v>
      </c>
      <c r="CVV6" s="181" t="s">
        <v>817</v>
      </c>
      <c r="CVW6" s="545" t="s">
        <v>816</v>
      </c>
      <c r="CVX6" s="545"/>
      <c r="CVY6" s="545"/>
      <c r="CVZ6" s="545"/>
      <c r="CWA6" s="136" t="s">
        <v>168</v>
      </c>
      <c r="CWB6" s="137">
        <v>1</v>
      </c>
      <c r="CWC6" s="137">
        <v>167.32</v>
      </c>
      <c r="CWD6" s="181" t="s">
        <v>817</v>
      </c>
      <c r="CWE6" s="545" t="s">
        <v>816</v>
      </c>
      <c r="CWF6" s="545"/>
      <c r="CWG6" s="545"/>
      <c r="CWH6" s="545"/>
      <c r="CWI6" s="136" t="s">
        <v>168</v>
      </c>
      <c r="CWJ6" s="137">
        <v>1</v>
      </c>
      <c r="CWK6" s="137">
        <v>167.32</v>
      </c>
      <c r="CWL6" s="181" t="s">
        <v>817</v>
      </c>
      <c r="CWM6" s="545" t="s">
        <v>816</v>
      </c>
      <c r="CWN6" s="545"/>
      <c r="CWO6" s="545"/>
      <c r="CWP6" s="545"/>
      <c r="CWQ6" s="136" t="s">
        <v>168</v>
      </c>
      <c r="CWR6" s="137">
        <v>1</v>
      </c>
      <c r="CWS6" s="137">
        <v>167.32</v>
      </c>
      <c r="CWT6" s="181" t="s">
        <v>817</v>
      </c>
      <c r="CWU6" s="545" t="s">
        <v>816</v>
      </c>
      <c r="CWV6" s="545"/>
      <c r="CWW6" s="545"/>
      <c r="CWX6" s="545"/>
      <c r="CWY6" s="136" t="s">
        <v>168</v>
      </c>
      <c r="CWZ6" s="137">
        <v>1</v>
      </c>
      <c r="CXA6" s="137">
        <v>167.32</v>
      </c>
      <c r="CXB6" s="181" t="s">
        <v>817</v>
      </c>
      <c r="CXC6" s="545" t="s">
        <v>816</v>
      </c>
      <c r="CXD6" s="545"/>
      <c r="CXE6" s="545"/>
      <c r="CXF6" s="545"/>
      <c r="CXG6" s="136" t="s">
        <v>168</v>
      </c>
      <c r="CXH6" s="137">
        <v>1</v>
      </c>
      <c r="CXI6" s="137">
        <v>167.32</v>
      </c>
      <c r="CXJ6" s="181" t="s">
        <v>817</v>
      </c>
      <c r="CXK6" s="545" t="s">
        <v>816</v>
      </c>
      <c r="CXL6" s="545"/>
      <c r="CXM6" s="545"/>
      <c r="CXN6" s="545"/>
      <c r="CXO6" s="136" t="s">
        <v>168</v>
      </c>
      <c r="CXP6" s="137">
        <v>1</v>
      </c>
      <c r="CXQ6" s="137">
        <v>167.32</v>
      </c>
      <c r="CXR6" s="181" t="s">
        <v>817</v>
      </c>
      <c r="CXS6" s="545" t="s">
        <v>816</v>
      </c>
      <c r="CXT6" s="545"/>
      <c r="CXU6" s="545"/>
      <c r="CXV6" s="545"/>
      <c r="CXW6" s="136" t="s">
        <v>168</v>
      </c>
      <c r="CXX6" s="137">
        <v>1</v>
      </c>
      <c r="CXY6" s="137">
        <v>167.32</v>
      </c>
      <c r="CXZ6" s="181" t="s">
        <v>817</v>
      </c>
      <c r="CYA6" s="545" t="s">
        <v>816</v>
      </c>
      <c r="CYB6" s="545"/>
      <c r="CYC6" s="545"/>
      <c r="CYD6" s="545"/>
      <c r="CYE6" s="136" t="s">
        <v>168</v>
      </c>
      <c r="CYF6" s="137">
        <v>1</v>
      </c>
      <c r="CYG6" s="137">
        <v>167.32</v>
      </c>
      <c r="CYH6" s="181" t="s">
        <v>817</v>
      </c>
      <c r="CYI6" s="545" t="s">
        <v>816</v>
      </c>
      <c r="CYJ6" s="545"/>
      <c r="CYK6" s="545"/>
      <c r="CYL6" s="545"/>
      <c r="CYM6" s="136" t="s">
        <v>168</v>
      </c>
      <c r="CYN6" s="137">
        <v>1</v>
      </c>
      <c r="CYO6" s="137">
        <v>167.32</v>
      </c>
      <c r="CYP6" s="181" t="s">
        <v>817</v>
      </c>
      <c r="CYQ6" s="545" t="s">
        <v>816</v>
      </c>
      <c r="CYR6" s="545"/>
      <c r="CYS6" s="545"/>
      <c r="CYT6" s="545"/>
      <c r="CYU6" s="136" t="s">
        <v>168</v>
      </c>
      <c r="CYV6" s="137">
        <v>1</v>
      </c>
      <c r="CYW6" s="137">
        <v>167.32</v>
      </c>
      <c r="CYX6" s="181" t="s">
        <v>817</v>
      </c>
      <c r="CYY6" s="545" t="s">
        <v>816</v>
      </c>
      <c r="CYZ6" s="545"/>
      <c r="CZA6" s="545"/>
      <c r="CZB6" s="545"/>
      <c r="CZC6" s="136" t="s">
        <v>168</v>
      </c>
      <c r="CZD6" s="137">
        <v>1</v>
      </c>
      <c r="CZE6" s="137">
        <v>167.32</v>
      </c>
      <c r="CZF6" s="181" t="s">
        <v>817</v>
      </c>
      <c r="CZG6" s="545" t="s">
        <v>816</v>
      </c>
      <c r="CZH6" s="545"/>
      <c r="CZI6" s="545"/>
      <c r="CZJ6" s="545"/>
      <c r="CZK6" s="136" t="s">
        <v>168</v>
      </c>
      <c r="CZL6" s="137">
        <v>1</v>
      </c>
      <c r="CZM6" s="137">
        <v>167.32</v>
      </c>
      <c r="CZN6" s="181" t="s">
        <v>817</v>
      </c>
      <c r="CZO6" s="545" t="s">
        <v>816</v>
      </c>
      <c r="CZP6" s="545"/>
      <c r="CZQ6" s="545"/>
      <c r="CZR6" s="545"/>
      <c r="CZS6" s="136" t="s">
        <v>168</v>
      </c>
      <c r="CZT6" s="137">
        <v>1</v>
      </c>
      <c r="CZU6" s="137">
        <v>167.32</v>
      </c>
      <c r="CZV6" s="181" t="s">
        <v>817</v>
      </c>
      <c r="CZW6" s="545" t="s">
        <v>816</v>
      </c>
      <c r="CZX6" s="545"/>
      <c r="CZY6" s="545"/>
      <c r="CZZ6" s="545"/>
      <c r="DAA6" s="136" t="s">
        <v>168</v>
      </c>
      <c r="DAB6" s="137">
        <v>1</v>
      </c>
      <c r="DAC6" s="137">
        <v>167.32</v>
      </c>
      <c r="DAD6" s="181" t="s">
        <v>817</v>
      </c>
      <c r="DAE6" s="545" t="s">
        <v>816</v>
      </c>
      <c r="DAF6" s="545"/>
      <c r="DAG6" s="545"/>
      <c r="DAH6" s="545"/>
      <c r="DAI6" s="136" t="s">
        <v>168</v>
      </c>
      <c r="DAJ6" s="137">
        <v>1</v>
      </c>
      <c r="DAK6" s="137">
        <v>167.32</v>
      </c>
      <c r="DAL6" s="181" t="s">
        <v>817</v>
      </c>
      <c r="DAM6" s="545" t="s">
        <v>816</v>
      </c>
      <c r="DAN6" s="545"/>
      <c r="DAO6" s="545"/>
      <c r="DAP6" s="545"/>
      <c r="DAQ6" s="136" t="s">
        <v>168</v>
      </c>
      <c r="DAR6" s="137">
        <v>1</v>
      </c>
      <c r="DAS6" s="137">
        <v>167.32</v>
      </c>
      <c r="DAT6" s="181" t="s">
        <v>817</v>
      </c>
      <c r="DAU6" s="545" t="s">
        <v>816</v>
      </c>
      <c r="DAV6" s="545"/>
      <c r="DAW6" s="545"/>
      <c r="DAX6" s="545"/>
      <c r="DAY6" s="136" t="s">
        <v>168</v>
      </c>
      <c r="DAZ6" s="137">
        <v>1</v>
      </c>
      <c r="DBA6" s="137">
        <v>167.32</v>
      </c>
      <c r="DBB6" s="181" t="s">
        <v>817</v>
      </c>
      <c r="DBC6" s="545" t="s">
        <v>816</v>
      </c>
      <c r="DBD6" s="545"/>
      <c r="DBE6" s="545"/>
      <c r="DBF6" s="545"/>
      <c r="DBG6" s="136" t="s">
        <v>168</v>
      </c>
      <c r="DBH6" s="137">
        <v>1</v>
      </c>
      <c r="DBI6" s="137">
        <v>167.32</v>
      </c>
      <c r="DBJ6" s="181" t="s">
        <v>817</v>
      </c>
      <c r="DBK6" s="545" t="s">
        <v>816</v>
      </c>
      <c r="DBL6" s="545"/>
      <c r="DBM6" s="545"/>
      <c r="DBN6" s="545"/>
      <c r="DBO6" s="136" t="s">
        <v>168</v>
      </c>
      <c r="DBP6" s="137">
        <v>1</v>
      </c>
      <c r="DBQ6" s="137">
        <v>167.32</v>
      </c>
      <c r="DBR6" s="181" t="s">
        <v>817</v>
      </c>
      <c r="DBS6" s="545" t="s">
        <v>816</v>
      </c>
      <c r="DBT6" s="545"/>
      <c r="DBU6" s="545"/>
      <c r="DBV6" s="545"/>
      <c r="DBW6" s="136" t="s">
        <v>168</v>
      </c>
      <c r="DBX6" s="137">
        <v>1</v>
      </c>
      <c r="DBY6" s="137">
        <v>167.32</v>
      </c>
      <c r="DBZ6" s="181" t="s">
        <v>817</v>
      </c>
      <c r="DCA6" s="545" t="s">
        <v>816</v>
      </c>
      <c r="DCB6" s="545"/>
      <c r="DCC6" s="545"/>
      <c r="DCD6" s="545"/>
      <c r="DCE6" s="136" t="s">
        <v>168</v>
      </c>
      <c r="DCF6" s="137">
        <v>1</v>
      </c>
      <c r="DCG6" s="137">
        <v>167.32</v>
      </c>
      <c r="DCH6" s="181" t="s">
        <v>817</v>
      </c>
      <c r="DCI6" s="545" t="s">
        <v>816</v>
      </c>
      <c r="DCJ6" s="545"/>
      <c r="DCK6" s="545"/>
      <c r="DCL6" s="545"/>
      <c r="DCM6" s="136" t="s">
        <v>168</v>
      </c>
      <c r="DCN6" s="137">
        <v>1</v>
      </c>
      <c r="DCO6" s="137">
        <v>167.32</v>
      </c>
      <c r="DCP6" s="181" t="s">
        <v>817</v>
      </c>
      <c r="DCQ6" s="545" t="s">
        <v>816</v>
      </c>
      <c r="DCR6" s="545"/>
      <c r="DCS6" s="545"/>
      <c r="DCT6" s="545"/>
      <c r="DCU6" s="136" t="s">
        <v>168</v>
      </c>
      <c r="DCV6" s="137">
        <v>1</v>
      </c>
      <c r="DCW6" s="137">
        <v>167.32</v>
      </c>
      <c r="DCX6" s="181" t="s">
        <v>817</v>
      </c>
      <c r="DCY6" s="545" t="s">
        <v>816</v>
      </c>
      <c r="DCZ6" s="545"/>
      <c r="DDA6" s="545"/>
      <c r="DDB6" s="545"/>
      <c r="DDC6" s="136" t="s">
        <v>168</v>
      </c>
      <c r="DDD6" s="137">
        <v>1</v>
      </c>
      <c r="DDE6" s="137">
        <v>167.32</v>
      </c>
      <c r="DDF6" s="181" t="s">
        <v>817</v>
      </c>
      <c r="DDG6" s="545" t="s">
        <v>816</v>
      </c>
      <c r="DDH6" s="545"/>
      <c r="DDI6" s="545"/>
      <c r="DDJ6" s="545"/>
      <c r="DDK6" s="136" t="s">
        <v>168</v>
      </c>
      <c r="DDL6" s="137">
        <v>1</v>
      </c>
      <c r="DDM6" s="137">
        <v>167.32</v>
      </c>
      <c r="DDN6" s="181" t="s">
        <v>817</v>
      </c>
      <c r="DDO6" s="545" t="s">
        <v>816</v>
      </c>
      <c r="DDP6" s="545"/>
      <c r="DDQ6" s="545"/>
      <c r="DDR6" s="545"/>
      <c r="DDS6" s="136" t="s">
        <v>168</v>
      </c>
      <c r="DDT6" s="137">
        <v>1</v>
      </c>
      <c r="DDU6" s="137">
        <v>167.32</v>
      </c>
      <c r="DDV6" s="181" t="s">
        <v>817</v>
      </c>
      <c r="DDW6" s="545" t="s">
        <v>816</v>
      </c>
      <c r="DDX6" s="545"/>
      <c r="DDY6" s="545"/>
      <c r="DDZ6" s="545"/>
      <c r="DEA6" s="136" t="s">
        <v>168</v>
      </c>
      <c r="DEB6" s="137">
        <v>1</v>
      </c>
      <c r="DEC6" s="137">
        <v>167.32</v>
      </c>
      <c r="DED6" s="181" t="s">
        <v>817</v>
      </c>
      <c r="DEE6" s="545" t="s">
        <v>816</v>
      </c>
      <c r="DEF6" s="545"/>
      <c r="DEG6" s="545"/>
      <c r="DEH6" s="545"/>
      <c r="DEI6" s="136" t="s">
        <v>168</v>
      </c>
      <c r="DEJ6" s="137">
        <v>1</v>
      </c>
      <c r="DEK6" s="137">
        <v>167.32</v>
      </c>
      <c r="DEL6" s="181" t="s">
        <v>817</v>
      </c>
      <c r="DEM6" s="545" t="s">
        <v>816</v>
      </c>
      <c r="DEN6" s="545"/>
      <c r="DEO6" s="545"/>
      <c r="DEP6" s="545"/>
      <c r="DEQ6" s="136" t="s">
        <v>168</v>
      </c>
      <c r="DER6" s="137">
        <v>1</v>
      </c>
      <c r="DES6" s="137">
        <v>167.32</v>
      </c>
      <c r="DET6" s="181" t="s">
        <v>817</v>
      </c>
      <c r="DEU6" s="545" t="s">
        <v>816</v>
      </c>
      <c r="DEV6" s="545"/>
      <c r="DEW6" s="545"/>
      <c r="DEX6" s="545"/>
      <c r="DEY6" s="136" t="s">
        <v>168</v>
      </c>
      <c r="DEZ6" s="137">
        <v>1</v>
      </c>
      <c r="DFA6" s="137">
        <v>167.32</v>
      </c>
      <c r="DFB6" s="181" t="s">
        <v>817</v>
      </c>
      <c r="DFC6" s="545" t="s">
        <v>816</v>
      </c>
      <c r="DFD6" s="545"/>
      <c r="DFE6" s="545"/>
      <c r="DFF6" s="545"/>
      <c r="DFG6" s="136" t="s">
        <v>168</v>
      </c>
      <c r="DFH6" s="137">
        <v>1</v>
      </c>
      <c r="DFI6" s="137">
        <v>167.32</v>
      </c>
      <c r="DFJ6" s="181" t="s">
        <v>817</v>
      </c>
      <c r="DFK6" s="545" t="s">
        <v>816</v>
      </c>
      <c r="DFL6" s="545"/>
      <c r="DFM6" s="545"/>
      <c r="DFN6" s="545"/>
      <c r="DFO6" s="136" t="s">
        <v>168</v>
      </c>
      <c r="DFP6" s="137">
        <v>1</v>
      </c>
      <c r="DFQ6" s="137">
        <v>167.32</v>
      </c>
      <c r="DFR6" s="181" t="s">
        <v>817</v>
      </c>
      <c r="DFS6" s="545" t="s">
        <v>816</v>
      </c>
      <c r="DFT6" s="545"/>
      <c r="DFU6" s="545"/>
      <c r="DFV6" s="545"/>
      <c r="DFW6" s="136" t="s">
        <v>168</v>
      </c>
      <c r="DFX6" s="137">
        <v>1</v>
      </c>
      <c r="DFY6" s="137">
        <v>167.32</v>
      </c>
      <c r="DFZ6" s="181" t="s">
        <v>817</v>
      </c>
      <c r="DGA6" s="545" t="s">
        <v>816</v>
      </c>
      <c r="DGB6" s="545"/>
      <c r="DGC6" s="545"/>
      <c r="DGD6" s="545"/>
      <c r="DGE6" s="136" t="s">
        <v>168</v>
      </c>
      <c r="DGF6" s="137">
        <v>1</v>
      </c>
      <c r="DGG6" s="137">
        <v>167.32</v>
      </c>
      <c r="DGH6" s="181" t="s">
        <v>817</v>
      </c>
      <c r="DGI6" s="545" t="s">
        <v>816</v>
      </c>
      <c r="DGJ6" s="545"/>
      <c r="DGK6" s="545"/>
      <c r="DGL6" s="545"/>
      <c r="DGM6" s="136" t="s">
        <v>168</v>
      </c>
      <c r="DGN6" s="137">
        <v>1</v>
      </c>
      <c r="DGO6" s="137">
        <v>167.32</v>
      </c>
      <c r="DGP6" s="181" t="s">
        <v>817</v>
      </c>
      <c r="DGQ6" s="545" t="s">
        <v>816</v>
      </c>
      <c r="DGR6" s="545"/>
      <c r="DGS6" s="545"/>
      <c r="DGT6" s="545"/>
      <c r="DGU6" s="136" t="s">
        <v>168</v>
      </c>
      <c r="DGV6" s="137">
        <v>1</v>
      </c>
      <c r="DGW6" s="137">
        <v>167.32</v>
      </c>
      <c r="DGX6" s="181" t="s">
        <v>817</v>
      </c>
      <c r="DGY6" s="545" t="s">
        <v>816</v>
      </c>
      <c r="DGZ6" s="545"/>
      <c r="DHA6" s="545"/>
      <c r="DHB6" s="545"/>
      <c r="DHC6" s="136" t="s">
        <v>168</v>
      </c>
      <c r="DHD6" s="137">
        <v>1</v>
      </c>
      <c r="DHE6" s="137">
        <v>167.32</v>
      </c>
      <c r="DHF6" s="181" t="s">
        <v>817</v>
      </c>
      <c r="DHG6" s="545" t="s">
        <v>816</v>
      </c>
      <c r="DHH6" s="545"/>
      <c r="DHI6" s="545"/>
      <c r="DHJ6" s="545"/>
      <c r="DHK6" s="136" t="s">
        <v>168</v>
      </c>
      <c r="DHL6" s="137">
        <v>1</v>
      </c>
      <c r="DHM6" s="137">
        <v>167.32</v>
      </c>
      <c r="DHN6" s="181" t="s">
        <v>817</v>
      </c>
      <c r="DHO6" s="545" t="s">
        <v>816</v>
      </c>
      <c r="DHP6" s="545"/>
      <c r="DHQ6" s="545"/>
      <c r="DHR6" s="545"/>
      <c r="DHS6" s="136" t="s">
        <v>168</v>
      </c>
      <c r="DHT6" s="137">
        <v>1</v>
      </c>
      <c r="DHU6" s="137">
        <v>167.32</v>
      </c>
      <c r="DHV6" s="181" t="s">
        <v>817</v>
      </c>
      <c r="DHW6" s="545" t="s">
        <v>816</v>
      </c>
      <c r="DHX6" s="545"/>
      <c r="DHY6" s="545"/>
      <c r="DHZ6" s="545"/>
      <c r="DIA6" s="136" t="s">
        <v>168</v>
      </c>
      <c r="DIB6" s="137">
        <v>1</v>
      </c>
      <c r="DIC6" s="137">
        <v>167.32</v>
      </c>
      <c r="DID6" s="181" t="s">
        <v>817</v>
      </c>
      <c r="DIE6" s="545" t="s">
        <v>816</v>
      </c>
      <c r="DIF6" s="545"/>
      <c r="DIG6" s="545"/>
      <c r="DIH6" s="545"/>
      <c r="DII6" s="136" t="s">
        <v>168</v>
      </c>
      <c r="DIJ6" s="137">
        <v>1</v>
      </c>
      <c r="DIK6" s="137">
        <v>167.32</v>
      </c>
      <c r="DIL6" s="181" t="s">
        <v>817</v>
      </c>
      <c r="DIM6" s="545" t="s">
        <v>816</v>
      </c>
      <c r="DIN6" s="545"/>
      <c r="DIO6" s="545"/>
      <c r="DIP6" s="545"/>
      <c r="DIQ6" s="136" t="s">
        <v>168</v>
      </c>
      <c r="DIR6" s="137">
        <v>1</v>
      </c>
      <c r="DIS6" s="137">
        <v>167.32</v>
      </c>
      <c r="DIT6" s="181" t="s">
        <v>817</v>
      </c>
      <c r="DIU6" s="545" t="s">
        <v>816</v>
      </c>
      <c r="DIV6" s="545"/>
      <c r="DIW6" s="545"/>
      <c r="DIX6" s="545"/>
      <c r="DIY6" s="136" t="s">
        <v>168</v>
      </c>
      <c r="DIZ6" s="137">
        <v>1</v>
      </c>
      <c r="DJA6" s="137">
        <v>167.32</v>
      </c>
      <c r="DJB6" s="181" t="s">
        <v>817</v>
      </c>
      <c r="DJC6" s="545" t="s">
        <v>816</v>
      </c>
      <c r="DJD6" s="545"/>
      <c r="DJE6" s="545"/>
      <c r="DJF6" s="545"/>
      <c r="DJG6" s="136" t="s">
        <v>168</v>
      </c>
      <c r="DJH6" s="137">
        <v>1</v>
      </c>
      <c r="DJI6" s="137">
        <v>167.32</v>
      </c>
      <c r="DJJ6" s="181" t="s">
        <v>817</v>
      </c>
      <c r="DJK6" s="545" t="s">
        <v>816</v>
      </c>
      <c r="DJL6" s="545"/>
      <c r="DJM6" s="545"/>
      <c r="DJN6" s="545"/>
      <c r="DJO6" s="136" t="s">
        <v>168</v>
      </c>
      <c r="DJP6" s="137">
        <v>1</v>
      </c>
      <c r="DJQ6" s="137">
        <v>167.32</v>
      </c>
      <c r="DJR6" s="181" t="s">
        <v>817</v>
      </c>
      <c r="DJS6" s="545" t="s">
        <v>816</v>
      </c>
      <c r="DJT6" s="545"/>
      <c r="DJU6" s="545"/>
      <c r="DJV6" s="545"/>
      <c r="DJW6" s="136" t="s">
        <v>168</v>
      </c>
      <c r="DJX6" s="137">
        <v>1</v>
      </c>
      <c r="DJY6" s="137">
        <v>167.32</v>
      </c>
      <c r="DJZ6" s="181" t="s">
        <v>817</v>
      </c>
      <c r="DKA6" s="545" t="s">
        <v>816</v>
      </c>
      <c r="DKB6" s="545"/>
      <c r="DKC6" s="545"/>
      <c r="DKD6" s="545"/>
      <c r="DKE6" s="136" t="s">
        <v>168</v>
      </c>
      <c r="DKF6" s="137">
        <v>1</v>
      </c>
      <c r="DKG6" s="137">
        <v>167.32</v>
      </c>
      <c r="DKH6" s="181" t="s">
        <v>817</v>
      </c>
      <c r="DKI6" s="545" t="s">
        <v>816</v>
      </c>
      <c r="DKJ6" s="545"/>
      <c r="DKK6" s="545"/>
      <c r="DKL6" s="545"/>
      <c r="DKM6" s="136" t="s">
        <v>168</v>
      </c>
      <c r="DKN6" s="137">
        <v>1</v>
      </c>
      <c r="DKO6" s="137">
        <v>167.32</v>
      </c>
      <c r="DKP6" s="181" t="s">
        <v>817</v>
      </c>
      <c r="DKQ6" s="545" t="s">
        <v>816</v>
      </c>
      <c r="DKR6" s="545"/>
      <c r="DKS6" s="545"/>
      <c r="DKT6" s="545"/>
      <c r="DKU6" s="136" t="s">
        <v>168</v>
      </c>
      <c r="DKV6" s="137">
        <v>1</v>
      </c>
      <c r="DKW6" s="137">
        <v>167.32</v>
      </c>
      <c r="DKX6" s="181" t="s">
        <v>817</v>
      </c>
      <c r="DKY6" s="545" t="s">
        <v>816</v>
      </c>
      <c r="DKZ6" s="545"/>
      <c r="DLA6" s="545"/>
      <c r="DLB6" s="545"/>
      <c r="DLC6" s="136" t="s">
        <v>168</v>
      </c>
      <c r="DLD6" s="137">
        <v>1</v>
      </c>
      <c r="DLE6" s="137">
        <v>167.32</v>
      </c>
      <c r="DLF6" s="181" t="s">
        <v>817</v>
      </c>
      <c r="DLG6" s="545" t="s">
        <v>816</v>
      </c>
      <c r="DLH6" s="545"/>
      <c r="DLI6" s="545"/>
      <c r="DLJ6" s="545"/>
      <c r="DLK6" s="136" t="s">
        <v>168</v>
      </c>
      <c r="DLL6" s="137">
        <v>1</v>
      </c>
      <c r="DLM6" s="137">
        <v>167.32</v>
      </c>
      <c r="DLN6" s="181" t="s">
        <v>817</v>
      </c>
      <c r="DLO6" s="545" t="s">
        <v>816</v>
      </c>
      <c r="DLP6" s="545"/>
      <c r="DLQ6" s="545"/>
      <c r="DLR6" s="545"/>
      <c r="DLS6" s="136" t="s">
        <v>168</v>
      </c>
      <c r="DLT6" s="137">
        <v>1</v>
      </c>
      <c r="DLU6" s="137">
        <v>167.32</v>
      </c>
      <c r="DLV6" s="181" t="s">
        <v>817</v>
      </c>
      <c r="DLW6" s="545" t="s">
        <v>816</v>
      </c>
      <c r="DLX6" s="545"/>
      <c r="DLY6" s="545"/>
      <c r="DLZ6" s="545"/>
      <c r="DMA6" s="136" t="s">
        <v>168</v>
      </c>
      <c r="DMB6" s="137">
        <v>1</v>
      </c>
      <c r="DMC6" s="137">
        <v>167.32</v>
      </c>
      <c r="DMD6" s="181" t="s">
        <v>817</v>
      </c>
      <c r="DME6" s="545" t="s">
        <v>816</v>
      </c>
      <c r="DMF6" s="545"/>
      <c r="DMG6" s="545"/>
      <c r="DMH6" s="545"/>
      <c r="DMI6" s="136" t="s">
        <v>168</v>
      </c>
      <c r="DMJ6" s="137">
        <v>1</v>
      </c>
      <c r="DMK6" s="137">
        <v>167.32</v>
      </c>
      <c r="DML6" s="181" t="s">
        <v>817</v>
      </c>
      <c r="DMM6" s="545" t="s">
        <v>816</v>
      </c>
      <c r="DMN6" s="545"/>
      <c r="DMO6" s="545"/>
      <c r="DMP6" s="545"/>
      <c r="DMQ6" s="136" t="s">
        <v>168</v>
      </c>
      <c r="DMR6" s="137">
        <v>1</v>
      </c>
      <c r="DMS6" s="137">
        <v>167.32</v>
      </c>
      <c r="DMT6" s="181" t="s">
        <v>817</v>
      </c>
      <c r="DMU6" s="545" t="s">
        <v>816</v>
      </c>
      <c r="DMV6" s="545"/>
      <c r="DMW6" s="545"/>
      <c r="DMX6" s="545"/>
      <c r="DMY6" s="136" t="s">
        <v>168</v>
      </c>
      <c r="DMZ6" s="137">
        <v>1</v>
      </c>
      <c r="DNA6" s="137">
        <v>167.32</v>
      </c>
      <c r="DNB6" s="181" t="s">
        <v>817</v>
      </c>
      <c r="DNC6" s="545" t="s">
        <v>816</v>
      </c>
      <c r="DND6" s="545"/>
      <c r="DNE6" s="545"/>
      <c r="DNF6" s="545"/>
      <c r="DNG6" s="136" t="s">
        <v>168</v>
      </c>
      <c r="DNH6" s="137">
        <v>1</v>
      </c>
      <c r="DNI6" s="137">
        <v>167.32</v>
      </c>
      <c r="DNJ6" s="181" t="s">
        <v>817</v>
      </c>
      <c r="DNK6" s="545" t="s">
        <v>816</v>
      </c>
      <c r="DNL6" s="545"/>
      <c r="DNM6" s="545"/>
      <c r="DNN6" s="545"/>
      <c r="DNO6" s="136" t="s">
        <v>168</v>
      </c>
      <c r="DNP6" s="137">
        <v>1</v>
      </c>
      <c r="DNQ6" s="137">
        <v>167.32</v>
      </c>
      <c r="DNR6" s="181" t="s">
        <v>817</v>
      </c>
      <c r="DNS6" s="545" t="s">
        <v>816</v>
      </c>
      <c r="DNT6" s="545"/>
      <c r="DNU6" s="545"/>
      <c r="DNV6" s="545"/>
      <c r="DNW6" s="136" t="s">
        <v>168</v>
      </c>
      <c r="DNX6" s="137">
        <v>1</v>
      </c>
      <c r="DNY6" s="137">
        <v>167.32</v>
      </c>
      <c r="DNZ6" s="181" t="s">
        <v>817</v>
      </c>
      <c r="DOA6" s="545" t="s">
        <v>816</v>
      </c>
      <c r="DOB6" s="545"/>
      <c r="DOC6" s="545"/>
      <c r="DOD6" s="545"/>
      <c r="DOE6" s="136" t="s">
        <v>168</v>
      </c>
      <c r="DOF6" s="137">
        <v>1</v>
      </c>
      <c r="DOG6" s="137">
        <v>167.32</v>
      </c>
      <c r="DOH6" s="181" t="s">
        <v>817</v>
      </c>
      <c r="DOI6" s="545" t="s">
        <v>816</v>
      </c>
      <c r="DOJ6" s="545"/>
      <c r="DOK6" s="545"/>
      <c r="DOL6" s="545"/>
      <c r="DOM6" s="136" t="s">
        <v>168</v>
      </c>
      <c r="DON6" s="137">
        <v>1</v>
      </c>
      <c r="DOO6" s="137">
        <v>167.32</v>
      </c>
      <c r="DOP6" s="181" t="s">
        <v>817</v>
      </c>
      <c r="DOQ6" s="545" t="s">
        <v>816</v>
      </c>
      <c r="DOR6" s="545"/>
      <c r="DOS6" s="545"/>
      <c r="DOT6" s="545"/>
      <c r="DOU6" s="136" t="s">
        <v>168</v>
      </c>
      <c r="DOV6" s="137">
        <v>1</v>
      </c>
      <c r="DOW6" s="137">
        <v>167.32</v>
      </c>
      <c r="DOX6" s="181" t="s">
        <v>817</v>
      </c>
      <c r="DOY6" s="545" t="s">
        <v>816</v>
      </c>
      <c r="DOZ6" s="545"/>
      <c r="DPA6" s="545"/>
      <c r="DPB6" s="545"/>
      <c r="DPC6" s="136" t="s">
        <v>168</v>
      </c>
      <c r="DPD6" s="137">
        <v>1</v>
      </c>
      <c r="DPE6" s="137">
        <v>167.32</v>
      </c>
      <c r="DPF6" s="181" t="s">
        <v>817</v>
      </c>
      <c r="DPG6" s="545" t="s">
        <v>816</v>
      </c>
      <c r="DPH6" s="545"/>
      <c r="DPI6" s="545"/>
      <c r="DPJ6" s="545"/>
      <c r="DPK6" s="136" t="s">
        <v>168</v>
      </c>
      <c r="DPL6" s="137">
        <v>1</v>
      </c>
      <c r="DPM6" s="137">
        <v>167.32</v>
      </c>
      <c r="DPN6" s="181" t="s">
        <v>817</v>
      </c>
      <c r="DPO6" s="545" t="s">
        <v>816</v>
      </c>
      <c r="DPP6" s="545"/>
      <c r="DPQ6" s="545"/>
      <c r="DPR6" s="545"/>
      <c r="DPS6" s="136" t="s">
        <v>168</v>
      </c>
      <c r="DPT6" s="137">
        <v>1</v>
      </c>
      <c r="DPU6" s="137">
        <v>167.32</v>
      </c>
      <c r="DPV6" s="181" t="s">
        <v>817</v>
      </c>
      <c r="DPW6" s="545" t="s">
        <v>816</v>
      </c>
      <c r="DPX6" s="545"/>
      <c r="DPY6" s="545"/>
      <c r="DPZ6" s="545"/>
      <c r="DQA6" s="136" t="s">
        <v>168</v>
      </c>
      <c r="DQB6" s="137">
        <v>1</v>
      </c>
      <c r="DQC6" s="137">
        <v>167.32</v>
      </c>
      <c r="DQD6" s="181" t="s">
        <v>817</v>
      </c>
      <c r="DQE6" s="545" t="s">
        <v>816</v>
      </c>
      <c r="DQF6" s="545"/>
      <c r="DQG6" s="545"/>
      <c r="DQH6" s="545"/>
      <c r="DQI6" s="136" t="s">
        <v>168</v>
      </c>
      <c r="DQJ6" s="137">
        <v>1</v>
      </c>
      <c r="DQK6" s="137">
        <v>167.32</v>
      </c>
      <c r="DQL6" s="181" t="s">
        <v>817</v>
      </c>
      <c r="DQM6" s="545" t="s">
        <v>816</v>
      </c>
      <c r="DQN6" s="545"/>
      <c r="DQO6" s="545"/>
      <c r="DQP6" s="545"/>
      <c r="DQQ6" s="136" t="s">
        <v>168</v>
      </c>
      <c r="DQR6" s="137">
        <v>1</v>
      </c>
      <c r="DQS6" s="137">
        <v>167.32</v>
      </c>
      <c r="DQT6" s="181" t="s">
        <v>817</v>
      </c>
      <c r="DQU6" s="545" t="s">
        <v>816</v>
      </c>
      <c r="DQV6" s="545"/>
      <c r="DQW6" s="545"/>
      <c r="DQX6" s="545"/>
      <c r="DQY6" s="136" t="s">
        <v>168</v>
      </c>
      <c r="DQZ6" s="137">
        <v>1</v>
      </c>
      <c r="DRA6" s="137">
        <v>167.32</v>
      </c>
      <c r="DRB6" s="181" t="s">
        <v>817</v>
      </c>
      <c r="DRC6" s="545" t="s">
        <v>816</v>
      </c>
      <c r="DRD6" s="545"/>
      <c r="DRE6" s="545"/>
      <c r="DRF6" s="545"/>
      <c r="DRG6" s="136" t="s">
        <v>168</v>
      </c>
      <c r="DRH6" s="137">
        <v>1</v>
      </c>
      <c r="DRI6" s="137">
        <v>167.32</v>
      </c>
      <c r="DRJ6" s="181" t="s">
        <v>817</v>
      </c>
      <c r="DRK6" s="545" t="s">
        <v>816</v>
      </c>
      <c r="DRL6" s="545"/>
      <c r="DRM6" s="545"/>
      <c r="DRN6" s="545"/>
      <c r="DRO6" s="136" t="s">
        <v>168</v>
      </c>
      <c r="DRP6" s="137">
        <v>1</v>
      </c>
      <c r="DRQ6" s="137">
        <v>167.32</v>
      </c>
      <c r="DRR6" s="181" t="s">
        <v>817</v>
      </c>
      <c r="DRS6" s="545" t="s">
        <v>816</v>
      </c>
      <c r="DRT6" s="545"/>
      <c r="DRU6" s="545"/>
      <c r="DRV6" s="545"/>
      <c r="DRW6" s="136" t="s">
        <v>168</v>
      </c>
      <c r="DRX6" s="137">
        <v>1</v>
      </c>
      <c r="DRY6" s="137">
        <v>167.32</v>
      </c>
      <c r="DRZ6" s="181" t="s">
        <v>817</v>
      </c>
      <c r="DSA6" s="545" t="s">
        <v>816</v>
      </c>
      <c r="DSB6" s="545"/>
      <c r="DSC6" s="545"/>
      <c r="DSD6" s="545"/>
      <c r="DSE6" s="136" t="s">
        <v>168</v>
      </c>
      <c r="DSF6" s="137">
        <v>1</v>
      </c>
      <c r="DSG6" s="137">
        <v>167.32</v>
      </c>
      <c r="DSH6" s="181" t="s">
        <v>817</v>
      </c>
      <c r="DSI6" s="545" t="s">
        <v>816</v>
      </c>
      <c r="DSJ6" s="545"/>
      <c r="DSK6" s="545"/>
      <c r="DSL6" s="545"/>
      <c r="DSM6" s="136" t="s">
        <v>168</v>
      </c>
      <c r="DSN6" s="137">
        <v>1</v>
      </c>
      <c r="DSO6" s="137">
        <v>167.32</v>
      </c>
      <c r="DSP6" s="181" t="s">
        <v>817</v>
      </c>
      <c r="DSQ6" s="545" t="s">
        <v>816</v>
      </c>
      <c r="DSR6" s="545"/>
      <c r="DSS6" s="545"/>
      <c r="DST6" s="545"/>
      <c r="DSU6" s="136" t="s">
        <v>168</v>
      </c>
      <c r="DSV6" s="137">
        <v>1</v>
      </c>
      <c r="DSW6" s="137">
        <v>167.32</v>
      </c>
      <c r="DSX6" s="181" t="s">
        <v>817</v>
      </c>
      <c r="DSY6" s="545" t="s">
        <v>816</v>
      </c>
      <c r="DSZ6" s="545"/>
      <c r="DTA6" s="545"/>
      <c r="DTB6" s="545"/>
      <c r="DTC6" s="136" t="s">
        <v>168</v>
      </c>
      <c r="DTD6" s="137">
        <v>1</v>
      </c>
      <c r="DTE6" s="137">
        <v>167.32</v>
      </c>
      <c r="DTF6" s="181" t="s">
        <v>817</v>
      </c>
      <c r="DTG6" s="545" t="s">
        <v>816</v>
      </c>
      <c r="DTH6" s="545"/>
      <c r="DTI6" s="545"/>
      <c r="DTJ6" s="545"/>
      <c r="DTK6" s="136" t="s">
        <v>168</v>
      </c>
      <c r="DTL6" s="137">
        <v>1</v>
      </c>
      <c r="DTM6" s="137">
        <v>167.32</v>
      </c>
      <c r="DTN6" s="181" t="s">
        <v>817</v>
      </c>
      <c r="DTO6" s="545" t="s">
        <v>816</v>
      </c>
      <c r="DTP6" s="545"/>
      <c r="DTQ6" s="545"/>
      <c r="DTR6" s="545"/>
      <c r="DTS6" s="136" t="s">
        <v>168</v>
      </c>
      <c r="DTT6" s="137">
        <v>1</v>
      </c>
      <c r="DTU6" s="137">
        <v>167.32</v>
      </c>
      <c r="DTV6" s="181" t="s">
        <v>817</v>
      </c>
      <c r="DTW6" s="545" t="s">
        <v>816</v>
      </c>
      <c r="DTX6" s="545"/>
      <c r="DTY6" s="545"/>
      <c r="DTZ6" s="545"/>
      <c r="DUA6" s="136" t="s">
        <v>168</v>
      </c>
      <c r="DUB6" s="137">
        <v>1</v>
      </c>
      <c r="DUC6" s="137">
        <v>167.32</v>
      </c>
      <c r="DUD6" s="181" t="s">
        <v>817</v>
      </c>
      <c r="DUE6" s="545" t="s">
        <v>816</v>
      </c>
      <c r="DUF6" s="545"/>
      <c r="DUG6" s="545"/>
      <c r="DUH6" s="545"/>
      <c r="DUI6" s="136" t="s">
        <v>168</v>
      </c>
      <c r="DUJ6" s="137">
        <v>1</v>
      </c>
      <c r="DUK6" s="137">
        <v>167.32</v>
      </c>
      <c r="DUL6" s="181" t="s">
        <v>817</v>
      </c>
      <c r="DUM6" s="545" t="s">
        <v>816</v>
      </c>
      <c r="DUN6" s="545"/>
      <c r="DUO6" s="545"/>
      <c r="DUP6" s="545"/>
      <c r="DUQ6" s="136" t="s">
        <v>168</v>
      </c>
      <c r="DUR6" s="137">
        <v>1</v>
      </c>
      <c r="DUS6" s="137">
        <v>167.32</v>
      </c>
      <c r="DUT6" s="181" t="s">
        <v>817</v>
      </c>
      <c r="DUU6" s="545" t="s">
        <v>816</v>
      </c>
      <c r="DUV6" s="545"/>
      <c r="DUW6" s="545"/>
      <c r="DUX6" s="545"/>
      <c r="DUY6" s="136" t="s">
        <v>168</v>
      </c>
      <c r="DUZ6" s="137">
        <v>1</v>
      </c>
      <c r="DVA6" s="137">
        <v>167.32</v>
      </c>
      <c r="DVB6" s="181" t="s">
        <v>817</v>
      </c>
      <c r="DVC6" s="545" t="s">
        <v>816</v>
      </c>
      <c r="DVD6" s="545"/>
      <c r="DVE6" s="545"/>
      <c r="DVF6" s="545"/>
      <c r="DVG6" s="136" t="s">
        <v>168</v>
      </c>
      <c r="DVH6" s="137">
        <v>1</v>
      </c>
      <c r="DVI6" s="137">
        <v>167.32</v>
      </c>
      <c r="DVJ6" s="181" t="s">
        <v>817</v>
      </c>
      <c r="DVK6" s="545" t="s">
        <v>816</v>
      </c>
      <c r="DVL6" s="545"/>
      <c r="DVM6" s="545"/>
      <c r="DVN6" s="545"/>
      <c r="DVO6" s="136" t="s">
        <v>168</v>
      </c>
      <c r="DVP6" s="137">
        <v>1</v>
      </c>
      <c r="DVQ6" s="137">
        <v>167.32</v>
      </c>
      <c r="DVR6" s="181" t="s">
        <v>817</v>
      </c>
      <c r="DVS6" s="545" t="s">
        <v>816</v>
      </c>
      <c r="DVT6" s="545"/>
      <c r="DVU6" s="545"/>
      <c r="DVV6" s="545"/>
      <c r="DVW6" s="136" t="s">
        <v>168</v>
      </c>
      <c r="DVX6" s="137">
        <v>1</v>
      </c>
      <c r="DVY6" s="137">
        <v>167.32</v>
      </c>
      <c r="DVZ6" s="181" t="s">
        <v>817</v>
      </c>
      <c r="DWA6" s="545" t="s">
        <v>816</v>
      </c>
      <c r="DWB6" s="545"/>
      <c r="DWC6" s="545"/>
      <c r="DWD6" s="545"/>
      <c r="DWE6" s="136" t="s">
        <v>168</v>
      </c>
      <c r="DWF6" s="137">
        <v>1</v>
      </c>
      <c r="DWG6" s="137">
        <v>167.32</v>
      </c>
      <c r="DWH6" s="181" t="s">
        <v>817</v>
      </c>
      <c r="DWI6" s="545" t="s">
        <v>816</v>
      </c>
      <c r="DWJ6" s="545"/>
      <c r="DWK6" s="545"/>
      <c r="DWL6" s="545"/>
      <c r="DWM6" s="136" t="s">
        <v>168</v>
      </c>
      <c r="DWN6" s="137">
        <v>1</v>
      </c>
      <c r="DWO6" s="137">
        <v>167.32</v>
      </c>
      <c r="DWP6" s="181" t="s">
        <v>817</v>
      </c>
      <c r="DWQ6" s="545" t="s">
        <v>816</v>
      </c>
      <c r="DWR6" s="545"/>
      <c r="DWS6" s="545"/>
      <c r="DWT6" s="545"/>
      <c r="DWU6" s="136" t="s">
        <v>168</v>
      </c>
      <c r="DWV6" s="137">
        <v>1</v>
      </c>
      <c r="DWW6" s="137">
        <v>167.32</v>
      </c>
      <c r="DWX6" s="181" t="s">
        <v>817</v>
      </c>
      <c r="DWY6" s="545" t="s">
        <v>816</v>
      </c>
      <c r="DWZ6" s="545"/>
      <c r="DXA6" s="545"/>
      <c r="DXB6" s="545"/>
      <c r="DXC6" s="136" t="s">
        <v>168</v>
      </c>
      <c r="DXD6" s="137">
        <v>1</v>
      </c>
      <c r="DXE6" s="137">
        <v>167.32</v>
      </c>
      <c r="DXF6" s="181" t="s">
        <v>817</v>
      </c>
      <c r="DXG6" s="545" t="s">
        <v>816</v>
      </c>
      <c r="DXH6" s="545"/>
      <c r="DXI6" s="545"/>
      <c r="DXJ6" s="545"/>
      <c r="DXK6" s="136" t="s">
        <v>168</v>
      </c>
      <c r="DXL6" s="137">
        <v>1</v>
      </c>
      <c r="DXM6" s="137">
        <v>167.32</v>
      </c>
      <c r="DXN6" s="181" t="s">
        <v>817</v>
      </c>
      <c r="DXO6" s="545" t="s">
        <v>816</v>
      </c>
      <c r="DXP6" s="545"/>
      <c r="DXQ6" s="545"/>
      <c r="DXR6" s="545"/>
      <c r="DXS6" s="136" t="s">
        <v>168</v>
      </c>
      <c r="DXT6" s="137">
        <v>1</v>
      </c>
      <c r="DXU6" s="137">
        <v>167.32</v>
      </c>
      <c r="DXV6" s="181" t="s">
        <v>817</v>
      </c>
      <c r="DXW6" s="545" t="s">
        <v>816</v>
      </c>
      <c r="DXX6" s="545"/>
      <c r="DXY6" s="545"/>
      <c r="DXZ6" s="545"/>
      <c r="DYA6" s="136" t="s">
        <v>168</v>
      </c>
      <c r="DYB6" s="137">
        <v>1</v>
      </c>
      <c r="DYC6" s="137">
        <v>167.32</v>
      </c>
      <c r="DYD6" s="181" t="s">
        <v>817</v>
      </c>
      <c r="DYE6" s="545" t="s">
        <v>816</v>
      </c>
      <c r="DYF6" s="545"/>
      <c r="DYG6" s="545"/>
      <c r="DYH6" s="545"/>
      <c r="DYI6" s="136" t="s">
        <v>168</v>
      </c>
      <c r="DYJ6" s="137">
        <v>1</v>
      </c>
      <c r="DYK6" s="137">
        <v>167.32</v>
      </c>
      <c r="DYL6" s="181" t="s">
        <v>817</v>
      </c>
      <c r="DYM6" s="545" t="s">
        <v>816</v>
      </c>
      <c r="DYN6" s="545"/>
      <c r="DYO6" s="545"/>
      <c r="DYP6" s="545"/>
      <c r="DYQ6" s="136" t="s">
        <v>168</v>
      </c>
      <c r="DYR6" s="137">
        <v>1</v>
      </c>
      <c r="DYS6" s="137">
        <v>167.32</v>
      </c>
      <c r="DYT6" s="181" t="s">
        <v>817</v>
      </c>
      <c r="DYU6" s="545" t="s">
        <v>816</v>
      </c>
      <c r="DYV6" s="545"/>
      <c r="DYW6" s="545"/>
      <c r="DYX6" s="545"/>
      <c r="DYY6" s="136" t="s">
        <v>168</v>
      </c>
      <c r="DYZ6" s="137">
        <v>1</v>
      </c>
      <c r="DZA6" s="137">
        <v>167.32</v>
      </c>
      <c r="DZB6" s="181" t="s">
        <v>817</v>
      </c>
      <c r="DZC6" s="545" t="s">
        <v>816</v>
      </c>
      <c r="DZD6" s="545"/>
      <c r="DZE6" s="545"/>
      <c r="DZF6" s="545"/>
      <c r="DZG6" s="136" t="s">
        <v>168</v>
      </c>
      <c r="DZH6" s="137">
        <v>1</v>
      </c>
      <c r="DZI6" s="137">
        <v>167.32</v>
      </c>
      <c r="DZJ6" s="181" t="s">
        <v>817</v>
      </c>
      <c r="DZK6" s="545" t="s">
        <v>816</v>
      </c>
      <c r="DZL6" s="545"/>
      <c r="DZM6" s="545"/>
      <c r="DZN6" s="545"/>
      <c r="DZO6" s="136" t="s">
        <v>168</v>
      </c>
      <c r="DZP6" s="137">
        <v>1</v>
      </c>
      <c r="DZQ6" s="137">
        <v>167.32</v>
      </c>
      <c r="DZR6" s="181" t="s">
        <v>817</v>
      </c>
      <c r="DZS6" s="545" t="s">
        <v>816</v>
      </c>
      <c r="DZT6" s="545"/>
      <c r="DZU6" s="545"/>
      <c r="DZV6" s="545"/>
      <c r="DZW6" s="136" t="s">
        <v>168</v>
      </c>
      <c r="DZX6" s="137">
        <v>1</v>
      </c>
      <c r="DZY6" s="137">
        <v>167.32</v>
      </c>
      <c r="DZZ6" s="181" t="s">
        <v>817</v>
      </c>
      <c r="EAA6" s="545" t="s">
        <v>816</v>
      </c>
      <c r="EAB6" s="545"/>
      <c r="EAC6" s="545"/>
      <c r="EAD6" s="545"/>
      <c r="EAE6" s="136" t="s">
        <v>168</v>
      </c>
      <c r="EAF6" s="137">
        <v>1</v>
      </c>
      <c r="EAG6" s="137">
        <v>167.32</v>
      </c>
      <c r="EAH6" s="181" t="s">
        <v>817</v>
      </c>
      <c r="EAI6" s="545" t="s">
        <v>816</v>
      </c>
      <c r="EAJ6" s="545"/>
      <c r="EAK6" s="545"/>
      <c r="EAL6" s="545"/>
      <c r="EAM6" s="136" t="s">
        <v>168</v>
      </c>
      <c r="EAN6" s="137">
        <v>1</v>
      </c>
      <c r="EAO6" s="137">
        <v>167.32</v>
      </c>
      <c r="EAP6" s="181" t="s">
        <v>817</v>
      </c>
      <c r="EAQ6" s="545" t="s">
        <v>816</v>
      </c>
      <c r="EAR6" s="545"/>
      <c r="EAS6" s="545"/>
      <c r="EAT6" s="545"/>
      <c r="EAU6" s="136" t="s">
        <v>168</v>
      </c>
      <c r="EAV6" s="137">
        <v>1</v>
      </c>
      <c r="EAW6" s="137">
        <v>167.32</v>
      </c>
      <c r="EAX6" s="181" t="s">
        <v>817</v>
      </c>
      <c r="EAY6" s="545" t="s">
        <v>816</v>
      </c>
      <c r="EAZ6" s="545"/>
      <c r="EBA6" s="545"/>
      <c r="EBB6" s="545"/>
      <c r="EBC6" s="136" t="s">
        <v>168</v>
      </c>
      <c r="EBD6" s="137">
        <v>1</v>
      </c>
      <c r="EBE6" s="137">
        <v>167.32</v>
      </c>
      <c r="EBF6" s="181" t="s">
        <v>817</v>
      </c>
      <c r="EBG6" s="545" t="s">
        <v>816</v>
      </c>
      <c r="EBH6" s="545"/>
      <c r="EBI6" s="545"/>
      <c r="EBJ6" s="545"/>
      <c r="EBK6" s="136" t="s">
        <v>168</v>
      </c>
      <c r="EBL6" s="137">
        <v>1</v>
      </c>
      <c r="EBM6" s="137">
        <v>167.32</v>
      </c>
      <c r="EBN6" s="181" t="s">
        <v>817</v>
      </c>
      <c r="EBO6" s="545" t="s">
        <v>816</v>
      </c>
      <c r="EBP6" s="545"/>
      <c r="EBQ6" s="545"/>
      <c r="EBR6" s="545"/>
      <c r="EBS6" s="136" t="s">
        <v>168</v>
      </c>
      <c r="EBT6" s="137">
        <v>1</v>
      </c>
      <c r="EBU6" s="137">
        <v>167.32</v>
      </c>
      <c r="EBV6" s="181" t="s">
        <v>817</v>
      </c>
      <c r="EBW6" s="545" t="s">
        <v>816</v>
      </c>
      <c r="EBX6" s="545"/>
      <c r="EBY6" s="545"/>
      <c r="EBZ6" s="545"/>
      <c r="ECA6" s="136" t="s">
        <v>168</v>
      </c>
      <c r="ECB6" s="137">
        <v>1</v>
      </c>
      <c r="ECC6" s="137">
        <v>167.32</v>
      </c>
      <c r="ECD6" s="181" t="s">
        <v>817</v>
      </c>
      <c r="ECE6" s="545" t="s">
        <v>816</v>
      </c>
      <c r="ECF6" s="545"/>
      <c r="ECG6" s="545"/>
      <c r="ECH6" s="545"/>
      <c r="ECI6" s="136" t="s">
        <v>168</v>
      </c>
      <c r="ECJ6" s="137">
        <v>1</v>
      </c>
      <c r="ECK6" s="137">
        <v>167.32</v>
      </c>
      <c r="ECL6" s="181" t="s">
        <v>817</v>
      </c>
      <c r="ECM6" s="545" t="s">
        <v>816</v>
      </c>
      <c r="ECN6" s="545"/>
      <c r="ECO6" s="545"/>
      <c r="ECP6" s="545"/>
      <c r="ECQ6" s="136" t="s">
        <v>168</v>
      </c>
      <c r="ECR6" s="137">
        <v>1</v>
      </c>
      <c r="ECS6" s="137">
        <v>167.32</v>
      </c>
      <c r="ECT6" s="181" t="s">
        <v>817</v>
      </c>
      <c r="ECU6" s="545" t="s">
        <v>816</v>
      </c>
      <c r="ECV6" s="545"/>
      <c r="ECW6" s="545"/>
      <c r="ECX6" s="545"/>
      <c r="ECY6" s="136" t="s">
        <v>168</v>
      </c>
      <c r="ECZ6" s="137">
        <v>1</v>
      </c>
      <c r="EDA6" s="137">
        <v>167.32</v>
      </c>
      <c r="EDB6" s="181" t="s">
        <v>817</v>
      </c>
      <c r="EDC6" s="545" t="s">
        <v>816</v>
      </c>
      <c r="EDD6" s="545"/>
      <c r="EDE6" s="545"/>
      <c r="EDF6" s="545"/>
      <c r="EDG6" s="136" t="s">
        <v>168</v>
      </c>
      <c r="EDH6" s="137">
        <v>1</v>
      </c>
      <c r="EDI6" s="137">
        <v>167.32</v>
      </c>
      <c r="EDJ6" s="181" t="s">
        <v>817</v>
      </c>
      <c r="EDK6" s="545" t="s">
        <v>816</v>
      </c>
      <c r="EDL6" s="545"/>
      <c r="EDM6" s="545"/>
      <c r="EDN6" s="545"/>
      <c r="EDO6" s="136" t="s">
        <v>168</v>
      </c>
      <c r="EDP6" s="137">
        <v>1</v>
      </c>
      <c r="EDQ6" s="137">
        <v>167.32</v>
      </c>
      <c r="EDR6" s="181" t="s">
        <v>817</v>
      </c>
      <c r="EDS6" s="545" t="s">
        <v>816</v>
      </c>
      <c r="EDT6" s="545"/>
      <c r="EDU6" s="545"/>
      <c r="EDV6" s="545"/>
      <c r="EDW6" s="136" t="s">
        <v>168</v>
      </c>
      <c r="EDX6" s="137">
        <v>1</v>
      </c>
      <c r="EDY6" s="137">
        <v>167.32</v>
      </c>
      <c r="EDZ6" s="181" t="s">
        <v>817</v>
      </c>
      <c r="EEA6" s="545" t="s">
        <v>816</v>
      </c>
      <c r="EEB6" s="545"/>
      <c r="EEC6" s="545"/>
      <c r="EED6" s="545"/>
      <c r="EEE6" s="136" t="s">
        <v>168</v>
      </c>
      <c r="EEF6" s="137">
        <v>1</v>
      </c>
      <c r="EEG6" s="137">
        <v>167.32</v>
      </c>
      <c r="EEH6" s="181" t="s">
        <v>817</v>
      </c>
      <c r="EEI6" s="545" t="s">
        <v>816</v>
      </c>
      <c r="EEJ6" s="545"/>
      <c r="EEK6" s="545"/>
      <c r="EEL6" s="545"/>
      <c r="EEM6" s="136" t="s">
        <v>168</v>
      </c>
      <c r="EEN6" s="137">
        <v>1</v>
      </c>
      <c r="EEO6" s="137">
        <v>167.32</v>
      </c>
      <c r="EEP6" s="181" t="s">
        <v>817</v>
      </c>
      <c r="EEQ6" s="545" t="s">
        <v>816</v>
      </c>
      <c r="EER6" s="545"/>
      <c r="EES6" s="545"/>
      <c r="EET6" s="545"/>
      <c r="EEU6" s="136" t="s">
        <v>168</v>
      </c>
      <c r="EEV6" s="137">
        <v>1</v>
      </c>
      <c r="EEW6" s="137">
        <v>167.32</v>
      </c>
      <c r="EEX6" s="181" t="s">
        <v>817</v>
      </c>
      <c r="EEY6" s="545" t="s">
        <v>816</v>
      </c>
      <c r="EEZ6" s="545"/>
      <c r="EFA6" s="545"/>
      <c r="EFB6" s="545"/>
      <c r="EFC6" s="136" t="s">
        <v>168</v>
      </c>
      <c r="EFD6" s="137">
        <v>1</v>
      </c>
      <c r="EFE6" s="137">
        <v>167.32</v>
      </c>
      <c r="EFF6" s="181" t="s">
        <v>817</v>
      </c>
      <c r="EFG6" s="545" t="s">
        <v>816</v>
      </c>
      <c r="EFH6" s="545"/>
      <c r="EFI6" s="545"/>
      <c r="EFJ6" s="545"/>
      <c r="EFK6" s="136" t="s">
        <v>168</v>
      </c>
      <c r="EFL6" s="137">
        <v>1</v>
      </c>
      <c r="EFM6" s="137">
        <v>167.32</v>
      </c>
      <c r="EFN6" s="181" t="s">
        <v>817</v>
      </c>
      <c r="EFO6" s="545" t="s">
        <v>816</v>
      </c>
      <c r="EFP6" s="545"/>
      <c r="EFQ6" s="545"/>
      <c r="EFR6" s="545"/>
      <c r="EFS6" s="136" t="s">
        <v>168</v>
      </c>
      <c r="EFT6" s="137">
        <v>1</v>
      </c>
      <c r="EFU6" s="137">
        <v>167.32</v>
      </c>
      <c r="EFV6" s="181" t="s">
        <v>817</v>
      </c>
      <c r="EFW6" s="545" t="s">
        <v>816</v>
      </c>
      <c r="EFX6" s="545"/>
      <c r="EFY6" s="545"/>
      <c r="EFZ6" s="545"/>
      <c r="EGA6" s="136" t="s">
        <v>168</v>
      </c>
      <c r="EGB6" s="137">
        <v>1</v>
      </c>
      <c r="EGC6" s="137">
        <v>167.32</v>
      </c>
      <c r="EGD6" s="181" t="s">
        <v>817</v>
      </c>
      <c r="EGE6" s="545" t="s">
        <v>816</v>
      </c>
      <c r="EGF6" s="545"/>
      <c r="EGG6" s="545"/>
      <c r="EGH6" s="545"/>
      <c r="EGI6" s="136" t="s">
        <v>168</v>
      </c>
      <c r="EGJ6" s="137">
        <v>1</v>
      </c>
      <c r="EGK6" s="137">
        <v>167.32</v>
      </c>
      <c r="EGL6" s="181" t="s">
        <v>817</v>
      </c>
      <c r="EGM6" s="545" t="s">
        <v>816</v>
      </c>
      <c r="EGN6" s="545"/>
      <c r="EGO6" s="545"/>
      <c r="EGP6" s="545"/>
      <c r="EGQ6" s="136" t="s">
        <v>168</v>
      </c>
      <c r="EGR6" s="137">
        <v>1</v>
      </c>
      <c r="EGS6" s="137">
        <v>167.32</v>
      </c>
      <c r="EGT6" s="181" t="s">
        <v>817</v>
      </c>
      <c r="EGU6" s="545" t="s">
        <v>816</v>
      </c>
      <c r="EGV6" s="545"/>
      <c r="EGW6" s="545"/>
      <c r="EGX6" s="545"/>
      <c r="EGY6" s="136" t="s">
        <v>168</v>
      </c>
      <c r="EGZ6" s="137">
        <v>1</v>
      </c>
      <c r="EHA6" s="137">
        <v>167.32</v>
      </c>
      <c r="EHB6" s="181" t="s">
        <v>817</v>
      </c>
      <c r="EHC6" s="545" t="s">
        <v>816</v>
      </c>
      <c r="EHD6" s="545"/>
      <c r="EHE6" s="545"/>
      <c r="EHF6" s="545"/>
      <c r="EHG6" s="136" t="s">
        <v>168</v>
      </c>
      <c r="EHH6" s="137">
        <v>1</v>
      </c>
      <c r="EHI6" s="137">
        <v>167.32</v>
      </c>
      <c r="EHJ6" s="181" t="s">
        <v>817</v>
      </c>
      <c r="EHK6" s="545" t="s">
        <v>816</v>
      </c>
      <c r="EHL6" s="545"/>
      <c r="EHM6" s="545"/>
      <c r="EHN6" s="545"/>
      <c r="EHO6" s="136" t="s">
        <v>168</v>
      </c>
      <c r="EHP6" s="137">
        <v>1</v>
      </c>
      <c r="EHQ6" s="137">
        <v>167.32</v>
      </c>
      <c r="EHR6" s="181" t="s">
        <v>817</v>
      </c>
      <c r="EHS6" s="545" t="s">
        <v>816</v>
      </c>
      <c r="EHT6" s="545"/>
      <c r="EHU6" s="545"/>
      <c r="EHV6" s="545"/>
      <c r="EHW6" s="136" t="s">
        <v>168</v>
      </c>
      <c r="EHX6" s="137">
        <v>1</v>
      </c>
      <c r="EHY6" s="137">
        <v>167.32</v>
      </c>
      <c r="EHZ6" s="181" t="s">
        <v>817</v>
      </c>
      <c r="EIA6" s="545" t="s">
        <v>816</v>
      </c>
      <c r="EIB6" s="545"/>
      <c r="EIC6" s="545"/>
      <c r="EID6" s="545"/>
      <c r="EIE6" s="136" t="s">
        <v>168</v>
      </c>
      <c r="EIF6" s="137">
        <v>1</v>
      </c>
      <c r="EIG6" s="137">
        <v>167.32</v>
      </c>
      <c r="EIH6" s="181" t="s">
        <v>817</v>
      </c>
      <c r="EII6" s="545" t="s">
        <v>816</v>
      </c>
      <c r="EIJ6" s="545"/>
      <c r="EIK6" s="545"/>
      <c r="EIL6" s="545"/>
      <c r="EIM6" s="136" t="s">
        <v>168</v>
      </c>
      <c r="EIN6" s="137">
        <v>1</v>
      </c>
      <c r="EIO6" s="137">
        <v>167.32</v>
      </c>
      <c r="EIP6" s="181" t="s">
        <v>817</v>
      </c>
      <c r="EIQ6" s="545" t="s">
        <v>816</v>
      </c>
      <c r="EIR6" s="545"/>
      <c r="EIS6" s="545"/>
      <c r="EIT6" s="545"/>
      <c r="EIU6" s="136" t="s">
        <v>168</v>
      </c>
      <c r="EIV6" s="137">
        <v>1</v>
      </c>
      <c r="EIW6" s="137">
        <v>167.32</v>
      </c>
      <c r="EIX6" s="181" t="s">
        <v>817</v>
      </c>
      <c r="EIY6" s="545" t="s">
        <v>816</v>
      </c>
      <c r="EIZ6" s="545"/>
      <c r="EJA6" s="545"/>
      <c r="EJB6" s="545"/>
      <c r="EJC6" s="136" t="s">
        <v>168</v>
      </c>
      <c r="EJD6" s="137">
        <v>1</v>
      </c>
      <c r="EJE6" s="137">
        <v>167.32</v>
      </c>
      <c r="EJF6" s="181" t="s">
        <v>817</v>
      </c>
      <c r="EJG6" s="545" t="s">
        <v>816</v>
      </c>
      <c r="EJH6" s="545"/>
      <c r="EJI6" s="545"/>
      <c r="EJJ6" s="545"/>
      <c r="EJK6" s="136" t="s">
        <v>168</v>
      </c>
      <c r="EJL6" s="137">
        <v>1</v>
      </c>
      <c r="EJM6" s="137">
        <v>167.32</v>
      </c>
      <c r="EJN6" s="181" t="s">
        <v>817</v>
      </c>
      <c r="EJO6" s="545" t="s">
        <v>816</v>
      </c>
      <c r="EJP6" s="545"/>
      <c r="EJQ6" s="545"/>
      <c r="EJR6" s="545"/>
      <c r="EJS6" s="136" t="s">
        <v>168</v>
      </c>
      <c r="EJT6" s="137">
        <v>1</v>
      </c>
      <c r="EJU6" s="137">
        <v>167.32</v>
      </c>
      <c r="EJV6" s="181" t="s">
        <v>817</v>
      </c>
      <c r="EJW6" s="545" t="s">
        <v>816</v>
      </c>
      <c r="EJX6" s="545"/>
      <c r="EJY6" s="545"/>
      <c r="EJZ6" s="545"/>
      <c r="EKA6" s="136" t="s">
        <v>168</v>
      </c>
      <c r="EKB6" s="137">
        <v>1</v>
      </c>
      <c r="EKC6" s="137">
        <v>167.32</v>
      </c>
      <c r="EKD6" s="181" t="s">
        <v>817</v>
      </c>
      <c r="EKE6" s="545" t="s">
        <v>816</v>
      </c>
      <c r="EKF6" s="545"/>
      <c r="EKG6" s="545"/>
      <c r="EKH6" s="545"/>
      <c r="EKI6" s="136" t="s">
        <v>168</v>
      </c>
      <c r="EKJ6" s="137">
        <v>1</v>
      </c>
      <c r="EKK6" s="137">
        <v>167.32</v>
      </c>
      <c r="EKL6" s="181" t="s">
        <v>817</v>
      </c>
      <c r="EKM6" s="545" t="s">
        <v>816</v>
      </c>
      <c r="EKN6" s="545"/>
      <c r="EKO6" s="545"/>
      <c r="EKP6" s="545"/>
      <c r="EKQ6" s="136" t="s">
        <v>168</v>
      </c>
      <c r="EKR6" s="137">
        <v>1</v>
      </c>
      <c r="EKS6" s="137">
        <v>167.32</v>
      </c>
      <c r="EKT6" s="181" t="s">
        <v>817</v>
      </c>
      <c r="EKU6" s="545" t="s">
        <v>816</v>
      </c>
      <c r="EKV6" s="545"/>
      <c r="EKW6" s="545"/>
      <c r="EKX6" s="545"/>
      <c r="EKY6" s="136" t="s">
        <v>168</v>
      </c>
      <c r="EKZ6" s="137">
        <v>1</v>
      </c>
      <c r="ELA6" s="137">
        <v>167.32</v>
      </c>
      <c r="ELB6" s="181" t="s">
        <v>817</v>
      </c>
      <c r="ELC6" s="545" t="s">
        <v>816</v>
      </c>
      <c r="ELD6" s="545"/>
      <c r="ELE6" s="545"/>
      <c r="ELF6" s="545"/>
      <c r="ELG6" s="136" t="s">
        <v>168</v>
      </c>
      <c r="ELH6" s="137">
        <v>1</v>
      </c>
      <c r="ELI6" s="137">
        <v>167.32</v>
      </c>
      <c r="ELJ6" s="181" t="s">
        <v>817</v>
      </c>
      <c r="ELK6" s="545" t="s">
        <v>816</v>
      </c>
      <c r="ELL6" s="545"/>
      <c r="ELM6" s="545"/>
      <c r="ELN6" s="545"/>
      <c r="ELO6" s="136" t="s">
        <v>168</v>
      </c>
      <c r="ELP6" s="137">
        <v>1</v>
      </c>
      <c r="ELQ6" s="137">
        <v>167.32</v>
      </c>
      <c r="ELR6" s="181" t="s">
        <v>817</v>
      </c>
      <c r="ELS6" s="545" t="s">
        <v>816</v>
      </c>
      <c r="ELT6" s="545"/>
      <c r="ELU6" s="545"/>
      <c r="ELV6" s="545"/>
      <c r="ELW6" s="136" t="s">
        <v>168</v>
      </c>
      <c r="ELX6" s="137">
        <v>1</v>
      </c>
      <c r="ELY6" s="137">
        <v>167.32</v>
      </c>
      <c r="ELZ6" s="181" t="s">
        <v>817</v>
      </c>
      <c r="EMA6" s="545" t="s">
        <v>816</v>
      </c>
      <c r="EMB6" s="545"/>
      <c r="EMC6" s="545"/>
      <c r="EMD6" s="545"/>
      <c r="EME6" s="136" t="s">
        <v>168</v>
      </c>
      <c r="EMF6" s="137">
        <v>1</v>
      </c>
      <c r="EMG6" s="137">
        <v>167.32</v>
      </c>
      <c r="EMH6" s="181" t="s">
        <v>817</v>
      </c>
      <c r="EMI6" s="545" t="s">
        <v>816</v>
      </c>
      <c r="EMJ6" s="545"/>
      <c r="EMK6" s="545"/>
      <c r="EML6" s="545"/>
      <c r="EMM6" s="136" t="s">
        <v>168</v>
      </c>
      <c r="EMN6" s="137">
        <v>1</v>
      </c>
      <c r="EMO6" s="137">
        <v>167.32</v>
      </c>
      <c r="EMP6" s="181" t="s">
        <v>817</v>
      </c>
      <c r="EMQ6" s="545" t="s">
        <v>816</v>
      </c>
      <c r="EMR6" s="545"/>
      <c r="EMS6" s="545"/>
      <c r="EMT6" s="545"/>
      <c r="EMU6" s="136" t="s">
        <v>168</v>
      </c>
      <c r="EMV6" s="137">
        <v>1</v>
      </c>
      <c r="EMW6" s="137">
        <v>167.32</v>
      </c>
      <c r="EMX6" s="181" t="s">
        <v>817</v>
      </c>
      <c r="EMY6" s="545" t="s">
        <v>816</v>
      </c>
      <c r="EMZ6" s="545"/>
      <c r="ENA6" s="545"/>
      <c r="ENB6" s="545"/>
      <c r="ENC6" s="136" t="s">
        <v>168</v>
      </c>
      <c r="END6" s="137">
        <v>1</v>
      </c>
      <c r="ENE6" s="137">
        <v>167.32</v>
      </c>
      <c r="ENF6" s="181" t="s">
        <v>817</v>
      </c>
      <c r="ENG6" s="545" t="s">
        <v>816</v>
      </c>
      <c r="ENH6" s="545"/>
      <c r="ENI6" s="545"/>
      <c r="ENJ6" s="545"/>
      <c r="ENK6" s="136" t="s">
        <v>168</v>
      </c>
      <c r="ENL6" s="137">
        <v>1</v>
      </c>
      <c r="ENM6" s="137">
        <v>167.32</v>
      </c>
      <c r="ENN6" s="181" t="s">
        <v>817</v>
      </c>
      <c r="ENO6" s="545" t="s">
        <v>816</v>
      </c>
      <c r="ENP6" s="545"/>
      <c r="ENQ6" s="545"/>
      <c r="ENR6" s="545"/>
      <c r="ENS6" s="136" t="s">
        <v>168</v>
      </c>
      <c r="ENT6" s="137">
        <v>1</v>
      </c>
      <c r="ENU6" s="137">
        <v>167.32</v>
      </c>
      <c r="ENV6" s="181" t="s">
        <v>817</v>
      </c>
      <c r="ENW6" s="545" t="s">
        <v>816</v>
      </c>
      <c r="ENX6" s="545"/>
      <c r="ENY6" s="545"/>
      <c r="ENZ6" s="545"/>
      <c r="EOA6" s="136" t="s">
        <v>168</v>
      </c>
      <c r="EOB6" s="137">
        <v>1</v>
      </c>
      <c r="EOC6" s="137">
        <v>167.32</v>
      </c>
      <c r="EOD6" s="181" t="s">
        <v>817</v>
      </c>
      <c r="EOE6" s="545" t="s">
        <v>816</v>
      </c>
      <c r="EOF6" s="545"/>
      <c r="EOG6" s="545"/>
      <c r="EOH6" s="545"/>
      <c r="EOI6" s="136" t="s">
        <v>168</v>
      </c>
      <c r="EOJ6" s="137">
        <v>1</v>
      </c>
      <c r="EOK6" s="137">
        <v>167.32</v>
      </c>
      <c r="EOL6" s="181" t="s">
        <v>817</v>
      </c>
      <c r="EOM6" s="545" t="s">
        <v>816</v>
      </c>
      <c r="EON6" s="545"/>
      <c r="EOO6" s="545"/>
      <c r="EOP6" s="545"/>
      <c r="EOQ6" s="136" t="s">
        <v>168</v>
      </c>
      <c r="EOR6" s="137">
        <v>1</v>
      </c>
      <c r="EOS6" s="137">
        <v>167.32</v>
      </c>
      <c r="EOT6" s="181" t="s">
        <v>817</v>
      </c>
      <c r="EOU6" s="545" t="s">
        <v>816</v>
      </c>
      <c r="EOV6" s="545"/>
      <c r="EOW6" s="545"/>
      <c r="EOX6" s="545"/>
      <c r="EOY6" s="136" t="s">
        <v>168</v>
      </c>
      <c r="EOZ6" s="137">
        <v>1</v>
      </c>
      <c r="EPA6" s="137">
        <v>167.32</v>
      </c>
      <c r="EPB6" s="181" t="s">
        <v>817</v>
      </c>
      <c r="EPC6" s="545" t="s">
        <v>816</v>
      </c>
      <c r="EPD6" s="545"/>
      <c r="EPE6" s="545"/>
      <c r="EPF6" s="545"/>
      <c r="EPG6" s="136" t="s">
        <v>168</v>
      </c>
      <c r="EPH6" s="137">
        <v>1</v>
      </c>
      <c r="EPI6" s="137">
        <v>167.32</v>
      </c>
      <c r="EPJ6" s="181" t="s">
        <v>817</v>
      </c>
      <c r="EPK6" s="545" t="s">
        <v>816</v>
      </c>
      <c r="EPL6" s="545"/>
      <c r="EPM6" s="545"/>
      <c r="EPN6" s="545"/>
      <c r="EPO6" s="136" t="s">
        <v>168</v>
      </c>
      <c r="EPP6" s="137">
        <v>1</v>
      </c>
      <c r="EPQ6" s="137">
        <v>167.32</v>
      </c>
      <c r="EPR6" s="181" t="s">
        <v>817</v>
      </c>
      <c r="EPS6" s="545" t="s">
        <v>816</v>
      </c>
      <c r="EPT6" s="545"/>
      <c r="EPU6" s="545"/>
      <c r="EPV6" s="545"/>
      <c r="EPW6" s="136" t="s">
        <v>168</v>
      </c>
      <c r="EPX6" s="137">
        <v>1</v>
      </c>
      <c r="EPY6" s="137">
        <v>167.32</v>
      </c>
      <c r="EPZ6" s="181" t="s">
        <v>817</v>
      </c>
      <c r="EQA6" s="545" t="s">
        <v>816</v>
      </c>
      <c r="EQB6" s="545"/>
      <c r="EQC6" s="545"/>
      <c r="EQD6" s="545"/>
      <c r="EQE6" s="136" t="s">
        <v>168</v>
      </c>
      <c r="EQF6" s="137">
        <v>1</v>
      </c>
      <c r="EQG6" s="137">
        <v>167.32</v>
      </c>
      <c r="EQH6" s="181" t="s">
        <v>817</v>
      </c>
      <c r="EQI6" s="545" t="s">
        <v>816</v>
      </c>
      <c r="EQJ6" s="545"/>
      <c r="EQK6" s="545"/>
      <c r="EQL6" s="545"/>
      <c r="EQM6" s="136" t="s">
        <v>168</v>
      </c>
      <c r="EQN6" s="137">
        <v>1</v>
      </c>
      <c r="EQO6" s="137">
        <v>167.32</v>
      </c>
      <c r="EQP6" s="181" t="s">
        <v>817</v>
      </c>
      <c r="EQQ6" s="545" t="s">
        <v>816</v>
      </c>
      <c r="EQR6" s="545"/>
      <c r="EQS6" s="545"/>
      <c r="EQT6" s="545"/>
      <c r="EQU6" s="136" t="s">
        <v>168</v>
      </c>
      <c r="EQV6" s="137">
        <v>1</v>
      </c>
      <c r="EQW6" s="137">
        <v>167.32</v>
      </c>
      <c r="EQX6" s="181" t="s">
        <v>817</v>
      </c>
      <c r="EQY6" s="545" t="s">
        <v>816</v>
      </c>
      <c r="EQZ6" s="545"/>
      <c r="ERA6" s="545"/>
      <c r="ERB6" s="545"/>
      <c r="ERC6" s="136" t="s">
        <v>168</v>
      </c>
      <c r="ERD6" s="137">
        <v>1</v>
      </c>
      <c r="ERE6" s="137">
        <v>167.32</v>
      </c>
      <c r="ERF6" s="181" t="s">
        <v>817</v>
      </c>
      <c r="ERG6" s="545" t="s">
        <v>816</v>
      </c>
      <c r="ERH6" s="545"/>
      <c r="ERI6" s="545"/>
      <c r="ERJ6" s="545"/>
      <c r="ERK6" s="136" t="s">
        <v>168</v>
      </c>
      <c r="ERL6" s="137">
        <v>1</v>
      </c>
      <c r="ERM6" s="137">
        <v>167.32</v>
      </c>
      <c r="ERN6" s="181" t="s">
        <v>817</v>
      </c>
      <c r="ERO6" s="545" t="s">
        <v>816</v>
      </c>
      <c r="ERP6" s="545"/>
      <c r="ERQ6" s="545"/>
      <c r="ERR6" s="545"/>
      <c r="ERS6" s="136" t="s">
        <v>168</v>
      </c>
      <c r="ERT6" s="137">
        <v>1</v>
      </c>
      <c r="ERU6" s="137">
        <v>167.32</v>
      </c>
      <c r="ERV6" s="181" t="s">
        <v>817</v>
      </c>
      <c r="ERW6" s="545" t="s">
        <v>816</v>
      </c>
      <c r="ERX6" s="545"/>
      <c r="ERY6" s="545"/>
      <c r="ERZ6" s="545"/>
      <c r="ESA6" s="136" t="s">
        <v>168</v>
      </c>
      <c r="ESB6" s="137">
        <v>1</v>
      </c>
      <c r="ESC6" s="137">
        <v>167.32</v>
      </c>
      <c r="ESD6" s="181" t="s">
        <v>817</v>
      </c>
      <c r="ESE6" s="545" t="s">
        <v>816</v>
      </c>
      <c r="ESF6" s="545"/>
      <c r="ESG6" s="545"/>
      <c r="ESH6" s="545"/>
      <c r="ESI6" s="136" t="s">
        <v>168</v>
      </c>
      <c r="ESJ6" s="137">
        <v>1</v>
      </c>
      <c r="ESK6" s="137">
        <v>167.32</v>
      </c>
      <c r="ESL6" s="181" t="s">
        <v>817</v>
      </c>
      <c r="ESM6" s="545" t="s">
        <v>816</v>
      </c>
      <c r="ESN6" s="545"/>
      <c r="ESO6" s="545"/>
      <c r="ESP6" s="545"/>
      <c r="ESQ6" s="136" t="s">
        <v>168</v>
      </c>
      <c r="ESR6" s="137">
        <v>1</v>
      </c>
      <c r="ESS6" s="137">
        <v>167.32</v>
      </c>
      <c r="EST6" s="181" t="s">
        <v>817</v>
      </c>
      <c r="ESU6" s="545" t="s">
        <v>816</v>
      </c>
      <c r="ESV6" s="545"/>
      <c r="ESW6" s="545"/>
      <c r="ESX6" s="545"/>
      <c r="ESY6" s="136" t="s">
        <v>168</v>
      </c>
      <c r="ESZ6" s="137">
        <v>1</v>
      </c>
      <c r="ETA6" s="137">
        <v>167.32</v>
      </c>
      <c r="ETB6" s="181" t="s">
        <v>817</v>
      </c>
      <c r="ETC6" s="545" t="s">
        <v>816</v>
      </c>
      <c r="ETD6" s="545"/>
      <c r="ETE6" s="545"/>
      <c r="ETF6" s="545"/>
      <c r="ETG6" s="136" t="s">
        <v>168</v>
      </c>
      <c r="ETH6" s="137">
        <v>1</v>
      </c>
      <c r="ETI6" s="137">
        <v>167.32</v>
      </c>
      <c r="ETJ6" s="181" t="s">
        <v>817</v>
      </c>
      <c r="ETK6" s="545" t="s">
        <v>816</v>
      </c>
      <c r="ETL6" s="545"/>
      <c r="ETM6" s="545"/>
      <c r="ETN6" s="545"/>
      <c r="ETO6" s="136" t="s">
        <v>168</v>
      </c>
      <c r="ETP6" s="137">
        <v>1</v>
      </c>
      <c r="ETQ6" s="137">
        <v>167.32</v>
      </c>
      <c r="ETR6" s="181" t="s">
        <v>817</v>
      </c>
      <c r="ETS6" s="545" t="s">
        <v>816</v>
      </c>
      <c r="ETT6" s="545"/>
      <c r="ETU6" s="545"/>
      <c r="ETV6" s="545"/>
      <c r="ETW6" s="136" t="s">
        <v>168</v>
      </c>
      <c r="ETX6" s="137">
        <v>1</v>
      </c>
      <c r="ETY6" s="137">
        <v>167.32</v>
      </c>
      <c r="ETZ6" s="181" t="s">
        <v>817</v>
      </c>
      <c r="EUA6" s="545" t="s">
        <v>816</v>
      </c>
      <c r="EUB6" s="545"/>
      <c r="EUC6" s="545"/>
      <c r="EUD6" s="545"/>
      <c r="EUE6" s="136" t="s">
        <v>168</v>
      </c>
      <c r="EUF6" s="137">
        <v>1</v>
      </c>
      <c r="EUG6" s="137">
        <v>167.32</v>
      </c>
      <c r="EUH6" s="181" t="s">
        <v>817</v>
      </c>
      <c r="EUI6" s="545" t="s">
        <v>816</v>
      </c>
      <c r="EUJ6" s="545"/>
      <c r="EUK6" s="545"/>
      <c r="EUL6" s="545"/>
      <c r="EUM6" s="136" t="s">
        <v>168</v>
      </c>
      <c r="EUN6" s="137">
        <v>1</v>
      </c>
      <c r="EUO6" s="137">
        <v>167.32</v>
      </c>
      <c r="EUP6" s="181" t="s">
        <v>817</v>
      </c>
      <c r="EUQ6" s="545" t="s">
        <v>816</v>
      </c>
      <c r="EUR6" s="545"/>
      <c r="EUS6" s="545"/>
      <c r="EUT6" s="545"/>
      <c r="EUU6" s="136" t="s">
        <v>168</v>
      </c>
      <c r="EUV6" s="137">
        <v>1</v>
      </c>
      <c r="EUW6" s="137">
        <v>167.32</v>
      </c>
      <c r="EUX6" s="181" t="s">
        <v>817</v>
      </c>
      <c r="EUY6" s="545" t="s">
        <v>816</v>
      </c>
      <c r="EUZ6" s="545"/>
      <c r="EVA6" s="545"/>
      <c r="EVB6" s="545"/>
      <c r="EVC6" s="136" t="s">
        <v>168</v>
      </c>
      <c r="EVD6" s="137">
        <v>1</v>
      </c>
      <c r="EVE6" s="137">
        <v>167.32</v>
      </c>
      <c r="EVF6" s="181" t="s">
        <v>817</v>
      </c>
      <c r="EVG6" s="545" t="s">
        <v>816</v>
      </c>
      <c r="EVH6" s="545"/>
      <c r="EVI6" s="545"/>
      <c r="EVJ6" s="545"/>
      <c r="EVK6" s="136" t="s">
        <v>168</v>
      </c>
      <c r="EVL6" s="137">
        <v>1</v>
      </c>
      <c r="EVM6" s="137">
        <v>167.32</v>
      </c>
      <c r="EVN6" s="181" t="s">
        <v>817</v>
      </c>
      <c r="EVO6" s="545" t="s">
        <v>816</v>
      </c>
      <c r="EVP6" s="545"/>
      <c r="EVQ6" s="545"/>
      <c r="EVR6" s="545"/>
      <c r="EVS6" s="136" t="s">
        <v>168</v>
      </c>
      <c r="EVT6" s="137">
        <v>1</v>
      </c>
      <c r="EVU6" s="137">
        <v>167.32</v>
      </c>
      <c r="EVV6" s="181" t="s">
        <v>817</v>
      </c>
      <c r="EVW6" s="545" t="s">
        <v>816</v>
      </c>
      <c r="EVX6" s="545"/>
      <c r="EVY6" s="545"/>
      <c r="EVZ6" s="545"/>
      <c r="EWA6" s="136" t="s">
        <v>168</v>
      </c>
      <c r="EWB6" s="137">
        <v>1</v>
      </c>
      <c r="EWC6" s="137">
        <v>167.32</v>
      </c>
      <c r="EWD6" s="181" t="s">
        <v>817</v>
      </c>
      <c r="EWE6" s="545" t="s">
        <v>816</v>
      </c>
      <c r="EWF6" s="545"/>
      <c r="EWG6" s="545"/>
      <c r="EWH6" s="545"/>
      <c r="EWI6" s="136" t="s">
        <v>168</v>
      </c>
      <c r="EWJ6" s="137">
        <v>1</v>
      </c>
      <c r="EWK6" s="137">
        <v>167.32</v>
      </c>
      <c r="EWL6" s="181" t="s">
        <v>817</v>
      </c>
      <c r="EWM6" s="545" t="s">
        <v>816</v>
      </c>
      <c r="EWN6" s="545"/>
      <c r="EWO6" s="545"/>
      <c r="EWP6" s="545"/>
      <c r="EWQ6" s="136" t="s">
        <v>168</v>
      </c>
      <c r="EWR6" s="137">
        <v>1</v>
      </c>
      <c r="EWS6" s="137">
        <v>167.32</v>
      </c>
      <c r="EWT6" s="181" t="s">
        <v>817</v>
      </c>
      <c r="EWU6" s="545" t="s">
        <v>816</v>
      </c>
      <c r="EWV6" s="545"/>
      <c r="EWW6" s="545"/>
      <c r="EWX6" s="545"/>
      <c r="EWY6" s="136" t="s">
        <v>168</v>
      </c>
      <c r="EWZ6" s="137">
        <v>1</v>
      </c>
      <c r="EXA6" s="137">
        <v>167.32</v>
      </c>
      <c r="EXB6" s="181" t="s">
        <v>817</v>
      </c>
      <c r="EXC6" s="545" t="s">
        <v>816</v>
      </c>
      <c r="EXD6" s="545"/>
      <c r="EXE6" s="545"/>
      <c r="EXF6" s="545"/>
      <c r="EXG6" s="136" t="s">
        <v>168</v>
      </c>
      <c r="EXH6" s="137">
        <v>1</v>
      </c>
      <c r="EXI6" s="137">
        <v>167.32</v>
      </c>
      <c r="EXJ6" s="181" t="s">
        <v>817</v>
      </c>
      <c r="EXK6" s="545" t="s">
        <v>816</v>
      </c>
      <c r="EXL6" s="545"/>
      <c r="EXM6" s="545"/>
      <c r="EXN6" s="545"/>
      <c r="EXO6" s="136" t="s">
        <v>168</v>
      </c>
      <c r="EXP6" s="137">
        <v>1</v>
      </c>
      <c r="EXQ6" s="137">
        <v>167.32</v>
      </c>
      <c r="EXR6" s="181" t="s">
        <v>817</v>
      </c>
      <c r="EXS6" s="545" t="s">
        <v>816</v>
      </c>
      <c r="EXT6" s="545"/>
      <c r="EXU6" s="545"/>
      <c r="EXV6" s="545"/>
      <c r="EXW6" s="136" t="s">
        <v>168</v>
      </c>
      <c r="EXX6" s="137">
        <v>1</v>
      </c>
      <c r="EXY6" s="137">
        <v>167.32</v>
      </c>
      <c r="EXZ6" s="181" t="s">
        <v>817</v>
      </c>
      <c r="EYA6" s="545" t="s">
        <v>816</v>
      </c>
      <c r="EYB6" s="545"/>
      <c r="EYC6" s="545"/>
      <c r="EYD6" s="545"/>
      <c r="EYE6" s="136" t="s">
        <v>168</v>
      </c>
      <c r="EYF6" s="137">
        <v>1</v>
      </c>
      <c r="EYG6" s="137">
        <v>167.32</v>
      </c>
      <c r="EYH6" s="181" t="s">
        <v>817</v>
      </c>
      <c r="EYI6" s="545" t="s">
        <v>816</v>
      </c>
      <c r="EYJ6" s="545"/>
      <c r="EYK6" s="545"/>
      <c r="EYL6" s="545"/>
      <c r="EYM6" s="136" t="s">
        <v>168</v>
      </c>
      <c r="EYN6" s="137">
        <v>1</v>
      </c>
      <c r="EYO6" s="137">
        <v>167.32</v>
      </c>
      <c r="EYP6" s="181" t="s">
        <v>817</v>
      </c>
      <c r="EYQ6" s="545" t="s">
        <v>816</v>
      </c>
      <c r="EYR6" s="545"/>
      <c r="EYS6" s="545"/>
      <c r="EYT6" s="545"/>
      <c r="EYU6" s="136" t="s">
        <v>168</v>
      </c>
      <c r="EYV6" s="137">
        <v>1</v>
      </c>
      <c r="EYW6" s="137">
        <v>167.32</v>
      </c>
      <c r="EYX6" s="181" t="s">
        <v>817</v>
      </c>
      <c r="EYY6" s="545" t="s">
        <v>816</v>
      </c>
      <c r="EYZ6" s="545"/>
      <c r="EZA6" s="545"/>
      <c r="EZB6" s="545"/>
      <c r="EZC6" s="136" t="s">
        <v>168</v>
      </c>
      <c r="EZD6" s="137">
        <v>1</v>
      </c>
      <c r="EZE6" s="137">
        <v>167.32</v>
      </c>
      <c r="EZF6" s="181" t="s">
        <v>817</v>
      </c>
      <c r="EZG6" s="545" t="s">
        <v>816</v>
      </c>
      <c r="EZH6" s="545"/>
      <c r="EZI6" s="545"/>
      <c r="EZJ6" s="545"/>
      <c r="EZK6" s="136" t="s">
        <v>168</v>
      </c>
      <c r="EZL6" s="137">
        <v>1</v>
      </c>
      <c r="EZM6" s="137">
        <v>167.32</v>
      </c>
      <c r="EZN6" s="181" t="s">
        <v>817</v>
      </c>
      <c r="EZO6" s="545" t="s">
        <v>816</v>
      </c>
      <c r="EZP6" s="545"/>
      <c r="EZQ6" s="545"/>
      <c r="EZR6" s="545"/>
      <c r="EZS6" s="136" t="s">
        <v>168</v>
      </c>
      <c r="EZT6" s="137">
        <v>1</v>
      </c>
      <c r="EZU6" s="137">
        <v>167.32</v>
      </c>
      <c r="EZV6" s="181" t="s">
        <v>817</v>
      </c>
      <c r="EZW6" s="545" t="s">
        <v>816</v>
      </c>
      <c r="EZX6" s="545"/>
      <c r="EZY6" s="545"/>
      <c r="EZZ6" s="545"/>
      <c r="FAA6" s="136" t="s">
        <v>168</v>
      </c>
      <c r="FAB6" s="137">
        <v>1</v>
      </c>
      <c r="FAC6" s="137">
        <v>167.32</v>
      </c>
      <c r="FAD6" s="181" t="s">
        <v>817</v>
      </c>
      <c r="FAE6" s="545" t="s">
        <v>816</v>
      </c>
      <c r="FAF6" s="545"/>
      <c r="FAG6" s="545"/>
      <c r="FAH6" s="545"/>
      <c r="FAI6" s="136" t="s">
        <v>168</v>
      </c>
      <c r="FAJ6" s="137">
        <v>1</v>
      </c>
      <c r="FAK6" s="137">
        <v>167.32</v>
      </c>
      <c r="FAL6" s="181" t="s">
        <v>817</v>
      </c>
      <c r="FAM6" s="545" t="s">
        <v>816</v>
      </c>
      <c r="FAN6" s="545"/>
      <c r="FAO6" s="545"/>
      <c r="FAP6" s="545"/>
      <c r="FAQ6" s="136" t="s">
        <v>168</v>
      </c>
      <c r="FAR6" s="137">
        <v>1</v>
      </c>
      <c r="FAS6" s="137">
        <v>167.32</v>
      </c>
      <c r="FAT6" s="181" t="s">
        <v>817</v>
      </c>
      <c r="FAU6" s="545" t="s">
        <v>816</v>
      </c>
      <c r="FAV6" s="545"/>
      <c r="FAW6" s="545"/>
      <c r="FAX6" s="545"/>
      <c r="FAY6" s="136" t="s">
        <v>168</v>
      </c>
      <c r="FAZ6" s="137">
        <v>1</v>
      </c>
      <c r="FBA6" s="137">
        <v>167.32</v>
      </c>
      <c r="FBB6" s="181" t="s">
        <v>817</v>
      </c>
      <c r="FBC6" s="545" t="s">
        <v>816</v>
      </c>
      <c r="FBD6" s="545"/>
      <c r="FBE6" s="545"/>
      <c r="FBF6" s="545"/>
      <c r="FBG6" s="136" t="s">
        <v>168</v>
      </c>
      <c r="FBH6" s="137">
        <v>1</v>
      </c>
      <c r="FBI6" s="137">
        <v>167.32</v>
      </c>
      <c r="FBJ6" s="181" t="s">
        <v>817</v>
      </c>
      <c r="FBK6" s="545" t="s">
        <v>816</v>
      </c>
      <c r="FBL6" s="545"/>
      <c r="FBM6" s="545"/>
      <c r="FBN6" s="545"/>
      <c r="FBO6" s="136" t="s">
        <v>168</v>
      </c>
      <c r="FBP6" s="137">
        <v>1</v>
      </c>
      <c r="FBQ6" s="137">
        <v>167.32</v>
      </c>
      <c r="FBR6" s="181" t="s">
        <v>817</v>
      </c>
      <c r="FBS6" s="545" t="s">
        <v>816</v>
      </c>
      <c r="FBT6" s="545"/>
      <c r="FBU6" s="545"/>
      <c r="FBV6" s="545"/>
      <c r="FBW6" s="136" t="s">
        <v>168</v>
      </c>
      <c r="FBX6" s="137">
        <v>1</v>
      </c>
      <c r="FBY6" s="137">
        <v>167.32</v>
      </c>
      <c r="FBZ6" s="181" t="s">
        <v>817</v>
      </c>
      <c r="FCA6" s="545" t="s">
        <v>816</v>
      </c>
      <c r="FCB6" s="545"/>
      <c r="FCC6" s="545"/>
      <c r="FCD6" s="545"/>
      <c r="FCE6" s="136" t="s">
        <v>168</v>
      </c>
      <c r="FCF6" s="137">
        <v>1</v>
      </c>
      <c r="FCG6" s="137">
        <v>167.32</v>
      </c>
      <c r="FCH6" s="181" t="s">
        <v>817</v>
      </c>
      <c r="FCI6" s="545" t="s">
        <v>816</v>
      </c>
      <c r="FCJ6" s="545"/>
      <c r="FCK6" s="545"/>
      <c r="FCL6" s="545"/>
      <c r="FCM6" s="136" t="s">
        <v>168</v>
      </c>
      <c r="FCN6" s="137">
        <v>1</v>
      </c>
      <c r="FCO6" s="137">
        <v>167.32</v>
      </c>
      <c r="FCP6" s="181" t="s">
        <v>817</v>
      </c>
      <c r="FCQ6" s="545" t="s">
        <v>816</v>
      </c>
      <c r="FCR6" s="545"/>
      <c r="FCS6" s="545"/>
      <c r="FCT6" s="545"/>
      <c r="FCU6" s="136" t="s">
        <v>168</v>
      </c>
      <c r="FCV6" s="137">
        <v>1</v>
      </c>
      <c r="FCW6" s="137">
        <v>167.32</v>
      </c>
      <c r="FCX6" s="181" t="s">
        <v>817</v>
      </c>
      <c r="FCY6" s="545" t="s">
        <v>816</v>
      </c>
      <c r="FCZ6" s="545"/>
      <c r="FDA6" s="545"/>
      <c r="FDB6" s="545"/>
      <c r="FDC6" s="136" t="s">
        <v>168</v>
      </c>
      <c r="FDD6" s="137">
        <v>1</v>
      </c>
      <c r="FDE6" s="137">
        <v>167.32</v>
      </c>
      <c r="FDF6" s="181" t="s">
        <v>817</v>
      </c>
      <c r="FDG6" s="545" t="s">
        <v>816</v>
      </c>
      <c r="FDH6" s="545"/>
      <c r="FDI6" s="545"/>
      <c r="FDJ6" s="545"/>
      <c r="FDK6" s="136" t="s">
        <v>168</v>
      </c>
      <c r="FDL6" s="137">
        <v>1</v>
      </c>
      <c r="FDM6" s="137">
        <v>167.32</v>
      </c>
      <c r="FDN6" s="181" t="s">
        <v>817</v>
      </c>
      <c r="FDO6" s="545" t="s">
        <v>816</v>
      </c>
      <c r="FDP6" s="545"/>
      <c r="FDQ6" s="545"/>
      <c r="FDR6" s="545"/>
      <c r="FDS6" s="136" t="s">
        <v>168</v>
      </c>
      <c r="FDT6" s="137">
        <v>1</v>
      </c>
      <c r="FDU6" s="137">
        <v>167.32</v>
      </c>
      <c r="FDV6" s="181" t="s">
        <v>817</v>
      </c>
      <c r="FDW6" s="545" t="s">
        <v>816</v>
      </c>
      <c r="FDX6" s="545"/>
      <c r="FDY6" s="545"/>
      <c r="FDZ6" s="545"/>
      <c r="FEA6" s="136" t="s">
        <v>168</v>
      </c>
      <c r="FEB6" s="137">
        <v>1</v>
      </c>
      <c r="FEC6" s="137">
        <v>167.32</v>
      </c>
      <c r="FED6" s="181" t="s">
        <v>817</v>
      </c>
      <c r="FEE6" s="545" t="s">
        <v>816</v>
      </c>
      <c r="FEF6" s="545"/>
      <c r="FEG6" s="545"/>
      <c r="FEH6" s="545"/>
      <c r="FEI6" s="136" t="s">
        <v>168</v>
      </c>
      <c r="FEJ6" s="137">
        <v>1</v>
      </c>
      <c r="FEK6" s="137">
        <v>167.32</v>
      </c>
      <c r="FEL6" s="181" t="s">
        <v>817</v>
      </c>
      <c r="FEM6" s="545" t="s">
        <v>816</v>
      </c>
      <c r="FEN6" s="545"/>
      <c r="FEO6" s="545"/>
      <c r="FEP6" s="545"/>
      <c r="FEQ6" s="136" t="s">
        <v>168</v>
      </c>
      <c r="FER6" s="137">
        <v>1</v>
      </c>
      <c r="FES6" s="137">
        <v>167.32</v>
      </c>
      <c r="FET6" s="181" t="s">
        <v>817</v>
      </c>
      <c r="FEU6" s="545" t="s">
        <v>816</v>
      </c>
      <c r="FEV6" s="545"/>
      <c r="FEW6" s="545"/>
      <c r="FEX6" s="545"/>
      <c r="FEY6" s="136" t="s">
        <v>168</v>
      </c>
      <c r="FEZ6" s="137">
        <v>1</v>
      </c>
      <c r="FFA6" s="137">
        <v>167.32</v>
      </c>
      <c r="FFB6" s="181" t="s">
        <v>817</v>
      </c>
      <c r="FFC6" s="545" t="s">
        <v>816</v>
      </c>
      <c r="FFD6" s="545"/>
      <c r="FFE6" s="545"/>
      <c r="FFF6" s="545"/>
      <c r="FFG6" s="136" t="s">
        <v>168</v>
      </c>
      <c r="FFH6" s="137">
        <v>1</v>
      </c>
      <c r="FFI6" s="137">
        <v>167.32</v>
      </c>
      <c r="FFJ6" s="181" t="s">
        <v>817</v>
      </c>
      <c r="FFK6" s="545" t="s">
        <v>816</v>
      </c>
      <c r="FFL6" s="545"/>
      <c r="FFM6" s="545"/>
      <c r="FFN6" s="545"/>
      <c r="FFO6" s="136" t="s">
        <v>168</v>
      </c>
      <c r="FFP6" s="137">
        <v>1</v>
      </c>
      <c r="FFQ6" s="137">
        <v>167.32</v>
      </c>
      <c r="FFR6" s="181" t="s">
        <v>817</v>
      </c>
      <c r="FFS6" s="545" t="s">
        <v>816</v>
      </c>
      <c r="FFT6" s="545"/>
      <c r="FFU6" s="545"/>
      <c r="FFV6" s="545"/>
      <c r="FFW6" s="136" t="s">
        <v>168</v>
      </c>
      <c r="FFX6" s="137">
        <v>1</v>
      </c>
      <c r="FFY6" s="137">
        <v>167.32</v>
      </c>
      <c r="FFZ6" s="181" t="s">
        <v>817</v>
      </c>
      <c r="FGA6" s="545" t="s">
        <v>816</v>
      </c>
      <c r="FGB6" s="545"/>
      <c r="FGC6" s="545"/>
      <c r="FGD6" s="545"/>
      <c r="FGE6" s="136" t="s">
        <v>168</v>
      </c>
      <c r="FGF6" s="137">
        <v>1</v>
      </c>
      <c r="FGG6" s="137">
        <v>167.32</v>
      </c>
      <c r="FGH6" s="181" t="s">
        <v>817</v>
      </c>
      <c r="FGI6" s="545" t="s">
        <v>816</v>
      </c>
      <c r="FGJ6" s="545"/>
      <c r="FGK6" s="545"/>
      <c r="FGL6" s="545"/>
      <c r="FGM6" s="136" t="s">
        <v>168</v>
      </c>
      <c r="FGN6" s="137">
        <v>1</v>
      </c>
      <c r="FGO6" s="137">
        <v>167.32</v>
      </c>
      <c r="FGP6" s="181" t="s">
        <v>817</v>
      </c>
      <c r="FGQ6" s="545" t="s">
        <v>816</v>
      </c>
      <c r="FGR6" s="545"/>
      <c r="FGS6" s="545"/>
      <c r="FGT6" s="545"/>
      <c r="FGU6" s="136" t="s">
        <v>168</v>
      </c>
      <c r="FGV6" s="137">
        <v>1</v>
      </c>
      <c r="FGW6" s="137">
        <v>167.32</v>
      </c>
      <c r="FGX6" s="181" t="s">
        <v>817</v>
      </c>
      <c r="FGY6" s="545" t="s">
        <v>816</v>
      </c>
      <c r="FGZ6" s="545"/>
      <c r="FHA6" s="545"/>
      <c r="FHB6" s="545"/>
      <c r="FHC6" s="136" t="s">
        <v>168</v>
      </c>
      <c r="FHD6" s="137">
        <v>1</v>
      </c>
      <c r="FHE6" s="137">
        <v>167.32</v>
      </c>
      <c r="FHF6" s="181" t="s">
        <v>817</v>
      </c>
      <c r="FHG6" s="545" t="s">
        <v>816</v>
      </c>
      <c r="FHH6" s="545"/>
      <c r="FHI6" s="545"/>
      <c r="FHJ6" s="545"/>
      <c r="FHK6" s="136" t="s">
        <v>168</v>
      </c>
      <c r="FHL6" s="137">
        <v>1</v>
      </c>
      <c r="FHM6" s="137">
        <v>167.32</v>
      </c>
      <c r="FHN6" s="181" t="s">
        <v>817</v>
      </c>
      <c r="FHO6" s="545" t="s">
        <v>816</v>
      </c>
      <c r="FHP6" s="545"/>
      <c r="FHQ6" s="545"/>
      <c r="FHR6" s="545"/>
      <c r="FHS6" s="136" t="s">
        <v>168</v>
      </c>
      <c r="FHT6" s="137">
        <v>1</v>
      </c>
      <c r="FHU6" s="137">
        <v>167.32</v>
      </c>
      <c r="FHV6" s="181" t="s">
        <v>817</v>
      </c>
      <c r="FHW6" s="545" t="s">
        <v>816</v>
      </c>
      <c r="FHX6" s="545"/>
      <c r="FHY6" s="545"/>
      <c r="FHZ6" s="545"/>
      <c r="FIA6" s="136" t="s">
        <v>168</v>
      </c>
      <c r="FIB6" s="137">
        <v>1</v>
      </c>
      <c r="FIC6" s="137">
        <v>167.32</v>
      </c>
      <c r="FID6" s="181" t="s">
        <v>817</v>
      </c>
      <c r="FIE6" s="545" t="s">
        <v>816</v>
      </c>
      <c r="FIF6" s="545"/>
      <c r="FIG6" s="545"/>
      <c r="FIH6" s="545"/>
      <c r="FII6" s="136" t="s">
        <v>168</v>
      </c>
      <c r="FIJ6" s="137">
        <v>1</v>
      </c>
      <c r="FIK6" s="137">
        <v>167.32</v>
      </c>
      <c r="FIL6" s="181" t="s">
        <v>817</v>
      </c>
      <c r="FIM6" s="545" t="s">
        <v>816</v>
      </c>
      <c r="FIN6" s="545"/>
      <c r="FIO6" s="545"/>
      <c r="FIP6" s="545"/>
      <c r="FIQ6" s="136" t="s">
        <v>168</v>
      </c>
      <c r="FIR6" s="137">
        <v>1</v>
      </c>
      <c r="FIS6" s="137">
        <v>167.32</v>
      </c>
      <c r="FIT6" s="181" t="s">
        <v>817</v>
      </c>
      <c r="FIU6" s="545" t="s">
        <v>816</v>
      </c>
      <c r="FIV6" s="545"/>
      <c r="FIW6" s="545"/>
      <c r="FIX6" s="545"/>
      <c r="FIY6" s="136" t="s">
        <v>168</v>
      </c>
      <c r="FIZ6" s="137">
        <v>1</v>
      </c>
      <c r="FJA6" s="137">
        <v>167.32</v>
      </c>
      <c r="FJB6" s="181" t="s">
        <v>817</v>
      </c>
      <c r="FJC6" s="545" t="s">
        <v>816</v>
      </c>
      <c r="FJD6" s="545"/>
      <c r="FJE6" s="545"/>
      <c r="FJF6" s="545"/>
      <c r="FJG6" s="136" t="s">
        <v>168</v>
      </c>
      <c r="FJH6" s="137">
        <v>1</v>
      </c>
      <c r="FJI6" s="137">
        <v>167.32</v>
      </c>
      <c r="FJJ6" s="181" t="s">
        <v>817</v>
      </c>
      <c r="FJK6" s="545" t="s">
        <v>816</v>
      </c>
      <c r="FJL6" s="545"/>
      <c r="FJM6" s="545"/>
      <c r="FJN6" s="545"/>
      <c r="FJO6" s="136" t="s">
        <v>168</v>
      </c>
      <c r="FJP6" s="137">
        <v>1</v>
      </c>
      <c r="FJQ6" s="137">
        <v>167.32</v>
      </c>
      <c r="FJR6" s="181" t="s">
        <v>817</v>
      </c>
      <c r="FJS6" s="545" t="s">
        <v>816</v>
      </c>
      <c r="FJT6" s="545"/>
      <c r="FJU6" s="545"/>
      <c r="FJV6" s="545"/>
      <c r="FJW6" s="136" t="s">
        <v>168</v>
      </c>
      <c r="FJX6" s="137">
        <v>1</v>
      </c>
      <c r="FJY6" s="137">
        <v>167.32</v>
      </c>
      <c r="FJZ6" s="181" t="s">
        <v>817</v>
      </c>
      <c r="FKA6" s="545" t="s">
        <v>816</v>
      </c>
      <c r="FKB6" s="545"/>
      <c r="FKC6" s="545"/>
      <c r="FKD6" s="545"/>
      <c r="FKE6" s="136" t="s">
        <v>168</v>
      </c>
      <c r="FKF6" s="137">
        <v>1</v>
      </c>
      <c r="FKG6" s="137">
        <v>167.32</v>
      </c>
      <c r="FKH6" s="181" t="s">
        <v>817</v>
      </c>
      <c r="FKI6" s="545" t="s">
        <v>816</v>
      </c>
      <c r="FKJ6" s="545"/>
      <c r="FKK6" s="545"/>
      <c r="FKL6" s="545"/>
      <c r="FKM6" s="136" t="s">
        <v>168</v>
      </c>
      <c r="FKN6" s="137">
        <v>1</v>
      </c>
      <c r="FKO6" s="137">
        <v>167.32</v>
      </c>
      <c r="FKP6" s="181" t="s">
        <v>817</v>
      </c>
      <c r="FKQ6" s="545" t="s">
        <v>816</v>
      </c>
      <c r="FKR6" s="545"/>
      <c r="FKS6" s="545"/>
      <c r="FKT6" s="545"/>
      <c r="FKU6" s="136" t="s">
        <v>168</v>
      </c>
      <c r="FKV6" s="137">
        <v>1</v>
      </c>
      <c r="FKW6" s="137">
        <v>167.32</v>
      </c>
      <c r="FKX6" s="181" t="s">
        <v>817</v>
      </c>
      <c r="FKY6" s="545" t="s">
        <v>816</v>
      </c>
      <c r="FKZ6" s="545"/>
      <c r="FLA6" s="545"/>
      <c r="FLB6" s="545"/>
      <c r="FLC6" s="136" t="s">
        <v>168</v>
      </c>
      <c r="FLD6" s="137">
        <v>1</v>
      </c>
      <c r="FLE6" s="137">
        <v>167.32</v>
      </c>
      <c r="FLF6" s="181" t="s">
        <v>817</v>
      </c>
      <c r="FLG6" s="545" t="s">
        <v>816</v>
      </c>
      <c r="FLH6" s="545"/>
      <c r="FLI6" s="545"/>
      <c r="FLJ6" s="545"/>
      <c r="FLK6" s="136" t="s">
        <v>168</v>
      </c>
      <c r="FLL6" s="137">
        <v>1</v>
      </c>
      <c r="FLM6" s="137">
        <v>167.32</v>
      </c>
      <c r="FLN6" s="181" t="s">
        <v>817</v>
      </c>
      <c r="FLO6" s="545" t="s">
        <v>816</v>
      </c>
      <c r="FLP6" s="545"/>
      <c r="FLQ6" s="545"/>
      <c r="FLR6" s="545"/>
      <c r="FLS6" s="136" t="s">
        <v>168</v>
      </c>
      <c r="FLT6" s="137">
        <v>1</v>
      </c>
      <c r="FLU6" s="137">
        <v>167.32</v>
      </c>
      <c r="FLV6" s="181" t="s">
        <v>817</v>
      </c>
      <c r="FLW6" s="545" t="s">
        <v>816</v>
      </c>
      <c r="FLX6" s="545"/>
      <c r="FLY6" s="545"/>
      <c r="FLZ6" s="545"/>
      <c r="FMA6" s="136" t="s">
        <v>168</v>
      </c>
      <c r="FMB6" s="137">
        <v>1</v>
      </c>
      <c r="FMC6" s="137">
        <v>167.32</v>
      </c>
      <c r="FMD6" s="181" t="s">
        <v>817</v>
      </c>
      <c r="FME6" s="545" t="s">
        <v>816</v>
      </c>
      <c r="FMF6" s="545"/>
      <c r="FMG6" s="545"/>
      <c r="FMH6" s="545"/>
      <c r="FMI6" s="136" t="s">
        <v>168</v>
      </c>
      <c r="FMJ6" s="137">
        <v>1</v>
      </c>
      <c r="FMK6" s="137">
        <v>167.32</v>
      </c>
      <c r="FML6" s="181" t="s">
        <v>817</v>
      </c>
      <c r="FMM6" s="545" t="s">
        <v>816</v>
      </c>
      <c r="FMN6" s="545"/>
      <c r="FMO6" s="545"/>
      <c r="FMP6" s="545"/>
      <c r="FMQ6" s="136" t="s">
        <v>168</v>
      </c>
      <c r="FMR6" s="137">
        <v>1</v>
      </c>
      <c r="FMS6" s="137">
        <v>167.32</v>
      </c>
      <c r="FMT6" s="181" t="s">
        <v>817</v>
      </c>
      <c r="FMU6" s="545" t="s">
        <v>816</v>
      </c>
      <c r="FMV6" s="545"/>
      <c r="FMW6" s="545"/>
      <c r="FMX6" s="545"/>
      <c r="FMY6" s="136" t="s">
        <v>168</v>
      </c>
      <c r="FMZ6" s="137">
        <v>1</v>
      </c>
      <c r="FNA6" s="137">
        <v>167.32</v>
      </c>
      <c r="FNB6" s="181" t="s">
        <v>817</v>
      </c>
      <c r="FNC6" s="545" t="s">
        <v>816</v>
      </c>
      <c r="FND6" s="545"/>
      <c r="FNE6" s="545"/>
      <c r="FNF6" s="545"/>
      <c r="FNG6" s="136" t="s">
        <v>168</v>
      </c>
      <c r="FNH6" s="137">
        <v>1</v>
      </c>
      <c r="FNI6" s="137">
        <v>167.32</v>
      </c>
      <c r="FNJ6" s="181" t="s">
        <v>817</v>
      </c>
      <c r="FNK6" s="545" t="s">
        <v>816</v>
      </c>
      <c r="FNL6" s="545"/>
      <c r="FNM6" s="545"/>
      <c r="FNN6" s="545"/>
      <c r="FNO6" s="136" t="s">
        <v>168</v>
      </c>
      <c r="FNP6" s="137">
        <v>1</v>
      </c>
      <c r="FNQ6" s="137">
        <v>167.32</v>
      </c>
      <c r="FNR6" s="181" t="s">
        <v>817</v>
      </c>
      <c r="FNS6" s="545" t="s">
        <v>816</v>
      </c>
      <c r="FNT6" s="545"/>
      <c r="FNU6" s="545"/>
      <c r="FNV6" s="545"/>
      <c r="FNW6" s="136" t="s">
        <v>168</v>
      </c>
      <c r="FNX6" s="137">
        <v>1</v>
      </c>
      <c r="FNY6" s="137">
        <v>167.32</v>
      </c>
      <c r="FNZ6" s="181" t="s">
        <v>817</v>
      </c>
      <c r="FOA6" s="545" t="s">
        <v>816</v>
      </c>
      <c r="FOB6" s="545"/>
      <c r="FOC6" s="545"/>
      <c r="FOD6" s="545"/>
      <c r="FOE6" s="136" t="s">
        <v>168</v>
      </c>
      <c r="FOF6" s="137">
        <v>1</v>
      </c>
      <c r="FOG6" s="137">
        <v>167.32</v>
      </c>
      <c r="FOH6" s="181" t="s">
        <v>817</v>
      </c>
      <c r="FOI6" s="545" t="s">
        <v>816</v>
      </c>
      <c r="FOJ6" s="545"/>
      <c r="FOK6" s="545"/>
      <c r="FOL6" s="545"/>
      <c r="FOM6" s="136" t="s">
        <v>168</v>
      </c>
      <c r="FON6" s="137">
        <v>1</v>
      </c>
      <c r="FOO6" s="137">
        <v>167.32</v>
      </c>
      <c r="FOP6" s="181" t="s">
        <v>817</v>
      </c>
      <c r="FOQ6" s="545" t="s">
        <v>816</v>
      </c>
      <c r="FOR6" s="545"/>
      <c r="FOS6" s="545"/>
      <c r="FOT6" s="545"/>
      <c r="FOU6" s="136" t="s">
        <v>168</v>
      </c>
      <c r="FOV6" s="137">
        <v>1</v>
      </c>
      <c r="FOW6" s="137">
        <v>167.32</v>
      </c>
      <c r="FOX6" s="181" t="s">
        <v>817</v>
      </c>
      <c r="FOY6" s="545" t="s">
        <v>816</v>
      </c>
      <c r="FOZ6" s="545"/>
      <c r="FPA6" s="545"/>
      <c r="FPB6" s="545"/>
      <c r="FPC6" s="136" t="s">
        <v>168</v>
      </c>
      <c r="FPD6" s="137">
        <v>1</v>
      </c>
      <c r="FPE6" s="137">
        <v>167.32</v>
      </c>
      <c r="FPF6" s="181" t="s">
        <v>817</v>
      </c>
      <c r="FPG6" s="545" t="s">
        <v>816</v>
      </c>
      <c r="FPH6" s="545"/>
      <c r="FPI6" s="545"/>
      <c r="FPJ6" s="545"/>
      <c r="FPK6" s="136" t="s">
        <v>168</v>
      </c>
      <c r="FPL6" s="137">
        <v>1</v>
      </c>
      <c r="FPM6" s="137">
        <v>167.32</v>
      </c>
      <c r="FPN6" s="181" t="s">
        <v>817</v>
      </c>
      <c r="FPO6" s="545" t="s">
        <v>816</v>
      </c>
      <c r="FPP6" s="545"/>
      <c r="FPQ6" s="545"/>
      <c r="FPR6" s="545"/>
      <c r="FPS6" s="136" t="s">
        <v>168</v>
      </c>
      <c r="FPT6" s="137">
        <v>1</v>
      </c>
      <c r="FPU6" s="137">
        <v>167.32</v>
      </c>
      <c r="FPV6" s="181" t="s">
        <v>817</v>
      </c>
      <c r="FPW6" s="545" t="s">
        <v>816</v>
      </c>
      <c r="FPX6" s="545"/>
      <c r="FPY6" s="545"/>
      <c r="FPZ6" s="545"/>
      <c r="FQA6" s="136" t="s">
        <v>168</v>
      </c>
      <c r="FQB6" s="137">
        <v>1</v>
      </c>
      <c r="FQC6" s="137">
        <v>167.32</v>
      </c>
      <c r="FQD6" s="181" t="s">
        <v>817</v>
      </c>
      <c r="FQE6" s="545" t="s">
        <v>816</v>
      </c>
      <c r="FQF6" s="545"/>
      <c r="FQG6" s="545"/>
      <c r="FQH6" s="545"/>
      <c r="FQI6" s="136" t="s">
        <v>168</v>
      </c>
      <c r="FQJ6" s="137">
        <v>1</v>
      </c>
      <c r="FQK6" s="137">
        <v>167.32</v>
      </c>
      <c r="FQL6" s="181" t="s">
        <v>817</v>
      </c>
      <c r="FQM6" s="545" t="s">
        <v>816</v>
      </c>
      <c r="FQN6" s="545"/>
      <c r="FQO6" s="545"/>
      <c r="FQP6" s="545"/>
      <c r="FQQ6" s="136" t="s">
        <v>168</v>
      </c>
      <c r="FQR6" s="137">
        <v>1</v>
      </c>
      <c r="FQS6" s="137">
        <v>167.32</v>
      </c>
      <c r="FQT6" s="181" t="s">
        <v>817</v>
      </c>
      <c r="FQU6" s="545" t="s">
        <v>816</v>
      </c>
      <c r="FQV6" s="545"/>
      <c r="FQW6" s="545"/>
      <c r="FQX6" s="545"/>
      <c r="FQY6" s="136" t="s">
        <v>168</v>
      </c>
      <c r="FQZ6" s="137">
        <v>1</v>
      </c>
      <c r="FRA6" s="137">
        <v>167.32</v>
      </c>
      <c r="FRB6" s="181" t="s">
        <v>817</v>
      </c>
      <c r="FRC6" s="545" t="s">
        <v>816</v>
      </c>
      <c r="FRD6" s="545"/>
      <c r="FRE6" s="545"/>
      <c r="FRF6" s="545"/>
      <c r="FRG6" s="136" t="s">
        <v>168</v>
      </c>
      <c r="FRH6" s="137">
        <v>1</v>
      </c>
      <c r="FRI6" s="137">
        <v>167.32</v>
      </c>
      <c r="FRJ6" s="181" t="s">
        <v>817</v>
      </c>
      <c r="FRK6" s="545" t="s">
        <v>816</v>
      </c>
      <c r="FRL6" s="545"/>
      <c r="FRM6" s="545"/>
      <c r="FRN6" s="545"/>
      <c r="FRO6" s="136" t="s">
        <v>168</v>
      </c>
      <c r="FRP6" s="137">
        <v>1</v>
      </c>
      <c r="FRQ6" s="137">
        <v>167.32</v>
      </c>
      <c r="FRR6" s="181" t="s">
        <v>817</v>
      </c>
      <c r="FRS6" s="545" t="s">
        <v>816</v>
      </c>
      <c r="FRT6" s="545"/>
      <c r="FRU6" s="545"/>
      <c r="FRV6" s="545"/>
      <c r="FRW6" s="136" t="s">
        <v>168</v>
      </c>
      <c r="FRX6" s="137">
        <v>1</v>
      </c>
      <c r="FRY6" s="137">
        <v>167.32</v>
      </c>
      <c r="FRZ6" s="181" t="s">
        <v>817</v>
      </c>
      <c r="FSA6" s="545" t="s">
        <v>816</v>
      </c>
      <c r="FSB6" s="545"/>
      <c r="FSC6" s="545"/>
      <c r="FSD6" s="545"/>
      <c r="FSE6" s="136" t="s">
        <v>168</v>
      </c>
      <c r="FSF6" s="137">
        <v>1</v>
      </c>
      <c r="FSG6" s="137">
        <v>167.32</v>
      </c>
      <c r="FSH6" s="181" t="s">
        <v>817</v>
      </c>
      <c r="FSI6" s="545" t="s">
        <v>816</v>
      </c>
      <c r="FSJ6" s="545"/>
      <c r="FSK6" s="545"/>
      <c r="FSL6" s="545"/>
      <c r="FSM6" s="136" t="s">
        <v>168</v>
      </c>
      <c r="FSN6" s="137">
        <v>1</v>
      </c>
      <c r="FSO6" s="137">
        <v>167.32</v>
      </c>
      <c r="FSP6" s="181" t="s">
        <v>817</v>
      </c>
      <c r="FSQ6" s="545" t="s">
        <v>816</v>
      </c>
      <c r="FSR6" s="545"/>
      <c r="FSS6" s="545"/>
      <c r="FST6" s="545"/>
      <c r="FSU6" s="136" t="s">
        <v>168</v>
      </c>
      <c r="FSV6" s="137">
        <v>1</v>
      </c>
      <c r="FSW6" s="137">
        <v>167.32</v>
      </c>
      <c r="FSX6" s="181" t="s">
        <v>817</v>
      </c>
      <c r="FSY6" s="545" t="s">
        <v>816</v>
      </c>
      <c r="FSZ6" s="545"/>
      <c r="FTA6" s="545"/>
      <c r="FTB6" s="545"/>
      <c r="FTC6" s="136" t="s">
        <v>168</v>
      </c>
      <c r="FTD6" s="137">
        <v>1</v>
      </c>
      <c r="FTE6" s="137">
        <v>167.32</v>
      </c>
      <c r="FTF6" s="181" t="s">
        <v>817</v>
      </c>
      <c r="FTG6" s="545" t="s">
        <v>816</v>
      </c>
      <c r="FTH6" s="545"/>
      <c r="FTI6" s="545"/>
      <c r="FTJ6" s="545"/>
      <c r="FTK6" s="136" t="s">
        <v>168</v>
      </c>
      <c r="FTL6" s="137">
        <v>1</v>
      </c>
      <c r="FTM6" s="137">
        <v>167.32</v>
      </c>
      <c r="FTN6" s="181" t="s">
        <v>817</v>
      </c>
      <c r="FTO6" s="545" t="s">
        <v>816</v>
      </c>
      <c r="FTP6" s="545"/>
      <c r="FTQ6" s="545"/>
      <c r="FTR6" s="545"/>
      <c r="FTS6" s="136" t="s">
        <v>168</v>
      </c>
      <c r="FTT6" s="137">
        <v>1</v>
      </c>
      <c r="FTU6" s="137">
        <v>167.32</v>
      </c>
      <c r="FTV6" s="181" t="s">
        <v>817</v>
      </c>
      <c r="FTW6" s="545" t="s">
        <v>816</v>
      </c>
      <c r="FTX6" s="545"/>
      <c r="FTY6" s="545"/>
      <c r="FTZ6" s="545"/>
      <c r="FUA6" s="136" t="s">
        <v>168</v>
      </c>
      <c r="FUB6" s="137">
        <v>1</v>
      </c>
      <c r="FUC6" s="137">
        <v>167.32</v>
      </c>
      <c r="FUD6" s="181" t="s">
        <v>817</v>
      </c>
      <c r="FUE6" s="545" t="s">
        <v>816</v>
      </c>
      <c r="FUF6" s="545"/>
      <c r="FUG6" s="545"/>
      <c r="FUH6" s="545"/>
      <c r="FUI6" s="136" t="s">
        <v>168</v>
      </c>
      <c r="FUJ6" s="137">
        <v>1</v>
      </c>
      <c r="FUK6" s="137">
        <v>167.32</v>
      </c>
      <c r="FUL6" s="181" t="s">
        <v>817</v>
      </c>
      <c r="FUM6" s="545" t="s">
        <v>816</v>
      </c>
      <c r="FUN6" s="545"/>
      <c r="FUO6" s="545"/>
      <c r="FUP6" s="545"/>
      <c r="FUQ6" s="136" t="s">
        <v>168</v>
      </c>
      <c r="FUR6" s="137">
        <v>1</v>
      </c>
      <c r="FUS6" s="137">
        <v>167.32</v>
      </c>
      <c r="FUT6" s="181" t="s">
        <v>817</v>
      </c>
      <c r="FUU6" s="545" t="s">
        <v>816</v>
      </c>
      <c r="FUV6" s="545"/>
      <c r="FUW6" s="545"/>
      <c r="FUX6" s="545"/>
      <c r="FUY6" s="136" t="s">
        <v>168</v>
      </c>
      <c r="FUZ6" s="137">
        <v>1</v>
      </c>
      <c r="FVA6" s="137">
        <v>167.32</v>
      </c>
      <c r="FVB6" s="181" t="s">
        <v>817</v>
      </c>
      <c r="FVC6" s="545" t="s">
        <v>816</v>
      </c>
      <c r="FVD6" s="545"/>
      <c r="FVE6" s="545"/>
      <c r="FVF6" s="545"/>
      <c r="FVG6" s="136" t="s">
        <v>168</v>
      </c>
      <c r="FVH6" s="137">
        <v>1</v>
      </c>
      <c r="FVI6" s="137">
        <v>167.32</v>
      </c>
      <c r="FVJ6" s="181" t="s">
        <v>817</v>
      </c>
      <c r="FVK6" s="545" t="s">
        <v>816</v>
      </c>
      <c r="FVL6" s="545"/>
      <c r="FVM6" s="545"/>
      <c r="FVN6" s="545"/>
      <c r="FVO6" s="136" t="s">
        <v>168</v>
      </c>
      <c r="FVP6" s="137">
        <v>1</v>
      </c>
      <c r="FVQ6" s="137">
        <v>167.32</v>
      </c>
      <c r="FVR6" s="181" t="s">
        <v>817</v>
      </c>
      <c r="FVS6" s="545" t="s">
        <v>816</v>
      </c>
      <c r="FVT6" s="545"/>
      <c r="FVU6" s="545"/>
      <c r="FVV6" s="545"/>
      <c r="FVW6" s="136" t="s">
        <v>168</v>
      </c>
      <c r="FVX6" s="137">
        <v>1</v>
      </c>
      <c r="FVY6" s="137">
        <v>167.32</v>
      </c>
      <c r="FVZ6" s="181" t="s">
        <v>817</v>
      </c>
      <c r="FWA6" s="545" t="s">
        <v>816</v>
      </c>
      <c r="FWB6" s="545"/>
      <c r="FWC6" s="545"/>
      <c r="FWD6" s="545"/>
      <c r="FWE6" s="136" t="s">
        <v>168</v>
      </c>
      <c r="FWF6" s="137">
        <v>1</v>
      </c>
      <c r="FWG6" s="137">
        <v>167.32</v>
      </c>
      <c r="FWH6" s="181" t="s">
        <v>817</v>
      </c>
      <c r="FWI6" s="545" t="s">
        <v>816</v>
      </c>
      <c r="FWJ6" s="545"/>
      <c r="FWK6" s="545"/>
      <c r="FWL6" s="545"/>
      <c r="FWM6" s="136" t="s">
        <v>168</v>
      </c>
      <c r="FWN6" s="137">
        <v>1</v>
      </c>
      <c r="FWO6" s="137">
        <v>167.32</v>
      </c>
      <c r="FWP6" s="181" t="s">
        <v>817</v>
      </c>
      <c r="FWQ6" s="545" t="s">
        <v>816</v>
      </c>
      <c r="FWR6" s="545"/>
      <c r="FWS6" s="545"/>
      <c r="FWT6" s="545"/>
      <c r="FWU6" s="136" t="s">
        <v>168</v>
      </c>
      <c r="FWV6" s="137">
        <v>1</v>
      </c>
      <c r="FWW6" s="137">
        <v>167.32</v>
      </c>
      <c r="FWX6" s="181" t="s">
        <v>817</v>
      </c>
      <c r="FWY6" s="545" t="s">
        <v>816</v>
      </c>
      <c r="FWZ6" s="545"/>
      <c r="FXA6" s="545"/>
      <c r="FXB6" s="545"/>
      <c r="FXC6" s="136" t="s">
        <v>168</v>
      </c>
      <c r="FXD6" s="137">
        <v>1</v>
      </c>
      <c r="FXE6" s="137">
        <v>167.32</v>
      </c>
      <c r="FXF6" s="181" t="s">
        <v>817</v>
      </c>
      <c r="FXG6" s="545" t="s">
        <v>816</v>
      </c>
      <c r="FXH6" s="545"/>
      <c r="FXI6" s="545"/>
      <c r="FXJ6" s="545"/>
      <c r="FXK6" s="136" t="s">
        <v>168</v>
      </c>
      <c r="FXL6" s="137">
        <v>1</v>
      </c>
      <c r="FXM6" s="137">
        <v>167.32</v>
      </c>
      <c r="FXN6" s="181" t="s">
        <v>817</v>
      </c>
      <c r="FXO6" s="545" t="s">
        <v>816</v>
      </c>
      <c r="FXP6" s="545"/>
      <c r="FXQ6" s="545"/>
      <c r="FXR6" s="545"/>
      <c r="FXS6" s="136" t="s">
        <v>168</v>
      </c>
      <c r="FXT6" s="137">
        <v>1</v>
      </c>
      <c r="FXU6" s="137">
        <v>167.32</v>
      </c>
      <c r="FXV6" s="181" t="s">
        <v>817</v>
      </c>
      <c r="FXW6" s="545" t="s">
        <v>816</v>
      </c>
      <c r="FXX6" s="545"/>
      <c r="FXY6" s="545"/>
      <c r="FXZ6" s="545"/>
      <c r="FYA6" s="136" t="s">
        <v>168</v>
      </c>
      <c r="FYB6" s="137">
        <v>1</v>
      </c>
      <c r="FYC6" s="137">
        <v>167.32</v>
      </c>
      <c r="FYD6" s="181" t="s">
        <v>817</v>
      </c>
      <c r="FYE6" s="545" t="s">
        <v>816</v>
      </c>
      <c r="FYF6" s="545"/>
      <c r="FYG6" s="545"/>
      <c r="FYH6" s="545"/>
      <c r="FYI6" s="136" t="s">
        <v>168</v>
      </c>
      <c r="FYJ6" s="137">
        <v>1</v>
      </c>
      <c r="FYK6" s="137">
        <v>167.32</v>
      </c>
      <c r="FYL6" s="181" t="s">
        <v>817</v>
      </c>
      <c r="FYM6" s="545" t="s">
        <v>816</v>
      </c>
      <c r="FYN6" s="545"/>
      <c r="FYO6" s="545"/>
      <c r="FYP6" s="545"/>
      <c r="FYQ6" s="136" t="s">
        <v>168</v>
      </c>
      <c r="FYR6" s="137">
        <v>1</v>
      </c>
      <c r="FYS6" s="137">
        <v>167.32</v>
      </c>
      <c r="FYT6" s="181" t="s">
        <v>817</v>
      </c>
      <c r="FYU6" s="545" t="s">
        <v>816</v>
      </c>
      <c r="FYV6" s="545"/>
      <c r="FYW6" s="545"/>
      <c r="FYX6" s="545"/>
      <c r="FYY6" s="136" t="s">
        <v>168</v>
      </c>
      <c r="FYZ6" s="137">
        <v>1</v>
      </c>
      <c r="FZA6" s="137">
        <v>167.32</v>
      </c>
      <c r="FZB6" s="181" t="s">
        <v>817</v>
      </c>
      <c r="FZC6" s="545" t="s">
        <v>816</v>
      </c>
      <c r="FZD6" s="545"/>
      <c r="FZE6" s="545"/>
      <c r="FZF6" s="545"/>
      <c r="FZG6" s="136" t="s">
        <v>168</v>
      </c>
      <c r="FZH6" s="137">
        <v>1</v>
      </c>
      <c r="FZI6" s="137">
        <v>167.32</v>
      </c>
      <c r="FZJ6" s="181" t="s">
        <v>817</v>
      </c>
      <c r="FZK6" s="545" t="s">
        <v>816</v>
      </c>
      <c r="FZL6" s="545"/>
      <c r="FZM6" s="545"/>
      <c r="FZN6" s="545"/>
      <c r="FZO6" s="136" t="s">
        <v>168</v>
      </c>
      <c r="FZP6" s="137">
        <v>1</v>
      </c>
      <c r="FZQ6" s="137">
        <v>167.32</v>
      </c>
      <c r="FZR6" s="181" t="s">
        <v>817</v>
      </c>
      <c r="FZS6" s="545" t="s">
        <v>816</v>
      </c>
      <c r="FZT6" s="545"/>
      <c r="FZU6" s="545"/>
      <c r="FZV6" s="545"/>
      <c r="FZW6" s="136" t="s">
        <v>168</v>
      </c>
      <c r="FZX6" s="137">
        <v>1</v>
      </c>
      <c r="FZY6" s="137">
        <v>167.32</v>
      </c>
      <c r="FZZ6" s="181" t="s">
        <v>817</v>
      </c>
      <c r="GAA6" s="545" t="s">
        <v>816</v>
      </c>
      <c r="GAB6" s="545"/>
      <c r="GAC6" s="545"/>
      <c r="GAD6" s="545"/>
      <c r="GAE6" s="136" t="s">
        <v>168</v>
      </c>
      <c r="GAF6" s="137">
        <v>1</v>
      </c>
      <c r="GAG6" s="137">
        <v>167.32</v>
      </c>
      <c r="GAH6" s="181" t="s">
        <v>817</v>
      </c>
      <c r="GAI6" s="545" t="s">
        <v>816</v>
      </c>
      <c r="GAJ6" s="545"/>
      <c r="GAK6" s="545"/>
      <c r="GAL6" s="545"/>
      <c r="GAM6" s="136" t="s">
        <v>168</v>
      </c>
      <c r="GAN6" s="137">
        <v>1</v>
      </c>
      <c r="GAO6" s="137">
        <v>167.32</v>
      </c>
      <c r="GAP6" s="181" t="s">
        <v>817</v>
      </c>
      <c r="GAQ6" s="545" t="s">
        <v>816</v>
      </c>
      <c r="GAR6" s="545"/>
      <c r="GAS6" s="545"/>
      <c r="GAT6" s="545"/>
      <c r="GAU6" s="136" t="s">
        <v>168</v>
      </c>
      <c r="GAV6" s="137">
        <v>1</v>
      </c>
      <c r="GAW6" s="137">
        <v>167.32</v>
      </c>
      <c r="GAX6" s="181" t="s">
        <v>817</v>
      </c>
      <c r="GAY6" s="545" t="s">
        <v>816</v>
      </c>
      <c r="GAZ6" s="545"/>
      <c r="GBA6" s="545"/>
      <c r="GBB6" s="545"/>
      <c r="GBC6" s="136" t="s">
        <v>168</v>
      </c>
      <c r="GBD6" s="137">
        <v>1</v>
      </c>
      <c r="GBE6" s="137">
        <v>167.32</v>
      </c>
      <c r="GBF6" s="181" t="s">
        <v>817</v>
      </c>
      <c r="GBG6" s="545" t="s">
        <v>816</v>
      </c>
      <c r="GBH6" s="545"/>
      <c r="GBI6" s="545"/>
      <c r="GBJ6" s="545"/>
      <c r="GBK6" s="136" t="s">
        <v>168</v>
      </c>
      <c r="GBL6" s="137">
        <v>1</v>
      </c>
      <c r="GBM6" s="137">
        <v>167.32</v>
      </c>
      <c r="GBN6" s="181" t="s">
        <v>817</v>
      </c>
      <c r="GBO6" s="545" t="s">
        <v>816</v>
      </c>
      <c r="GBP6" s="545"/>
      <c r="GBQ6" s="545"/>
      <c r="GBR6" s="545"/>
      <c r="GBS6" s="136" t="s">
        <v>168</v>
      </c>
      <c r="GBT6" s="137">
        <v>1</v>
      </c>
      <c r="GBU6" s="137">
        <v>167.32</v>
      </c>
      <c r="GBV6" s="181" t="s">
        <v>817</v>
      </c>
      <c r="GBW6" s="545" t="s">
        <v>816</v>
      </c>
      <c r="GBX6" s="545"/>
      <c r="GBY6" s="545"/>
      <c r="GBZ6" s="545"/>
      <c r="GCA6" s="136" t="s">
        <v>168</v>
      </c>
      <c r="GCB6" s="137">
        <v>1</v>
      </c>
      <c r="GCC6" s="137">
        <v>167.32</v>
      </c>
      <c r="GCD6" s="181" t="s">
        <v>817</v>
      </c>
      <c r="GCE6" s="545" t="s">
        <v>816</v>
      </c>
      <c r="GCF6" s="545"/>
      <c r="GCG6" s="545"/>
      <c r="GCH6" s="545"/>
      <c r="GCI6" s="136" t="s">
        <v>168</v>
      </c>
      <c r="GCJ6" s="137">
        <v>1</v>
      </c>
      <c r="GCK6" s="137">
        <v>167.32</v>
      </c>
      <c r="GCL6" s="181" t="s">
        <v>817</v>
      </c>
      <c r="GCM6" s="545" t="s">
        <v>816</v>
      </c>
      <c r="GCN6" s="545"/>
      <c r="GCO6" s="545"/>
      <c r="GCP6" s="545"/>
      <c r="GCQ6" s="136" t="s">
        <v>168</v>
      </c>
      <c r="GCR6" s="137">
        <v>1</v>
      </c>
      <c r="GCS6" s="137">
        <v>167.32</v>
      </c>
      <c r="GCT6" s="181" t="s">
        <v>817</v>
      </c>
      <c r="GCU6" s="545" t="s">
        <v>816</v>
      </c>
      <c r="GCV6" s="545"/>
      <c r="GCW6" s="545"/>
      <c r="GCX6" s="545"/>
      <c r="GCY6" s="136" t="s">
        <v>168</v>
      </c>
      <c r="GCZ6" s="137">
        <v>1</v>
      </c>
      <c r="GDA6" s="137">
        <v>167.32</v>
      </c>
      <c r="GDB6" s="181" t="s">
        <v>817</v>
      </c>
      <c r="GDC6" s="545" t="s">
        <v>816</v>
      </c>
      <c r="GDD6" s="545"/>
      <c r="GDE6" s="545"/>
      <c r="GDF6" s="545"/>
      <c r="GDG6" s="136" t="s">
        <v>168</v>
      </c>
      <c r="GDH6" s="137">
        <v>1</v>
      </c>
      <c r="GDI6" s="137">
        <v>167.32</v>
      </c>
      <c r="GDJ6" s="181" t="s">
        <v>817</v>
      </c>
      <c r="GDK6" s="545" t="s">
        <v>816</v>
      </c>
      <c r="GDL6" s="545"/>
      <c r="GDM6" s="545"/>
      <c r="GDN6" s="545"/>
      <c r="GDO6" s="136" t="s">
        <v>168</v>
      </c>
      <c r="GDP6" s="137">
        <v>1</v>
      </c>
      <c r="GDQ6" s="137">
        <v>167.32</v>
      </c>
      <c r="GDR6" s="181" t="s">
        <v>817</v>
      </c>
      <c r="GDS6" s="545" t="s">
        <v>816</v>
      </c>
      <c r="GDT6" s="545"/>
      <c r="GDU6" s="545"/>
      <c r="GDV6" s="545"/>
      <c r="GDW6" s="136" t="s">
        <v>168</v>
      </c>
      <c r="GDX6" s="137">
        <v>1</v>
      </c>
      <c r="GDY6" s="137">
        <v>167.32</v>
      </c>
      <c r="GDZ6" s="181" t="s">
        <v>817</v>
      </c>
      <c r="GEA6" s="545" t="s">
        <v>816</v>
      </c>
      <c r="GEB6" s="545"/>
      <c r="GEC6" s="545"/>
      <c r="GED6" s="545"/>
      <c r="GEE6" s="136" t="s">
        <v>168</v>
      </c>
      <c r="GEF6" s="137">
        <v>1</v>
      </c>
      <c r="GEG6" s="137">
        <v>167.32</v>
      </c>
      <c r="GEH6" s="181" t="s">
        <v>817</v>
      </c>
      <c r="GEI6" s="545" t="s">
        <v>816</v>
      </c>
      <c r="GEJ6" s="545"/>
      <c r="GEK6" s="545"/>
      <c r="GEL6" s="545"/>
      <c r="GEM6" s="136" t="s">
        <v>168</v>
      </c>
      <c r="GEN6" s="137">
        <v>1</v>
      </c>
      <c r="GEO6" s="137">
        <v>167.32</v>
      </c>
      <c r="GEP6" s="181" t="s">
        <v>817</v>
      </c>
      <c r="GEQ6" s="545" t="s">
        <v>816</v>
      </c>
      <c r="GER6" s="545"/>
      <c r="GES6" s="545"/>
      <c r="GET6" s="545"/>
      <c r="GEU6" s="136" t="s">
        <v>168</v>
      </c>
      <c r="GEV6" s="137">
        <v>1</v>
      </c>
      <c r="GEW6" s="137">
        <v>167.32</v>
      </c>
      <c r="GEX6" s="181" t="s">
        <v>817</v>
      </c>
      <c r="GEY6" s="545" t="s">
        <v>816</v>
      </c>
      <c r="GEZ6" s="545"/>
      <c r="GFA6" s="545"/>
      <c r="GFB6" s="545"/>
      <c r="GFC6" s="136" t="s">
        <v>168</v>
      </c>
      <c r="GFD6" s="137">
        <v>1</v>
      </c>
      <c r="GFE6" s="137">
        <v>167.32</v>
      </c>
      <c r="GFF6" s="181" t="s">
        <v>817</v>
      </c>
      <c r="GFG6" s="545" t="s">
        <v>816</v>
      </c>
      <c r="GFH6" s="545"/>
      <c r="GFI6" s="545"/>
      <c r="GFJ6" s="545"/>
      <c r="GFK6" s="136" t="s">
        <v>168</v>
      </c>
      <c r="GFL6" s="137">
        <v>1</v>
      </c>
      <c r="GFM6" s="137">
        <v>167.32</v>
      </c>
      <c r="GFN6" s="181" t="s">
        <v>817</v>
      </c>
      <c r="GFO6" s="545" t="s">
        <v>816</v>
      </c>
      <c r="GFP6" s="545"/>
      <c r="GFQ6" s="545"/>
      <c r="GFR6" s="545"/>
      <c r="GFS6" s="136" t="s">
        <v>168</v>
      </c>
      <c r="GFT6" s="137">
        <v>1</v>
      </c>
      <c r="GFU6" s="137">
        <v>167.32</v>
      </c>
      <c r="GFV6" s="181" t="s">
        <v>817</v>
      </c>
      <c r="GFW6" s="545" t="s">
        <v>816</v>
      </c>
      <c r="GFX6" s="545"/>
      <c r="GFY6" s="545"/>
      <c r="GFZ6" s="545"/>
      <c r="GGA6" s="136" t="s">
        <v>168</v>
      </c>
      <c r="GGB6" s="137">
        <v>1</v>
      </c>
      <c r="GGC6" s="137">
        <v>167.32</v>
      </c>
      <c r="GGD6" s="181" t="s">
        <v>817</v>
      </c>
      <c r="GGE6" s="545" t="s">
        <v>816</v>
      </c>
      <c r="GGF6" s="545"/>
      <c r="GGG6" s="545"/>
      <c r="GGH6" s="545"/>
      <c r="GGI6" s="136" t="s">
        <v>168</v>
      </c>
      <c r="GGJ6" s="137">
        <v>1</v>
      </c>
      <c r="GGK6" s="137">
        <v>167.32</v>
      </c>
      <c r="GGL6" s="181" t="s">
        <v>817</v>
      </c>
      <c r="GGM6" s="545" t="s">
        <v>816</v>
      </c>
      <c r="GGN6" s="545"/>
      <c r="GGO6" s="545"/>
      <c r="GGP6" s="545"/>
      <c r="GGQ6" s="136" t="s">
        <v>168</v>
      </c>
      <c r="GGR6" s="137">
        <v>1</v>
      </c>
      <c r="GGS6" s="137">
        <v>167.32</v>
      </c>
      <c r="GGT6" s="181" t="s">
        <v>817</v>
      </c>
      <c r="GGU6" s="545" t="s">
        <v>816</v>
      </c>
      <c r="GGV6" s="545"/>
      <c r="GGW6" s="545"/>
      <c r="GGX6" s="545"/>
      <c r="GGY6" s="136" t="s">
        <v>168</v>
      </c>
      <c r="GGZ6" s="137">
        <v>1</v>
      </c>
      <c r="GHA6" s="137">
        <v>167.32</v>
      </c>
      <c r="GHB6" s="181" t="s">
        <v>817</v>
      </c>
      <c r="GHC6" s="545" t="s">
        <v>816</v>
      </c>
      <c r="GHD6" s="545"/>
      <c r="GHE6" s="545"/>
      <c r="GHF6" s="545"/>
      <c r="GHG6" s="136" t="s">
        <v>168</v>
      </c>
      <c r="GHH6" s="137">
        <v>1</v>
      </c>
      <c r="GHI6" s="137">
        <v>167.32</v>
      </c>
      <c r="GHJ6" s="181" t="s">
        <v>817</v>
      </c>
      <c r="GHK6" s="545" t="s">
        <v>816</v>
      </c>
      <c r="GHL6" s="545"/>
      <c r="GHM6" s="545"/>
      <c r="GHN6" s="545"/>
      <c r="GHO6" s="136" t="s">
        <v>168</v>
      </c>
      <c r="GHP6" s="137">
        <v>1</v>
      </c>
      <c r="GHQ6" s="137">
        <v>167.32</v>
      </c>
      <c r="GHR6" s="181" t="s">
        <v>817</v>
      </c>
      <c r="GHS6" s="545" t="s">
        <v>816</v>
      </c>
      <c r="GHT6" s="545"/>
      <c r="GHU6" s="545"/>
      <c r="GHV6" s="545"/>
      <c r="GHW6" s="136" t="s">
        <v>168</v>
      </c>
      <c r="GHX6" s="137">
        <v>1</v>
      </c>
      <c r="GHY6" s="137">
        <v>167.32</v>
      </c>
      <c r="GHZ6" s="181" t="s">
        <v>817</v>
      </c>
      <c r="GIA6" s="545" t="s">
        <v>816</v>
      </c>
      <c r="GIB6" s="545"/>
      <c r="GIC6" s="545"/>
      <c r="GID6" s="545"/>
      <c r="GIE6" s="136" t="s">
        <v>168</v>
      </c>
      <c r="GIF6" s="137">
        <v>1</v>
      </c>
      <c r="GIG6" s="137">
        <v>167.32</v>
      </c>
      <c r="GIH6" s="181" t="s">
        <v>817</v>
      </c>
      <c r="GII6" s="545" t="s">
        <v>816</v>
      </c>
      <c r="GIJ6" s="545"/>
      <c r="GIK6" s="545"/>
      <c r="GIL6" s="545"/>
      <c r="GIM6" s="136" t="s">
        <v>168</v>
      </c>
      <c r="GIN6" s="137">
        <v>1</v>
      </c>
      <c r="GIO6" s="137">
        <v>167.32</v>
      </c>
      <c r="GIP6" s="181" t="s">
        <v>817</v>
      </c>
      <c r="GIQ6" s="545" t="s">
        <v>816</v>
      </c>
      <c r="GIR6" s="545"/>
      <c r="GIS6" s="545"/>
      <c r="GIT6" s="545"/>
      <c r="GIU6" s="136" t="s">
        <v>168</v>
      </c>
      <c r="GIV6" s="137">
        <v>1</v>
      </c>
      <c r="GIW6" s="137">
        <v>167.32</v>
      </c>
      <c r="GIX6" s="181" t="s">
        <v>817</v>
      </c>
      <c r="GIY6" s="545" t="s">
        <v>816</v>
      </c>
      <c r="GIZ6" s="545"/>
      <c r="GJA6" s="545"/>
      <c r="GJB6" s="545"/>
      <c r="GJC6" s="136" t="s">
        <v>168</v>
      </c>
      <c r="GJD6" s="137">
        <v>1</v>
      </c>
      <c r="GJE6" s="137">
        <v>167.32</v>
      </c>
      <c r="GJF6" s="181" t="s">
        <v>817</v>
      </c>
      <c r="GJG6" s="545" t="s">
        <v>816</v>
      </c>
      <c r="GJH6" s="545"/>
      <c r="GJI6" s="545"/>
      <c r="GJJ6" s="545"/>
      <c r="GJK6" s="136" t="s">
        <v>168</v>
      </c>
      <c r="GJL6" s="137">
        <v>1</v>
      </c>
      <c r="GJM6" s="137">
        <v>167.32</v>
      </c>
      <c r="GJN6" s="181" t="s">
        <v>817</v>
      </c>
      <c r="GJO6" s="545" t="s">
        <v>816</v>
      </c>
      <c r="GJP6" s="545"/>
      <c r="GJQ6" s="545"/>
      <c r="GJR6" s="545"/>
      <c r="GJS6" s="136" t="s">
        <v>168</v>
      </c>
      <c r="GJT6" s="137">
        <v>1</v>
      </c>
      <c r="GJU6" s="137">
        <v>167.32</v>
      </c>
      <c r="GJV6" s="181" t="s">
        <v>817</v>
      </c>
      <c r="GJW6" s="545" t="s">
        <v>816</v>
      </c>
      <c r="GJX6" s="545"/>
      <c r="GJY6" s="545"/>
      <c r="GJZ6" s="545"/>
      <c r="GKA6" s="136" t="s">
        <v>168</v>
      </c>
      <c r="GKB6" s="137">
        <v>1</v>
      </c>
      <c r="GKC6" s="137">
        <v>167.32</v>
      </c>
      <c r="GKD6" s="181" t="s">
        <v>817</v>
      </c>
      <c r="GKE6" s="545" t="s">
        <v>816</v>
      </c>
      <c r="GKF6" s="545"/>
      <c r="GKG6" s="545"/>
      <c r="GKH6" s="545"/>
      <c r="GKI6" s="136" t="s">
        <v>168</v>
      </c>
      <c r="GKJ6" s="137">
        <v>1</v>
      </c>
      <c r="GKK6" s="137">
        <v>167.32</v>
      </c>
      <c r="GKL6" s="181" t="s">
        <v>817</v>
      </c>
      <c r="GKM6" s="545" t="s">
        <v>816</v>
      </c>
      <c r="GKN6" s="545"/>
      <c r="GKO6" s="545"/>
      <c r="GKP6" s="545"/>
      <c r="GKQ6" s="136" t="s">
        <v>168</v>
      </c>
      <c r="GKR6" s="137">
        <v>1</v>
      </c>
      <c r="GKS6" s="137">
        <v>167.32</v>
      </c>
      <c r="GKT6" s="181" t="s">
        <v>817</v>
      </c>
      <c r="GKU6" s="545" t="s">
        <v>816</v>
      </c>
      <c r="GKV6" s="545"/>
      <c r="GKW6" s="545"/>
      <c r="GKX6" s="545"/>
      <c r="GKY6" s="136" t="s">
        <v>168</v>
      </c>
      <c r="GKZ6" s="137">
        <v>1</v>
      </c>
      <c r="GLA6" s="137">
        <v>167.32</v>
      </c>
      <c r="GLB6" s="181" t="s">
        <v>817</v>
      </c>
      <c r="GLC6" s="545" t="s">
        <v>816</v>
      </c>
      <c r="GLD6" s="545"/>
      <c r="GLE6" s="545"/>
      <c r="GLF6" s="545"/>
      <c r="GLG6" s="136" t="s">
        <v>168</v>
      </c>
      <c r="GLH6" s="137">
        <v>1</v>
      </c>
      <c r="GLI6" s="137">
        <v>167.32</v>
      </c>
      <c r="GLJ6" s="181" t="s">
        <v>817</v>
      </c>
      <c r="GLK6" s="545" t="s">
        <v>816</v>
      </c>
      <c r="GLL6" s="545"/>
      <c r="GLM6" s="545"/>
      <c r="GLN6" s="545"/>
      <c r="GLO6" s="136" t="s">
        <v>168</v>
      </c>
      <c r="GLP6" s="137">
        <v>1</v>
      </c>
      <c r="GLQ6" s="137">
        <v>167.32</v>
      </c>
      <c r="GLR6" s="181" t="s">
        <v>817</v>
      </c>
      <c r="GLS6" s="545" t="s">
        <v>816</v>
      </c>
      <c r="GLT6" s="545"/>
      <c r="GLU6" s="545"/>
      <c r="GLV6" s="545"/>
      <c r="GLW6" s="136" t="s">
        <v>168</v>
      </c>
      <c r="GLX6" s="137">
        <v>1</v>
      </c>
      <c r="GLY6" s="137">
        <v>167.32</v>
      </c>
      <c r="GLZ6" s="181" t="s">
        <v>817</v>
      </c>
      <c r="GMA6" s="545" t="s">
        <v>816</v>
      </c>
      <c r="GMB6" s="545"/>
      <c r="GMC6" s="545"/>
      <c r="GMD6" s="545"/>
      <c r="GME6" s="136" t="s">
        <v>168</v>
      </c>
      <c r="GMF6" s="137">
        <v>1</v>
      </c>
      <c r="GMG6" s="137">
        <v>167.32</v>
      </c>
      <c r="GMH6" s="181" t="s">
        <v>817</v>
      </c>
      <c r="GMI6" s="545" t="s">
        <v>816</v>
      </c>
      <c r="GMJ6" s="545"/>
      <c r="GMK6" s="545"/>
      <c r="GML6" s="545"/>
      <c r="GMM6" s="136" t="s">
        <v>168</v>
      </c>
      <c r="GMN6" s="137">
        <v>1</v>
      </c>
      <c r="GMO6" s="137">
        <v>167.32</v>
      </c>
      <c r="GMP6" s="181" t="s">
        <v>817</v>
      </c>
      <c r="GMQ6" s="545" t="s">
        <v>816</v>
      </c>
      <c r="GMR6" s="545"/>
      <c r="GMS6" s="545"/>
      <c r="GMT6" s="545"/>
      <c r="GMU6" s="136" t="s">
        <v>168</v>
      </c>
      <c r="GMV6" s="137">
        <v>1</v>
      </c>
      <c r="GMW6" s="137">
        <v>167.32</v>
      </c>
      <c r="GMX6" s="181" t="s">
        <v>817</v>
      </c>
      <c r="GMY6" s="545" t="s">
        <v>816</v>
      </c>
      <c r="GMZ6" s="545"/>
      <c r="GNA6" s="545"/>
      <c r="GNB6" s="545"/>
      <c r="GNC6" s="136" t="s">
        <v>168</v>
      </c>
      <c r="GND6" s="137">
        <v>1</v>
      </c>
      <c r="GNE6" s="137">
        <v>167.32</v>
      </c>
      <c r="GNF6" s="181" t="s">
        <v>817</v>
      </c>
      <c r="GNG6" s="545" t="s">
        <v>816</v>
      </c>
      <c r="GNH6" s="545"/>
      <c r="GNI6" s="545"/>
      <c r="GNJ6" s="545"/>
      <c r="GNK6" s="136" t="s">
        <v>168</v>
      </c>
      <c r="GNL6" s="137">
        <v>1</v>
      </c>
      <c r="GNM6" s="137">
        <v>167.32</v>
      </c>
      <c r="GNN6" s="181" t="s">
        <v>817</v>
      </c>
      <c r="GNO6" s="545" t="s">
        <v>816</v>
      </c>
      <c r="GNP6" s="545"/>
      <c r="GNQ6" s="545"/>
      <c r="GNR6" s="545"/>
      <c r="GNS6" s="136" t="s">
        <v>168</v>
      </c>
      <c r="GNT6" s="137">
        <v>1</v>
      </c>
      <c r="GNU6" s="137">
        <v>167.32</v>
      </c>
      <c r="GNV6" s="181" t="s">
        <v>817</v>
      </c>
      <c r="GNW6" s="545" t="s">
        <v>816</v>
      </c>
      <c r="GNX6" s="545"/>
      <c r="GNY6" s="545"/>
      <c r="GNZ6" s="545"/>
      <c r="GOA6" s="136" t="s">
        <v>168</v>
      </c>
      <c r="GOB6" s="137">
        <v>1</v>
      </c>
      <c r="GOC6" s="137">
        <v>167.32</v>
      </c>
      <c r="GOD6" s="181" t="s">
        <v>817</v>
      </c>
      <c r="GOE6" s="545" t="s">
        <v>816</v>
      </c>
      <c r="GOF6" s="545"/>
      <c r="GOG6" s="545"/>
      <c r="GOH6" s="545"/>
      <c r="GOI6" s="136" t="s">
        <v>168</v>
      </c>
      <c r="GOJ6" s="137">
        <v>1</v>
      </c>
      <c r="GOK6" s="137">
        <v>167.32</v>
      </c>
      <c r="GOL6" s="181" t="s">
        <v>817</v>
      </c>
      <c r="GOM6" s="545" t="s">
        <v>816</v>
      </c>
      <c r="GON6" s="545"/>
      <c r="GOO6" s="545"/>
      <c r="GOP6" s="545"/>
      <c r="GOQ6" s="136" t="s">
        <v>168</v>
      </c>
      <c r="GOR6" s="137">
        <v>1</v>
      </c>
      <c r="GOS6" s="137">
        <v>167.32</v>
      </c>
      <c r="GOT6" s="181" t="s">
        <v>817</v>
      </c>
      <c r="GOU6" s="545" t="s">
        <v>816</v>
      </c>
      <c r="GOV6" s="545"/>
      <c r="GOW6" s="545"/>
      <c r="GOX6" s="545"/>
      <c r="GOY6" s="136" t="s">
        <v>168</v>
      </c>
      <c r="GOZ6" s="137">
        <v>1</v>
      </c>
      <c r="GPA6" s="137">
        <v>167.32</v>
      </c>
      <c r="GPB6" s="181" t="s">
        <v>817</v>
      </c>
      <c r="GPC6" s="545" t="s">
        <v>816</v>
      </c>
      <c r="GPD6" s="545"/>
      <c r="GPE6" s="545"/>
      <c r="GPF6" s="545"/>
      <c r="GPG6" s="136" t="s">
        <v>168</v>
      </c>
      <c r="GPH6" s="137">
        <v>1</v>
      </c>
      <c r="GPI6" s="137">
        <v>167.32</v>
      </c>
      <c r="GPJ6" s="181" t="s">
        <v>817</v>
      </c>
      <c r="GPK6" s="545" t="s">
        <v>816</v>
      </c>
      <c r="GPL6" s="545"/>
      <c r="GPM6" s="545"/>
      <c r="GPN6" s="545"/>
      <c r="GPO6" s="136" t="s">
        <v>168</v>
      </c>
      <c r="GPP6" s="137">
        <v>1</v>
      </c>
      <c r="GPQ6" s="137">
        <v>167.32</v>
      </c>
      <c r="GPR6" s="181" t="s">
        <v>817</v>
      </c>
      <c r="GPS6" s="545" t="s">
        <v>816</v>
      </c>
      <c r="GPT6" s="545"/>
      <c r="GPU6" s="545"/>
      <c r="GPV6" s="545"/>
      <c r="GPW6" s="136" t="s">
        <v>168</v>
      </c>
      <c r="GPX6" s="137">
        <v>1</v>
      </c>
      <c r="GPY6" s="137">
        <v>167.32</v>
      </c>
      <c r="GPZ6" s="181" t="s">
        <v>817</v>
      </c>
      <c r="GQA6" s="545" t="s">
        <v>816</v>
      </c>
      <c r="GQB6" s="545"/>
      <c r="GQC6" s="545"/>
      <c r="GQD6" s="545"/>
      <c r="GQE6" s="136" t="s">
        <v>168</v>
      </c>
      <c r="GQF6" s="137">
        <v>1</v>
      </c>
      <c r="GQG6" s="137">
        <v>167.32</v>
      </c>
      <c r="GQH6" s="181" t="s">
        <v>817</v>
      </c>
      <c r="GQI6" s="545" t="s">
        <v>816</v>
      </c>
      <c r="GQJ6" s="545"/>
      <c r="GQK6" s="545"/>
      <c r="GQL6" s="545"/>
      <c r="GQM6" s="136" t="s">
        <v>168</v>
      </c>
      <c r="GQN6" s="137">
        <v>1</v>
      </c>
      <c r="GQO6" s="137">
        <v>167.32</v>
      </c>
      <c r="GQP6" s="181" t="s">
        <v>817</v>
      </c>
      <c r="GQQ6" s="545" t="s">
        <v>816</v>
      </c>
      <c r="GQR6" s="545"/>
      <c r="GQS6" s="545"/>
      <c r="GQT6" s="545"/>
      <c r="GQU6" s="136" t="s">
        <v>168</v>
      </c>
      <c r="GQV6" s="137">
        <v>1</v>
      </c>
      <c r="GQW6" s="137">
        <v>167.32</v>
      </c>
      <c r="GQX6" s="181" t="s">
        <v>817</v>
      </c>
      <c r="GQY6" s="545" t="s">
        <v>816</v>
      </c>
      <c r="GQZ6" s="545"/>
      <c r="GRA6" s="545"/>
      <c r="GRB6" s="545"/>
      <c r="GRC6" s="136" t="s">
        <v>168</v>
      </c>
      <c r="GRD6" s="137">
        <v>1</v>
      </c>
      <c r="GRE6" s="137">
        <v>167.32</v>
      </c>
      <c r="GRF6" s="181" t="s">
        <v>817</v>
      </c>
      <c r="GRG6" s="545" t="s">
        <v>816</v>
      </c>
      <c r="GRH6" s="545"/>
      <c r="GRI6" s="545"/>
      <c r="GRJ6" s="545"/>
      <c r="GRK6" s="136" t="s">
        <v>168</v>
      </c>
      <c r="GRL6" s="137">
        <v>1</v>
      </c>
      <c r="GRM6" s="137">
        <v>167.32</v>
      </c>
      <c r="GRN6" s="181" t="s">
        <v>817</v>
      </c>
      <c r="GRO6" s="545" t="s">
        <v>816</v>
      </c>
      <c r="GRP6" s="545"/>
      <c r="GRQ6" s="545"/>
      <c r="GRR6" s="545"/>
      <c r="GRS6" s="136" t="s">
        <v>168</v>
      </c>
      <c r="GRT6" s="137">
        <v>1</v>
      </c>
      <c r="GRU6" s="137">
        <v>167.32</v>
      </c>
      <c r="GRV6" s="181" t="s">
        <v>817</v>
      </c>
      <c r="GRW6" s="545" t="s">
        <v>816</v>
      </c>
      <c r="GRX6" s="545"/>
      <c r="GRY6" s="545"/>
      <c r="GRZ6" s="545"/>
      <c r="GSA6" s="136" t="s">
        <v>168</v>
      </c>
      <c r="GSB6" s="137">
        <v>1</v>
      </c>
      <c r="GSC6" s="137">
        <v>167.32</v>
      </c>
      <c r="GSD6" s="181" t="s">
        <v>817</v>
      </c>
      <c r="GSE6" s="545" t="s">
        <v>816</v>
      </c>
      <c r="GSF6" s="545"/>
      <c r="GSG6" s="545"/>
      <c r="GSH6" s="545"/>
      <c r="GSI6" s="136" t="s">
        <v>168</v>
      </c>
      <c r="GSJ6" s="137">
        <v>1</v>
      </c>
      <c r="GSK6" s="137">
        <v>167.32</v>
      </c>
      <c r="GSL6" s="181" t="s">
        <v>817</v>
      </c>
      <c r="GSM6" s="545" t="s">
        <v>816</v>
      </c>
      <c r="GSN6" s="545"/>
      <c r="GSO6" s="545"/>
      <c r="GSP6" s="545"/>
      <c r="GSQ6" s="136" t="s">
        <v>168</v>
      </c>
      <c r="GSR6" s="137">
        <v>1</v>
      </c>
      <c r="GSS6" s="137">
        <v>167.32</v>
      </c>
      <c r="GST6" s="181" t="s">
        <v>817</v>
      </c>
      <c r="GSU6" s="545" t="s">
        <v>816</v>
      </c>
      <c r="GSV6" s="545"/>
      <c r="GSW6" s="545"/>
      <c r="GSX6" s="545"/>
      <c r="GSY6" s="136" t="s">
        <v>168</v>
      </c>
      <c r="GSZ6" s="137">
        <v>1</v>
      </c>
      <c r="GTA6" s="137">
        <v>167.32</v>
      </c>
      <c r="GTB6" s="181" t="s">
        <v>817</v>
      </c>
      <c r="GTC6" s="545" t="s">
        <v>816</v>
      </c>
      <c r="GTD6" s="545"/>
      <c r="GTE6" s="545"/>
      <c r="GTF6" s="545"/>
      <c r="GTG6" s="136" t="s">
        <v>168</v>
      </c>
      <c r="GTH6" s="137">
        <v>1</v>
      </c>
      <c r="GTI6" s="137">
        <v>167.32</v>
      </c>
      <c r="GTJ6" s="181" t="s">
        <v>817</v>
      </c>
      <c r="GTK6" s="545" t="s">
        <v>816</v>
      </c>
      <c r="GTL6" s="545"/>
      <c r="GTM6" s="545"/>
      <c r="GTN6" s="545"/>
      <c r="GTO6" s="136" t="s">
        <v>168</v>
      </c>
      <c r="GTP6" s="137">
        <v>1</v>
      </c>
      <c r="GTQ6" s="137">
        <v>167.32</v>
      </c>
      <c r="GTR6" s="181" t="s">
        <v>817</v>
      </c>
      <c r="GTS6" s="545" t="s">
        <v>816</v>
      </c>
      <c r="GTT6" s="545"/>
      <c r="GTU6" s="545"/>
      <c r="GTV6" s="545"/>
      <c r="GTW6" s="136" t="s">
        <v>168</v>
      </c>
      <c r="GTX6" s="137">
        <v>1</v>
      </c>
      <c r="GTY6" s="137">
        <v>167.32</v>
      </c>
      <c r="GTZ6" s="181" t="s">
        <v>817</v>
      </c>
      <c r="GUA6" s="545" t="s">
        <v>816</v>
      </c>
      <c r="GUB6" s="545"/>
      <c r="GUC6" s="545"/>
      <c r="GUD6" s="545"/>
      <c r="GUE6" s="136" t="s">
        <v>168</v>
      </c>
      <c r="GUF6" s="137">
        <v>1</v>
      </c>
      <c r="GUG6" s="137">
        <v>167.32</v>
      </c>
      <c r="GUH6" s="181" t="s">
        <v>817</v>
      </c>
      <c r="GUI6" s="545" t="s">
        <v>816</v>
      </c>
      <c r="GUJ6" s="545"/>
      <c r="GUK6" s="545"/>
      <c r="GUL6" s="545"/>
      <c r="GUM6" s="136" t="s">
        <v>168</v>
      </c>
      <c r="GUN6" s="137">
        <v>1</v>
      </c>
      <c r="GUO6" s="137">
        <v>167.32</v>
      </c>
      <c r="GUP6" s="181" t="s">
        <v>817</v>
      </c>
      <c r="GUQ6" s="545" t="s">
        <v>816</v>
      </c>
      <c r="GUR6" s="545"/>
      <c r="GUS6" s="545"/>
      <c r="GUT6" s="545"/>
      <c r="GUU6" s="136" t="s">
        <v>168</v>
      </c>
      <c r="GUV6" s="137">
        <v>1</v>
      </c>
      <c r="GUW6" s="137">
        <v>167.32</v>
      </c>
      <c r="GUX6" s="181" t="s">
        <v>817</v>
      </c>
      <c r="GUY6" s="545" t="s">
        <v>816</v>
      </c>
      <c r="GUZ6" s="545"/>
      <c r="GVA6" s="545"/>
      <c r="GVB6" s="545"/>
      <c r="GVC6" s="136" t="s">
        <v>168</v>
      </c>
      <c r="GVD6" s="137">
        <v>1</v>
      </c>
      <c r="GVE6" s="137">
        <v>167.32</v>
      </c>
      <c r="GVF6" s="181" t="s">
        <v>817</v>
      </c>
      <c r="GVG6" s="545" t="s">
        <v>816</v>
      </c>
      <c r="GVH6" s="545"/>
      <c r="GVI6" s="545"/>
      <c r="GVJ6" s="545"/>
      <c r="GVK6" s="136" t="s">
        <v>168</v>
      </c>
      <c r="GVL6" s="137">
        <v>1</v>
      </c>
      <c r="GVM6" s="137">
        <v>167.32</v>
      </c>
      <c r="GVN6" s="181" t="s">
        <v>817</v>
      </c>
      <c r="GVO6" s="545" t="s">
        <v>816</v>
      </c>
      <c r="GVP6" s="545"/>
      <c r="GVQ6" s="545"/>
      <c r="GVR6" s="545"/>
      <c r="GVS6" s="136" t="s">
        <v>168</v>
      </c>
      <c r="GVT6" s="137">
        <v>1</v>
      </c>
      <c r="GVU6" s="137">
        <v>167.32</v>
      </c>
      <c r="GVV6" s="181" t="s">
        <v>817</v>
      </c>
      <c r="GVW6" s="545" t="s">
        <v>816</v>
      </c>
      <c r="GVX6" s="545"/>
      <c r="GVY6" s="545"/>
      <c r="GVZ6" s="545"/>
      <c r="GWA6" s="136" t="s">
        <v>168</v>
      </c>
      <c r="GWB6" s="137">
        <v>1</v>
      </c>
      <c r="GWC6" s="137">
        <v>167.32</v>
      </c>
      <c r="GWD6" s="181" t="s">
        <v>817</v>
      </c>
      <c r="GWE6" s="545" t="s">
        <v>816</v>
      </c>
      <c r="GWF6" s="545"/>
      <c r="GWG6" s="545"/>
      <c r="GWH6" s="545"/>
      <c r="GWI6" s="136" t="s">
        <v>168</v>
      </c>
      <c r="GWJ6" s="137">
        <v>1</v>
      </c>
      <c r="GWK6" s="137">
        <v>167.32</v>
      </c>
      <c r="GWL6" s="181" t="s">
        <v>817</v>
      </c>
      <c r="GWM6" s="545" t="s">
        <v>816</v>
      </c>
      <c r="GWN6" s="545"/>
      <c r="GWO6" s="545"/>
      <c r="GWP6" s="545"/>
      <c r="GWQ6" s="136" t="s">
        <v>168</v>
      </c>
      <c r="GWR6" s="137">
        <v>1</v>
      </c>
      <c r="GWS6" s="137">
        <v>167.32</v>
      </c>
      <c r="GWT6" s="181" t="s">
        <v>817</v>
      </c>
      <c r="GWU6" s="545" t="s">
        <v>816</v>
      </c>
      <c r="GWV6" s="545"/>
      <c r="GWW6" s="545"/>
      <c r="GWX6" s="545"/>
      <c r="GWY6" s="136" t="s">
        <v>168</v>
      </c>
      <c r="GWZ6" s="137">
        <v>1</v>
      </c>
      <c r="GXA6" s="137">
        <v>167.32</v>
      </c>
      <c r="GXB6" s="181" t="s">
        <v>817</v>
      </c>
      <c r="GXC6" s="545" t="s">
        <v>816</v>
      </c>
      <c r="GXD6" s="545"/>
      <c r="GXE6" s="545"/>
      <c r="GXF6" s="545"/>
      <c r="GXG6" s="136" t="s">
        <v>168</v>
      </c>
      <c r="GXH6" s="137">
        <v>1</v>
      </c>
      <c r="GXI6" s="137">
        <v>167.32</v>
      </c>
      <c r="GXJ6" s="181" t="s">
        <v>817</v>
      </c>
      <c r="GXK6" s="545" t="s">
        <v>816</v>
      </c>
      <c r="GXL6" s="545"/>
      <c r="GXM6" s="545"/>
      <c r="GXN6" s="545"/>
      <c r="GXO6" s="136" t="s">
        <v>168</v>
      </c>
      <c r="GXP6" s="137">
        <v>1</v>
      </c>
      <c r="GXQ6" s="137">
        <v>167.32</v>
      </c>
      <c r="GXR6" s="181" t="s">
        <v>817</v>
      </c>
      <c r="GXS6" s="545" t="s">
        <v>816</v>
      </c>
      <c r="GXT6" s="545"/>
      <c r="GXU6" s="545"/>
      <c r="GXV6" s="545"/>
      <c r="GXW6" s="136" t="s">
        <v>168</v>
      </c>
      <c r="GXX6" s="137">
        <v>1</v>
      </c>
      <c r="GXY6" s="137">
        <v>167.32</v>
      </c>
      <c r="GXZ6" s="181" t="s">
        <v>817</v>
      </c>
      <c r="GYA6" s="545" t="s">
        <v>816</v>
      </c>
      <c r="GYB6" s="545"/>
      <c r="GYC6" s="545"/>
      <c r="GYD6" s="545"/>
      <c r="GYE6" s="136" t="s">
        <v>168</v>
      </c>
      <c r="GYF6" s="137">
        <v>1</v>
      </c>
      <c r="GYG6" s="137">
        <v>167.32</v>
      </c>
      <c r="GYH6" s="181" t="s">
        <v>817</v>
      </c>
      <c r="GYI6" s="545" t="s">
        <v>816</v>
      </c>
      <c r="GYJ6" s="545"/>
      <c r="GYK6" s="545"/>
      <c r="GYL6" s="545"/>
      <c r="GYM6" s="136" t="s">
        <v>168</v>
      </c>
      <c r="GYN6" s="137">
        <v>1</v>
      </c>
      <c r="GYO6" s="137">
        <v>167.32</v>
      </c>
      <c r="GYP6" s="181" t="s">
        <v>817</v>
      </c>
      <c r="GYQ6" s="545" t="s">
        <v>816</v>
      </c>
      <c r="GYR6" s="545"/>
      <c r="GYS6" s="545"/>
      <c r="GYT6" s="545"/>
      <c r="GYU6" s="136" t="s">
        <v>168</v>
      </c>
      <c r="GYV6" s="137">
        <v>1</v>
      </c>
      <c r="GYW6" s="137">
        <v>167.32</v>
      </c>
      <c r="GYX6" s="181" t="s">
        <v>817</v>
      </c>
      <c r="GYY6" s="545" t="s">
        <v>816</v>
      </c>
      <c r="GYZ6" s="545"/>
      <c r="GZA6" s="545"/>
      <c r="GZB6" s="545"/>
      <c r="GZC6" s="136" t="s">
        <v>168</v>
      </c>
      <c r="GZD6" s="137">
        <v>1</v>
      </c>
      <c r="GZE6" s="137">
        <v>167.32</v>
      </c>
      <c r="GZF6" s="181" t="s">
        <v>817</v>
      </c>
      <c r="GZG6" s="545" t="s">
        <v>816</v>
      </c>
      <c r="GZH6" s="545"/>
      <c r="GZI6" s="545"/>
      <c r="GZJ6" s="545"/>
      <c r="GZK6" s="136" t="s">
        <v>168</v>
      </c>
      <c r="GZL6" s="137">
        <v>1</v>
      </c>
      <c r="GZM6" s="137">
        <v>167.32</v>
      </c>
      <c r="GZN6" s="181" t="s">
        <v>817</v>
      </c>
      <c r="GZO6" s="545" t="s">
        <v>816</v>
      </c>
      <c r="GZP6" s="545"/>
      <c r="GZQ6" s="545"/>
      <c r="GZR6" s="545"/>
      <c r="GZS6" s="136" t="s">
        <v>168</v>
      </c>
      <c r="GZT6" s="137">
        <v>1</v>
      </c>
      <c r="GZU6" s="137">
        <v>167.32</v>
      </c>
      <c r="GZV6" s="181" t="s">
        <v>817</v>
      </c>
      <c r="GZW6" s="545" t="s">
        <v>816</v>
      </c>
      <c r="GZX6" s="545"/>
      <c r="GZY6" s="545"/>
      <c r="GZZ6" s="545"/>
      <c r="HAA6" s="136" t="s">
        <v>168</v>
      </c>
      <c r="HAB6" s="137">
        <v>1</v>
      </c>
      <c r="HAC6" s="137">
        <v>167.32</v>
      </c>
      <c r="HAD6" s="181" t="s">
        <v>817</v>
      </c>
      <c r="HAE6" s="545" t="s">
        <v>816</v>
      </c>
      <c r="HAF6" s="545"/>
      <c r="HAG6" s="545"/>
      <c r="HAH6" s="545"/>
      <c r="HAI6" s="136" t="s">
        <v>168</v>
      </c>
      <c r="HAJ6" s="137">
        <v>1</v>
      </c>
      <c r="HAK6" s="137">
        <v>167.32</v>
      </c>
      <c r="HAL6" s="181" t="s">
        <v>817</v>
      </c>
      <c r="HAM6" s="545" t="s">
        <v>816</v>
      </c>
      <c r="HAN6" s="545"/>
      <c r="HAO6" s="545"/>
      <c r="HAP6" s="545"/>
      <c r="HAQ6" s="136" t="s">
        <v>168</v>
      </c>
      <c r="HAR6" s="137">
        <v>1</v>
      </c>
      <c r="HAS6" s="137">
        <v>167.32</v>
      </c>
      <c r="HAT6" s="181" t="s">
        <v>817</v>
      </c>
      <c r="HAU6" s="545" t="s">
        <v>816</v>
      </c>
      <c r="HAV6" s="545"/>
      <c r="HAW6" s="545"/>
      <c r="HAX6" s="545"/>
      <c r="HAY6" s="136" t="s">
        <v>168</v>
      </c>
      <c r="HAZ6" s="137">
        <v>1</v>
      </c>
      <c r="HBA6" s="137">
        <v>167.32</v>
      </c>
      <c r="HBB6" s="181" t="s">
        <v>817</v>
      </c>
      <c r="HBC6" s="545" t="s">
        <v>816</v>
      </c>
      <c r="HBD6" s="545"/>
      <c r="HBE6" s="545"/>
      <c r="HBF6" s="545"/>
      <c r="HBG6" s="136" t="s">
        <v>168</v>
      </c>
      <c r="HBH6" s="137">
        <v>1</v>
      </c>
      <c r="HBI6" s="137">
        <v>167.32</v>
      </c>
      <c r="HBJ6" s="181" t="s">
        <v>817</v>
      </c>
      <c r="HBK6" s="545" t="s">
        <v>816</v>
      </c>
      <c r="HBL6" s="545"/>
      <c r="HBM6" s="545"/>
      <c r="HBN6" s="545"/>
      <c r="HBO6" s="136" t="s">
        <v>168</v>
      </c>
      <c r="HBP6" s="137">
        <v>1</v>
      </c>
      <c r="HBQ6" s="137">
        <v>167.32</v>
      </c>
      <c r="HBR6" s="181" t="s">
        <v>817</v>
      </c>
      <c r="HBS6" s="545" t="s">
        <v>816</v>
      </c>
      <c r="HBT6" s="545"/>
      <c r="HBU6" s="545"/>
      <c r="HBV6" s="545"/>
      <c r="HBW6" s="136" t="s">
        <v>168</v>
      </c>
      <c r="HBX6" s="137">
        <v>1</v>
      </c>
      <c r="HBY6" s="137">
        <v>167.32</v>
      </c>
      <c r="HBZ6" s="181" t="s">
        <v>817</v>
      </c>
      <c r="HCA6" s="545" t="s">
        <v>816</v>
      </c>
      <c r="HCB6" s="545"/>
      <c r="HCC6" s="545"/>
      <c r="HCD6" s="545"/>
      <c r="HCE6" s="136" t="s">
        <v>168</v>
      </c>
      <c r="HCF6" s="137">
        <v>1</v>
      </c>
      <c r="HCG6" s="137">
        <v>167.32</v>
      </c>
      <c r="HCH6" s="181" t="s">
        <v>817</v>
      </c>
      <c r="HCI6" s="545" t="s">
        <v>816</v>
      </c>
      <c r="HCJ6" s="545"/>
      <c r="HCK6" s="545"/>
      <c r="HCL6" s="545"/>
      <c r="HCM6" s="136" t="s">
        <v>168</v>
      </c>
      <c r="HCN6" s="137">
        <v>1</v>
      </c>
      <c r="HCO6" s="137">
        <v>167.32</v>
      </c>
      <c r="HCP6" s="181" t="s">
        <v>817</v>
      </c>
      <c r="HCQ6" s="545" t="s">
        <v>816</v>
      </c>
      <c r="HCR6" s="545"/>
      <c r="HCS6" s="545"/>
      <c r="HCT6" s="545"/>
      <c r="HCU6" s="136" t="s">
        <v>168</v>
      </c>
      <c r="HCV6" s="137">
        <v>1</v>
      </c>
      <c r="HCW6" s="137">
        <v>167.32</v>
      </c>
      <c r="HCX6" s="181" t="s">
        <v>817</v>
      </c>
      <c r="HCY6" s="545" t="s">
        <v>816</v>
      </c>
      <c r="HCZ6" s="545"/>
      <c r="HDA6" s="545"/>
      <c r="HDB6" s="545"/>
      <c r="HDC6" s="136" t="s">
        <v>168</v>
      </c>
      <c r="HDD6" s="137">
        <v>1</v>
      </c>
      <c r="HDE6" s="137">
        <v>167.32</v>
      </c>
      <c r="HDF6" s="181" t="s">
        <v>817</v>
      </c>
      <c r="HDG6" s="545" t="s">
        <v>816</v>
      </c>
      <c r="HDH6" s="545"/>
      <c r="HDI6" s="545"/>
      <c r="HDJ6" s="545"/>
      <c r="HDK6" s="136" t="s">
        <v>168</v>
      </c>
      <c r="HDL6" s="137">
        <v>1</v>
      </c>
      <c r="HDM6" s="137">
        <v>167.32</v>
      </c>
      <c r="HDN6" s="181" t="s">
        <v>817</v>
      </c>
      <c r="HDO6" s="545" t="s">
        <v>816</v>
      </c>
      <c r="HDP6" s="545"/>
      <c r="HDQ6" s="545"/>
      <c r="HDR6" s="545"/>
      <c r="HDS6" s="136" t="s">
        <v>168</v>
      </c>
      <c r="HDT6" s="137">
        <v>1</v>
      </c>
      <c r="HDU6" s="137">
        <v>167.32</v>
      </c>
      <c r="HDV6" s="181" t="s">
        <v>817</v>
      </c>
      <c r="HDW6" s="545" t="s">
        <v>816</v>
      </c>
      <c r="HDX6" s="545"/>
      <c r="HDY6" s="545"/>
      <c r="HDZ6" s="545"/>
      <c r="HEA6" s="136" t="s">
        <v>168</v>
      </c>
      <c r="HEB6" s="137">
        <v>1</v>
      </c>
      <c r="HEC6" s="137">
        <v>167.32</v>
      </c>
      <c r="HED6" s="181" t="s">
        <v>817</v>
      </c>
      <c r="HEE6" s="545" t="s">
        <v>816</v>
      </c>
      <c r="HEF6" s="545"/>
      <c r="HEG6" s="545"/>
      <c r="HEH6" s="545"/>
      <c r="HEI6" s="136" t="s">
        <v>168</v>
      </c>
      <c r="HEJ6" s="137">
        <v>1</v>
      </c>
      <c r="HEK6" s="137">
        <v>167.32</v>
      </c>
      <c r="HEL6" s="181" t="s">
        <v>817</v>
      </c>
      <c r="HEM6" s="545" t="s">
        <v>816</v>
      </c>
      <c r="HEN6" s="545"/>
      <c r="HEO6" s="545"/>
      <c r="HEP6" s="545"/>
      <c r="HEQ6" s="136" t="s">
        <v>168</v>
      </c>
      <c r="HER6" s="137">
        <v>1</v>
      </c>
      <c r="HES6" s="137">
        <v>167.32</v>
      </c>
      <c r="HET6" s="181" t="s">
        <v>817</v>
      </c>
      <c r="HEU6" s="545" t="s">
        <v>816</v>
      </c>
      <c r="HEV6" s="545"/>
      <c r="HEW6" s="545"/>
      <c r="HEX6" s="545"/>
      <c r="HEY6" s="136" t="s">
        <v>168</v>
      </c>
      <c r="HEZ6" s="137">
        <v>1</v>
      </c>
      <c r="HFA6" s="137">
        <v>167.32</v>
      </c>
      <c r="HFB6" s="181" t="s">
        <v>817</v>
      </c>
      <c r="HFC6" s="545" t="s">
        <v>816</v>
      </c>
      <c r="HFD6" s="545"/>
      <c r="HFE6" s="545"/>
      <c r="HFF6" s="545"/>
      <c r="HFG6" s="136" t="s">
        <v>168</v>
      </c>
      <c r="HFH6" s="137">
        <v>1</v>
      </c>
      <c r="HFI6" s="137">
        <v>167.32</v>
      </c>
      <c r="HFJ6" s="181" t="s">
        <v>817</v>
      </c>
      <c r="HFK6" s="545" t="s">
        <v>816</v>
      </c>
      <c r="HFL6" s="545"/>
      <c r="HFM6" s="545"/>
      <c r="HFN6" s="545"/>
      <c r="HFO6" s="136" t="s">
        <v>168</v>
      </c>
      <c r="HFP6" s="137">
        <v>1</v>
      </c>
      <c r="HFQ6" s="137">
        <v>167.32</v>
      </c>
      <c r="HFR6" s="181" t="s">
        <v>817</v>
      </c>
      <c r="HFS6" s="545" t="s">
        <v>816</v>
      </c>
      <c r="HFT6" s="545"/>
      <c r="HFU6" s="545"/>
      <c r="HFV6" s="545"/>
      <c r="HFW6" s="136" t="s">
        <v>168</v>
      </c>
      <c r="HFX6" s="137">
        <v>1</v>
      </c>
      <c r="HFY6" s="137">
        <v>167.32</v>
      </c>
      <c r="HFZ6" s="181" t="s">
        <v>817</v>
      </c>
      <c r="HGA6" s="545" t="s">
        <v>816</v>
      </c>
      <c r="HGB6" s="545"/>
      <c r="HGC6" s="545"/>
      <c r="HGD6" s="545"/>
      <c r="HGE6" s="136" t="s">
        <v>168</v>
      </c>
      <c r="HGF6" s="137">
        <v>1</v>
      </c>
      <c r="HGG6" s="137">
        <v>167.32</v>
      </c>
      <c r="HGH6" s="181" t="s">
        <v>817</v>
      </c>
      <c r="HGI6" s="545" t="s">
        <v>816</v>
      </c>
      <c r="HGJ6" s="545"/>
      <c r="HGK6" s="545"/>
      <c r="HGL6" s="545"/>
      <c r="HGM6" s="136" t="s">
        <v>168</v>
      </c>
      <c r="HGN6" s="137">
        <v>1</v>
      </c>
      <c r="HGO6" s="137">
        <v>167.32</v>
      </c>
      <c r="HGP6" s="181" t="s">
        <v>817</v>
      </c>
      <c r="HGQ6" s="545" t="s">
        <v>816</v>
      </c>
      <c r="HGR6" s="545"/>
      <c r="HGS6" s="545"/>
      <c r="HGT6" s="545"/>
      <c r="HGU6" s="136" t="s">
        <v>168</v>
      </c>
      <c r="HGV6" s="137">
        <v>1</v>
      </c>
      <c r="HGW6" s="137">
        <v>167.32</v>
      </c>
      <c r="HGX6" s="181" t="s">
        <v>817</v>
      </c>
      <c r="HGY6" s="545" t="s">
        <v>816</v>
      </c>
      <c r="HGZ6" s="545"/>
      <c r="HHA6" s="545"/>
      <c r="HHB6" s="545"/>
      <c r="HHC6" s="136" t="s">
        <v>168</v>
      </c>
      <c r="HHD6" s="137">
        <v>1</v>
      </c>
      <c r="HHE6" s="137">
        <v>167.32</v>
      </c>
      <c r="HHF6" s="181" t="s">
        <v>817</v>
      </c>
      <c r="HHG6" s="545" t="s">
        <v>816</v>
      </c>
      <c r="HHH6" s="545"/>
      <c r="HHI6" s="545"/>
      <c r="HHJ6" s="545"/>
      <c r="HHK6" s="136" t="s">
        <v>168</v>
      </c>
      <c r="HHL6" s="137">
        <v>1</v>
      </c>
      <c r="HHM6" s="137">
        <v>167.32</v>
      </c>
      <c r="HHN6" s="181" t="s">
        <v>817</v>
      </c>
      <c r="HHO6" s="545" t="s">
        <v>816</v>
      </c>
      <c r="HHP6" s="545"/>
      <c r="HHQ6" s="545"/>
      <c r="HHR6" s="545"/>
      <c r="HHS6" s="136" t="s">
        <v>168</v>
      </c>
      <c r="HHT6" s="137">
        <v>1</v>
      </c>
      <c r="HHU6" s="137">
        <v>167.32</v>
      </c>
      <c r="HHV6" s="181" t="s">
        <v>817</v>
      </c>
      <c r="HHW6" s="545" t="s">
        <v>816</v>
      </c>
      <c r="HHX6" s="545"/>
      <c r="HHY6" s="545"/>
      <c r="HHZ6" s="545"/>
      <c r="HIA6" s="136" t="s">
        <v>168</v>
      </c>
      <c r="HIB6" s="137">
        <v>1</v>
      </c>
      <c r="HIC6" s="137">
        <v>167.32</v>
      </c>
      <c r="HID6" s="181" t="s">
        <v>817</v>
      </c>
      <c r="HIE6" s="545" t="s">
        <v>816</v>
      </c>
      <c r="HIF6" s="545"/>
      <c r="HIG6" s="545"/>
      <c r="HIH6" s="545"/>
      <c r="HII6" s="136" t="s">
        <v>168</v>
      </c>
      <c r="HIJ6" s="137">
        <v>1</v>
      </c>
      <c r="HIK6" s="137">
        <v>167.32</v>
      </c>
      <c r="HIL6" s="181" t="s">
        <v>817</v>
      </c>
      <c r="HIM6" s="545" t="s">
        <v>816</v>
      </c>
      <c r="HIN6" s="545"/>
      <c r="HIO6" s="545"/>
      <c r="HIP6" s="545"/>
      <c r="HIQ6" s="136" t="s">
        <v>168</v>
      </c>
      <c r="HIR6" s="137">
        <v>1</v>
      </c>
      <c r="HIS6" s="137">
        <v>167.32</v>
      </c>
      <c r="HIT6" s="181" t="s">
        <v>817</v>
      </c>
      <c r="HIU6" s="545" t="s">
        <v>816</v>
      </c>
      <c r="HIV6" s="545"/>
      <c r="HIW6" s="545"/>
      <c r="HIX6" s="545"/>
      <c r="HIY6" s="136" t="s">
        <v>168</v>
      </c>
      <c r="HIZ6" s="137">
        <v>1</v>
      </c>
      <c r="HJA6" s="137">
        <v>167.32</v>
      </c>
      <c r="HJB6" s="181" t="s">
        <v>817</v>
      </c>
      <c r="HJC6" s="545" t="s">
        <v>816</v>
      </c>
      <c r="HJD6" s="545"/>
      <c r="HJE6" s="545"/>
      <c r="HJF6" s="545"/>
      <c r="HJG6" s="136" t="s">
        <v>168</v>
      </c>
      <c r="HJH6" s="137">
        <v>1</v>
      </c>
      <c r="HJI6" s="137">
        <v>167.32</v>
      </c>
      <c r="HJJ6" s="181" t="s">
        <v>817</v>
      </c>
      <c r="HJK6" s="545" t="s">
        <v>816</v>
      </c>
      <c r="HJL6" s="545"/>
      <c r="HJM6" s="545"/>
      <c r="HJN6" s="545"/>
      <c r="HJO6" s="136" t="s">
        <v>168</v>
      </c>
      <c r="HJP6" s="137">
        <v>1</v>
      </c>
      <c r="HJQ6" s="137">
        <v>167.32</v>
      </c>
      <c r="HJR6" s="181" t="s">
        <v>817</v>
      </c>
      <c r="HJS6" s="545" t="s">
        <v>816</v>
      </c>
      <c r="HJT6" s="545"/>
      <c r="HJU6" s="545"/>
      <c r="HJV6" s="545"/>
      <c r="HJW6" s="136" t="s">
        <v>168</v>
      </c>
      <c r="HJX6" s="137">
        <v>1</v>
      </c>
      <c r="HJY6" s="137">
        <v>167.32</v>
      </c>
      <c r="HJZ6" s="181" t="s">
        <v>817</v>
      </c>
      <c r="HKA6" s="545" t="s">
        <v>816</v>
      </c>
      <c r="HKB6" s="545"/>
      <c r="HKC6" s="545"/>
      <c r="HKD6" s="545"/>
      <c r="HKE6" s="136" t="s">
        <v>168</v>
      </c>
      <c r="HKF6" s="137">
        <v>1</v>
      </c>
      <c r="HKG6" s="137">
        <v>167.32</v>
      </c>
      <c r="HKH6" s="181" t="s">
        <v>817</v>
      </c>
      <c r="HKI6" s="545" t="s">
        <v>816</v>
      </c>
      <c r="HKJ6" s="545"/>
      <c r="HKK6" s="545"/>
      <c r="HKL6" s="545"/>
      <c r="HKM6" s="136" t="s">
        <v>168</v>
      </c>
      <c r="HKN6" s="137">
        <v>1</v>
      </c>
      <c r="HKO6" s="137">
        <v>167.32</v>
      </c>
      <c r="HKP6" s="181" t="s">
        <v>817</v>
      </c>
      <c r="HKQ6" s="545" t="s">
        <v>816</v>
      </c>
      <c r="HKR6" s="545"/>
      <c r="HKS6" s="545"/>
      <c r="HKT6" s="545"/>
      <c r="HKU6" s="136" t="s">
        <v>168</v>
      </c>
      <c r="HKV6" s="137">
        <v>1</v>
      </c>
      <c r="HKW6" s="137">
        <v>167.32</v>
      </c>
      <c r="HKX6" s="181" t="s">
        <v>817</v>
      </c>
      <c r="HKY6" s="545" t="s">
        <v>816</v>
      </c>
      <c r="HKZ6" s="545"/>
      <c r="HLA6" s="545"/>
      <c r="HLB6" s="545"/>
      <c r="HLC6" s="136" t="s">
        <v>168</v>
      </c>
      <c r="HLD6" s="137">
        <v>1</v>
      </c>
      <c r="HLE6" s="137">
        <v>167.32</v>
      </c>
      <c r="HLF6" s="181" t="s">
        <v>817</v>
      </c>
      <c r="HLG6" s="545" t="s">
        <v>816</v>
      </c>
      <c r="HLH6" s="545"/>
      <c r="HLI6" s="545"/>
      <c r="HLJ6" s="545"/>
      <c r="HLK6" s="136" t="s">
        <v>168</v>
      </c>
      <c r="HLL6" s="137">
        <v>1</v>
      </c>
      <c r="HLM6" s="137">
        <v>167.32</v>
      </c>
      <c r="HLN6" s="181" t="s">
        <v>817</v>
      </c>
      <c r="HLO6" s="545" t="s">
        <v>816</v>
      </c>
      <c r="HLP6" s="545"/>
      <c r="HLQ6" s="545"/>
      <c r="HLR6" s="545"/>
      <c r="HLS6" s="136" t="s">
        <v>168</v>
      </c>
      <c r="HLT6" s="137">
        <v>1</v>
      </c>
      <c r="HLU6" s="137">
        <v>167.32</v>
      </c>
      <c r="HLV6" s="181" t="s">
        <v>817</v>
      </c>
      <c r="HLW6" s="545" t="s">
        <v>816</v>
      </c>
      <c r="HLX6" s="545"/>
      <c r="HLY6" s="545"/>
      <c r="HLZ6" s="545"/>
      <c r="HMA6" s="136" t="s">
        <v>168</v>
      </c>
      <c r="HMB6" s="137">
        <v>1</v>
      </c>
      <c r="HMC6" s="137">
        <v>167.32</v>
      </c>
      <c r="HMD6" s="181" t="s">
        <v>817</v>
      </c>
      <c r="HME6" s="545" t="s">
        <v>816</v>
      </c>
      <c r="HMF6" s="545"/>
      <c r="HMG6" s="545"/>
      <c r="HMH6" s="545"/>
      <c r="HMI6" s="136" t="s">
        <v>168</v>
      </c>
      <c r="HMJ6" s="137">
        <v>1</v>
      </c>
      <c r="HMK6" s="137">
        <v>167.32</v>
      </c>
      <c r="HML6" s="181" t="s">
        <v>817</v>
      </c>
      <c r="HMM6" s="545" t="s">
        <v>816</v>
      </c>
      <c r="HMN6" s="545"/>
      <c r="HMO6" s="545"/>
      <c r="HMP6" s="545"/>
      <c r="HMQ6" s="136" t="s">
        <v>168</v>
      </c>
      <c r="HMR6" s="137">
        <v>1</v>
      </c>
      <c r="HMS6" s="137">
        <v>167.32</v>
      </c>
      <c r="HMT6" s="181" t="s">
        <v>817</v>
      </c>
      <c r="HMU6" s="545" t="s">
        <v>816</v>
      </c>
      <c r="HMV6" s="545"/>
      <c r="HMW6" s="545"/>
      <c r="HMX6" s="545"/>
      <c r="HMY6" s="136" t="s">
        <v>168</v>
      </c>
      <c r="HMZ6" s="137">
        <v>1</v>
      </c>
      <c r="HNA6" s="137">
        <v>167.32</v>
      </c>
      <c r="HNB6" s="181" t="s">
        <v>817</v>
      </c>
      <c r="HNC6" s="545" t="s">
        <v>816</v>
      </c>
      <c r="HND6" s="545"/>
      <c r="HNE6" s="545"/>
      <c r="HNF6" s="545"/>
      <c r="HNG6" s="136" t="s">
        <v>168</v>
      </c>
      <c r="HNH6" s="137">
        <v>1</v>
      </c>
      <c r="HNI6" s="137">
        <v>167.32</v>
      </c>
      <c r="HNJ6" s="181" t="s">
        <v>817</v>
      </c>
      <c r="HNK6" s="545" t="s">
        <v>816</v>
      </c>
      <c r="HNL6" s="545"/>
      <c r="HNM6" s="545"/>
      <c r="HNN6" s="545"/>
      <c r="HNO6" s="136" t="s">
        <v>168</v>
      </c>
      <c r="HNP6" s="137">
        <v>1</v>
      </c>
      <c r="HNQ6" s="137">
        <v>167.32</v>
      </c>
      <c r="HNR6" s="181" t="s">
        <v>817</v>
      </c>
      <c r="HNS6" s="545" t="s">
        <v>816</v>
      </c>
      <c r="HNT6" s="545"/>
      <c r="HNU6" s="545"/>
      <c r="HNV6" s="545"/>
      <c r="HNW6" s="136" t="s">
        <v>168</v>
      </c>
      <c r="HNX6" s="137">
        <v>1</v>
      </c>
      <c r="HNY6" s="137">
        <v>167.32</v>
      </c>
      <c r="HNZ6" s="181" t="s">
        <v>817</v>
      </c>
      <c r="HOA6" s="545" t="s">
        <v>816</v>
      </c>
      <c r="HOB6" s="545"/>
      <c r="HOC6" s="545"/>
      <c r="HOD6" s="545"/>
      <c r="HOE6" s="136" t="s">
        <v>168</v>
      </c>
      <c r="HOF6" s="137">
        <v>1</v>
      </c>
      <c r="HOG6" s="137">
        <v>167.32</v>
      </c>
      <c r="HOH6" s="181" t="s">
        <v>817</v>
      </c>
      <c r="HOI6" s="545" t="s">
        <v>816</v>
      </c>
      <c r="HOJ6" s="545"/>
      <c r="HOK6" s="545"/>
      <c r="HOL6" s="545"/>
      <c r="HOM6" s="136" t="s">
        <v>168</v>
      </c>
      <c r="HON6" s="137">
        <v>1</v>
      </c>
      <c r="HOO6" s="137">
        <v>167.32</v>
      </c>
      <c r="HOP6" s="181" t="s">
        <v>817</v>
      </c>
      <c r="HOQ6" s="545" t="s">
        <v>816</v>
      </c>
      <c r="HOR6" s="545"/>
      <c r="HOS6" s="545"/>
      <c r="HOT6" s="545"/>
      <c r="HOU6" s="136" t="s">
        <v>168</v>
      </c>
      <c r="HOV6" s="137">
        <v>1</v>
      </c>
      <c r="HOW6" s="137">
        <v>167.32</v>
      </c>
      <c r="HOX6" s="181" t="s">
        <v>817</v>
      </c>
      <c r="HOY6" s="545" t="s">
        <v>816</v>
      </c>
      <c r="HOZ6" s="545"/>
      <c r="HPA6" s="545"/>
      <c r="HPB6" s="545"/>
      <c r="HPC6" s="136" t="s">
        <v>168</v>
      </c>
      <c r="HPD6" s="137">
        <v>1</v>
      </c>
      <c r="HPE6" s="137">
        <v>167.32</v>
      </c>
      <c r="HPF6" s="181" t="s">
        <v>817</v>
      </c>
      <c r="HPG6" s="545" t="s">
        <v>816</v>
      </c>
      <c r="HPH6" s="545"/>
      <c r="HPI6" s="545"/>
      <c r="HPJ6" s="545"/>
      <c r="HPK6" s="136" t="s">
        <v>168</v>
      </c>
      <c r="HPL6" s="137">
        <v>1</v>
      </c>
      <c r="HPM6" s="137">
        <v>167.32</v>
      </c>
      <c r="HPN6" s="181" t="s">
        <v>817</v>
      </c>
      <c r="HPO6" s="545" t="s">
        <v>816</v>
      </c>
      <c r="HPP6" s="545"/>
      <c r="HPQ6" s="545"/>
      <c r="HPR6" s="545"/>
      <c r="HPS6" s="136" t="s">
        <v>168</v>
      </c>
      <c r="HPT6" s="137">
        <v>1</v>
      </c>
      <c r="HPU6" s="137">
        <v>167.32</v>
      </c>
      <c r="HPV6" s="181" t="s">
        <v>817</v>
      </c>
      <c r="HPW6" s="545" t="s">
        <v>816</v>
      </c>
      <c r="HPX6" s="545"/>
      <c r="HPY6" s="545"/>
      <c r="HPZ6" s="545"/>
      <c r="HQA6" s="136" t="s">
        <v>168</v>
      </c>
      <c r="HQB6" s="137">
        <v>1</v>
      </c>
      <c r="HQC6" s="137">
        <v>167.32</v>
      </c>
      <c r="HQD6" s="181" t="s">
        <v>817</v>
      </c>
      <c r="HQE6" s="545" t="s">
        <v>816</v>
      </c>
      <c r="HQF6" s="545"/>
      <c r="HQG6" s="545"/>
      <c r="HQH6" s="545"/>
      <c r="HQI6" s="136" t="s">
        <v>168</v>
      </c>
      <c r="HQJ6" s="137">
        <v>1</v>
      </c>
      <c r="HQK6" s="137">
        <v>167.32</v>
      </c>
      <c r="HQL6" s="181" t="s">
        <v>817</v>
      </c>
      <c r="HQM6" s="545" t="s">
        <v>816</v>
      </c>
      <c r="HQN6" s="545"/>
      <c r="HQO6" s="545"/>
      <c r="HQP6" s="545"/>
      <c r="HQQ6" s="136" t="s">
        <v>168</v>
      </c>
      <c r="HQR6" s="137">
        <v>1</v>
      </c>
      <c r="HQS6" s="137">
        <v>167.32</v>
      </c>
      <c r="HQT6" s="181" t="s">
        <v>817</v>
      </c>
      <c r="HQU6" s="545" t="s">
        <v>816</v>
      </c>
      <c r="HQV6" s="545"/>
      <c r="HQW6" s="545"/>
      <c r="HQX6" s="545"/>
      <c r="HQY6" s="136" t="s">
        <v>168</v>
      </c>
      <c r="HQZ6" s="137">
        <v>1</v>
      </c>
      <c r="HRA6" s="137">
        <v>167.32</v>
      </c>
      <c r="HRB6" s="181" t="s">
        <v>817</v>
      </c>
      <c r="HRC6" s="545" t="s">
        <v>816</v>
      </c>
      <c r="HRD6" s="545"/>
      <c r="HRE6" s="545"/>
      <c r="HRF6" s="545"/>
      <c r="HRG6" s="136" t="s">
        <v>168</v>
      </c>
      <c r="HRH6" s="137">
        <v>1</v>
      </c>
      <c r="HRI6" s="137">
        <v>167.32</v>
      </c>
      <c r="HRJ6" s="181" t="s">
        <v>817</v>
      </c>
      <c r="HRK6" s="545" t="s">
        <v>816</v>
      </c>
      <c r="HRL6" s="545"/>
      <c r="HRM6" s="545"/>
      <c r="HRN6" s="545"/>
      <c r="HRO6" s="136" t="s">
        <v>168</v>
      </c>
      <c r="HRP6" s="137">
        <v>1</v>
      </c>
      <c r="HRQ6" s="137">
        <v>167.32</v>
      </c>
      <c r="HRR6" s="181" t="s">
        <v>817</v>
      </c>
      <c r="HRS6" s="545" t="s">
        <v>816</v>
      </c>
      <c r="HRT6" s="545"/>
      <c r="HRU6" s="545"/>
      <c r="HRV6" s="545"/>
      <c r="HRW6" s="136" t="s">
        <v>168</v>
      </c>
      <c r="HRX6" s="137">
        <v>1</v>
      </c>
      <c r="HRY6" s="137">
        <v>167.32</v>
      </c>
      <c r="HRZ6" s="181" t="s">
        <v>817</v>
      </c>
      <c r="HSA6" s="545" t="s">
        <v>816</v>
      </c>
      <c r="HSB6" s="545"/>
      <c r="HSC6" s="545"/>
      <c r="HSD6" s="545"/>
      <c r="HSE6" s="136" t="s">
        <v>168</v>
      </c>
      <c r="HSF6" s="137">
        <v>1</v>
      </c>
      <c r="HSG6" s="137">
        <v>167.32</v>
      </c>
      <c r="HSH6" s="181" t="s">
        <v>817</v>
      </c>
      <c r="HSI6" s="545" t="s">
        <v>816</v>
      </c>
      <c r="HSJ6" s="545"/>
      <c r="HSK6" s="545"/>
      <c r="HSL6" s="545"/>
      <c r="HSM6" s="136" t="s">
        <v>168</v>
      </c>
      <c r="HSN6" s="137">
        <v>1</v>
      </c>
      <c r="HSO6" s="137">
        <v>167.32</v>
      </c>
      <c r="HSP6" s="181" t="s">
        <v>817</v>
      </c>
      <c r="HSQ6" s="545" t="s">
        <v>816</v>
      </c>
      <c r="HSR6" s="545"/>
      <c r="HSS6" s="545"/>
      <c r="HST6" s="545"/>
      <c r="HSU6" s="136" t="s">
        <v>168</v>
      </c>
      <c r="HSV6" s="137">
        <v>1</v>
      </c>
      <c r="HSW6" s="137">
        <v>167.32</v>
      </c>
      <c r="HSX6" s="181" t="s">
        <v>817</v>
      </c>
      <c r="HSY6" s="545" t="s">
        <v>816</v>
      </c>
      <c r="HSZ6" s="545"/>
      <c r="HTA6" s="545"/>
      <c r="HTB6" s="545"/>
      <c r="HTC6" s="136" t="s">
        <v>168</v>
      </c>
      <c r="HTD6" s="137">
        <v>1</v>
      </c>
      <c r="HTE6" s="137">
        <v>167.32</v>
      </c>
      <c r="HTF6" s="181" t="s">
        <v>817</v>
      </c>
      <c r="HTG6" s="545" t="s">
        <v>816</v>
      </c>
      <c r="HTH6" s="545"/>
      <c r="HTI6" s="545"/>
      <c r="HTJ6" s="545"/>
      <c r="HTK6" s="136" t="s">
        <v>168</v>
      </c>
      <c r="HTL6" s="137">
        <v>1</v>
      </c>
      <c r="HTM6" s="137">
        <v>167.32</v>
      </c>
      <c r="HTN6" s="181" t="s">
        <v>817</v>
      </c>
      <c r="HTO6" s="545" t="s">
        <v>816</v>
      </c>
      <c r="HTP6" s="545"/>
      <c r="HTQ6" s="545"/>
      <c r="HTR6" s="545"/>
      <c r="HTS6" s="136" t="s">
        <v>168</v>
      </c>
      <c r="HTT6" s="137">
        <v>1</v>
      </c>
      <c r="HTU6" s="137">
        <v>167.32</v>
      </c>
      <c r="HTV6" s="181" t="s">
        <v>817</v>
      </c>
      <c r="HTW6" s="545" t="s">
        <v>816</v>
      </c>
      <c r="HTX6" s="545"/>
      <c r="HTY6" s="545"/>
      <c r="HTZ6" s="545"/>
      <c r="HUA6" s="136" t="s">
        <v>168</v>
      </c>
      <c r="HUB6" s="137">
        <v>1</v>
      </c>
      <c r="HUC6" s="137">
        <v>167.32</v>
      </c>
      <c r="HUD6" s="181" t="s">
        <v>817</v>
      </c>
      <c r="HUE6" s="545" t="s">
        <v>816</v>
      </c>
      <c r="HUF6" s="545"/>
      <c r="HUG6" s="545"/>
      <c r="HUH6" s="545"/>
      <c r="HUI6" s="136" t="s">
        <v>168</v>
      </c>
      <c r="HUJ6" s="137">
        <v>1</v>
      </c>
      <c r="HUK6" s="137">
        <v>167.32</v>
      </c>
      <c r="HUL6" s="181" t="s">
        <v>817</v>
      </c>
      <c r="HUM6" s="545" t="s">
        <v>816</v>
      </c>
      <c r="HUN6" s="545"/>
      <c r="HUO6" s="545"/>
      <c r="HUP6" s="545"/>
      <c r="HUQ6" s="136" t="s">
        <v>168</v>
      </c>
      <c r="HUR6" s="137">
        <v>1</v>
      </c>
      <c r="HUS6" s="137">
        <v>167.32</v>
      </c>
      <c r="HUT6" s="181" t="s">
        <v>817</v>
      </c>
      <c r="HUU6" s="545" t="s">
        <v>816</v>
      </c>
      <c r="HUV6" s="545"/>
      <c r="HUW6" s="545"/>
      <c r="HUX6" s="545"/>
      <c r="HUY6" s="136" t="s">
        <v>168</v>
      </c>
      <c r="HUZ6" s="137">
        <v>1</v>
      </c>
      <c r="HVA6" s="137">
        <v>167.32</v>
      </c>
      <c r="HVB6" s="181" t="s">
        <v>817</v>
      </c>
      <c r="HVC6" s="545" t="s">
        <v>816</v>
      </c>
      <c r="HVD6" s="545"/>
      <c r="HVE6" s="545"/>
      <c r="HVF6" s="545"/>
      <c r="HVG6" s="136" t="s">
        <v>168</v>
      </c>
      <c r="HVH6" s="137">
        <v>1</v>
      </c>
      <c r="HVI6" s="137">
        <v>167.32</v>
      </c>
      <c r="HVJ6" s="181" t="s">
        <v>817</v>
      </c>
      <c r="HVK6" s="545" t="s">
        <v>816</v>
      </c>
      <c r="HVL6" s="545"/>
      <c r="HVM6" s="545"/>
      <c r="HVN6" s="545"/>
      <c r="HVO6" s="136" t="s">
        <v>168</v>
      </c>
      <c r="HVP6" s="137">
        <v>1</v>
      </c>
      <c r="HVQ6" s="137">
        <v>167.32</v>
      </c>
      <c r="HVR6" s="181" t="s">
        <v>817</v>
      </c>
      <c r="HVS6" s="545" t="s">
        <v>816</v>
      </c>
      <c r="HVT6" s="545"/>
      <c r="HVU6" s="545"/>
      <c r="HVV6" s="545"/>
      <c r="HVW6" s="136" t="s">
        <v>168</v>
      </c>
      <c r="HVX6" s="137">
        <v>1</v>
      </c>
      <c r="HVY6" s="137">
        <v>167.32</v>
      </c>
      <c r="HVZ6" s="181" t="s">
        <v>817</v>
      </c>
      <c r="HWA6" s="545" t="s">
        <v>816</v>
      </c>
      <c r="HWB6" s="545"/>
      <c r="HWC6" s="545"/>
      <c r="HWD6" s="545"/>
      <c r="HWE6" s="136" t="s">
        <v>168</v>
      </c>
      <c r="HWF6" s="137">
        <v>1</v>
      </c>
      <c r="HWG6" s="137">
        <v>167.32</v>
      </c>
      <c r="HWH6" s="181" t="s">
        <v>817</v>
      </c>
      <c r="HWI6" s="545" t="s">
        <v>816</v>
      </c>
      <c r="HWJ6" s="545"/>
      <c r="HWK6" s="545"/>
      <c r="HWL6" s="545"/>
      <c r="HWM6" s="136" t="s">
        <v>168</v>
      </c>
      <c r="HWN6" s="137">
        <v>1</v>
      </c>
      <c r="HWO6" s="137">
        <v>167.32</v>
      </c>
      <c r="HWP6" s="181" t="s">
        <v>817</v>
      </c>
      <c r="HWQ6" s="545" t="s">
        <v>816</v>
      </c>
      <c r="HWR6" s="545"/>
      <c r="HWS6" s="545"/>
      <c r="HWT6" s="545"/>
      <c r="HWU6" s="136" t="s">
        <v>168</v>
      </c>
      <c r="HWV6" s="137">
        <v>1</v>
      </c>
      <c r="HWW6" s="137">
        <v>167.32</v>
      </c>
      <c r="HWX6" s="181" t="s">
        <v>817</v>
      </c>
      <c r="HWY6" s="545" t="s">
        <v>816</v>
      </c>
      <c r="HWZ6" s="545"/>
      <c r="HXA6" s="545"/>
      <c r="HXB6" s="545"/>
      <c r="HXC6" s="136" t="s">
        <v>168</v>
      </c>
      <c r="HXD6" s="137">
        <v>1</v>
      </c>
      <c r="HXE6" s="137">
        <v>167.32</v>
      </c>
      <c r="HXF6" s="181" t="s">
        <v>817</v>
      </c>
      <c r="HXG6" s="545" t="s">
        <v>816</v>
      </c>
      <c r="HXH6" s="545"/>
      <c r="HXI6" s="545"/>
      <c r="HXJ6" s="545"/>
      <c r="HXK6" s="136" t="s">
        <v>168</v>
      </c>
      <c r="HXL6" s="137">
        <v>1</v>
      </c>
      <c r="HXM6" s="137">
        <v>167.32</v>
      </c>
      <c r="HXN6" s="181" t="s">
        <v>817</v>
      </c>
      <c r="HXO6" s="545" t="s">
        <v>816</v>
      </c>
      <c r="HXP6" s="545"/>
      <c r="HXQ6" s="545"/>
      <c r="HXR6" s="545"/>
      <c r="HXS6" s="136" t="s">
        <v>168</v>
      </c>
      <c r="HXT6" s="137">
        <v>1</v>
      </c>
      <c r="HXU6" s="137">
        <v>167.32</v>
      </c>
      <c r="HXV6" s="181" t="s">
        <v>817</v>
      </c>
      <c r="HXW6" s="545" t="s">
        <v>816</v>
      </c>
      <c r="HXX6" s="545"/>
      <c r="HXY6" s="545"/>
      <c r="HXZ6" s="545"/>
      <c r="HYA6" s="136" t="s">
        <v>168</v>
      </c>
      <c r="HYB6" s="137">
        <v>1</v>
      </c>
      <c r="HYC6" s="137">
        <v>167.32</v>
      </c>
      <c r="HYD6" s="181" t="s">
        <v>817</v>
      </c>
      <c r="HYE6" s="545" t="s">
        <v>816</v>
      </c>
      <c r="HYF6" s="545"/>
      <c r="HYG6" s="545"/>
      <c r="HYH6" s="545"/>
      <c r="HYI6" s="136" t="s">
        <v>168</v>
      </c>
      <c r="HYJ6" s="137">
        <v>1</v>
      </c>
      <c r="HYK6" s="137">
        <v>167.32</v>
      </c>
      <c r="HYL6" s="181" t="s">
        <v>817</v>
      </c>
      <c r="HYM6" s="545" t="s">
        <v>816</v>
      </c>
      <c r="HYN6" s="545"/>
      <c r="HYO6" s="545"/>
      <c r="HYP6" s="545"/>
      <c r="HYQ6" s="136" t="s">
        <v>168</v>
      </c>
      <c r="HYR6" s="137">
        <v>1</v>
      </c>
      <c r="HYS6" s="137">
        <v>167.32</v>
      </c>
      <c r="HYT6" s="181" t="s">
        <v>817</v>
      </c>
      <c r="HYU6" s="545" t="s">
        <v>816</v>
      </c>
      <c r="HYV6" s="545"/>
      <c r="HYW6" s="545"/>
      <c r="HYX6" s="545"/>
      <c r="HYY6" s="136" t="s">
        <v>168</v>
      </c>
      <c r="HYZ6" s="137">
        <v>1</v>
      </c>
      <c r="HZA6" s="137">
        <v>167.32</v>
      </c>
      <c r="HZB6" s="181" t="s">
        <v>817</v>
      </c>
      <c r="HZC6" s="545" t="s">
        <v>816</v>
      </c>
      <c r="HZD6" s="545"/>
      <c r="HZE6" s="545"/>
      <c r="HZF6" s="545"/>
      <c r="HZG6" s="136" t="s">
        <v>168</v>
      </c>
      <c r="HZH6" s="137">
        <v>1</v>
      </c>
      <c r="HZI6" s="137">
        <v>167.32</v>
      </c>
      <c r="HZJ6" s="181" t="s">
        <v>817</v>
      </c>
      <c r="HZK6" s="545" t="s">
        <v>816</v>
      </c>
      <c r="HZL6" s="545"/>
      <c r="HZM6" s="545"/>
      <c r="HZN6" s="545"/>
      <c r="HZO6" s="136" t="s">
        <v>168</v>
      </c>
      <c r="HZP6" s="137">
        <v>1</v>
      </c>
      <c r="HZQ6" s="137">
        <v>167.32</v>
      </c>
      <c r="HZR6" s="181" t="s">
        <v>817</v>
      </c>
      <c r="HZS6" s="545" t="s">
        <v>816</v>
      </c>
      <c r="HZT6" s="545"/>
      <c r="HZU6" s="545"/>
      <c r="HZV6" s="545"/>
      <c r="HZW6" s="136" t="s">
        <v>168</v>
      </c>
      <c r="HZX6" s="137">
        <v>1</v>
      </c>
      <c r="HZY6" s="137">
        <v>167.32</v>
      </c>
      <c r="HZZ6" s="181" t="s">
        <v>817</v>
      </c>
      <c r="IAA6" s="545" t="s">
        <v>816</v>
      </c>
      <c r="IAB6" s="545"/>
      <c r="IAC6" s="545"/>
      <c r="IAD6" s="545"/>
      <c r="IAE6" s="136" t="s">
        <v>168</v>
      </c>
      <c r="IAF6" s="137">
        <v>1</v>
      </c>
      <c r="IAG6" s="137">
        <v>167.32</v>
      </c>
      <c r="IAH6" s="181" t="s">
        <v>817</v>
      </c>
      <c r="IAI6" s="545" t="s">
        <v>816</v>
      </c>
      <c r="IAJ6" s="545"/>
      <c r="IAK6" s="545"/>
      <c r="IAL6" s="545"/>
      <c r="IAM6" s="136" t="s">
        <v>168</v>
      </c>
      <c r="IAN6" s="137">
        <v>1</v>
      </c>
      <c r="IAO6" s="137">
        <v>167.32</v>
      </c>
      <c r="IAP6" s="181" t="s">
        <v>817</v>
      </c>
      <c r="IAQ6" s="545" t="s">
        <v>816</v>
      </c>
      <c r="IAR6" s="545"/>
      <c r="IAS6" s="545"/>
      <c r="IAT6" s="545"/>
      <c r="IAU6" s="136" t="s">
        <v>168</v>
      </c>
      <c r="IAV6" s="137">
        <v>1</v>
      </c>
      <c r="IAW6" s="137">
        <v>167.32</v>
      </c>
      <c r="IAX6" s="181" t="s">
        <v>817</v>
      </c>
      <c r="IAY6" s="545" t="s">
        <v>816</v>
      </c>
      <c r="IAZ6" s="545"/>
      <c r="IBA6" s="545"/>
      <c r="IBB6" s="545"/>
      <c r="IBC6" s="136" t="s">
        <v>168</v>
      </c>
      <c r="IBD6" s="137">
        <v>1</v>
      </c>
      <c r="IBE6" s="137">
        <v>167.32</v>
      </c>
      <c r="IBF6" s="181" t="s">
        <v>817</v>
      </c>
      <c r="IBG6" s="545" t="s">
        <v>816</v>
      </c>
      <c r="IBH6" s="545"/>
      <c r="IBI6" s="545"/>
      <c r="IBJ6" s="545"/>
      <c r="IBK6" s="136" t="s">
        <v>168</v>
      </c>
      <c r="IBL6" s="137">
        <v>1</v>
      </c>
      <c r="IBM6" s="137">
        <v>167.32</v>
      </c>
      <c r="IBN6" s="181" t="s">
        <v>817</v>
      </c>
      <c r="IBO6" s="545" t="s">
        <v>816</v>
      </c>
      <c r="IBP6" s="545"/>
      <c r="IBQ6" s="545"/>
      <c r="IBR6" s="545"/>
      <c r="IBS6" s="136" t="s">
        <v>168</v>
      </c>
      <c r="IBT6" s="137">
        <v>1</v>
      </c>
      <c r="IBU6" s="137">
        <v>167.32</v>
      </c>
      <c r="IBV6" s="181" t="s">
        <v>817</v>
      </c>
      <c r="IBW6" s="545" t="s">
        <v>816</v>
      </c>
      <c r="IBX6" s="545"/>
      <c r="IBY6" s="545"/>
      <c r="IBZ6" s="545"/>
      <c r="ICA6" s="136" t="s">
        <v>168</v>
      </c>
      <c r="ICB6" s="137">
        <v>1</v>
      </c>
      <c r="ICC6" s="137">
        <v>167.32</v>
      </c>
      <c r="ICD6" s="181" t="s">
        <v>817</v>
      </c>
      <c r="ICE6" s="545" t="s">
        <v>816</v>
      </c>
      <c r="ICF6" s="545"/>
      <c r="ICG6" s="545"/>
      <c r="ICH6" s="545"/>
      <c r="ICI6" s="136" t="s">
        <v>168</v>
      </c>
      <c r="ICJ6" s="137">
        <v>1</v>
      </c>
      <c r="ICK6" s="137">
        <v>167.32</v>
      </c>
      <c r="ICL6" s="181" t="s">
        <v>817</v>
      </c>
      <c r="ICM6" s="545" t="s">
        <v>816</v>
      </c>
      <c r="ICN6" s="545"/>
      <c r="ICO6" s="545"/>
      <c r="ICP6" s="545"/>
      <c r="ICQ6" s="136" t="s">
        <v>168</v>
      </c>
      <c r="ICR6" s="137">
        <v>1</v>
      </c>
      <c r="ICS6" s="137">
        <v>167.32</v>
      </c>
      <c r="ICT6" s="181" t="s">
        <v>817</v>
      </c>
      <c r="ICU6" s="545" t="s">
        <v>816</v>
      </c>
      <c r="ICV6" s="545"/>
      <c r="ICW6" s="545"/>
      <c r="ICX6" s="545"/>
      <c r="ICY6" s="136" t="s">
        <v>168</v>
      </c>
      <c r="ICZ6" s="137">
        <v>1</v>
      </c>
      <c r="IDA6" s="137">
        <v>167.32</v>
      </c>
      <c r="IDB6" s="181" t="s">
        <v>817</v>
      </c>
      <c r="IDC6" s="545" t="s">
        <v>816</v>
      </c>
      <c r="IDD6" s="545"/>
      <c r="IDE6" s="545"/>
      <c r="IDF6" s="545"/>
      <c r="IDG6" s="136" t="s">
        <v>168</v>
      </c>
      <c r="IDH6" s="137">
        <v>1</v>
      </c>
      <c r="IDI6" s="137">
        <v>167.32</v>
      </c>
      <c r="IDJ6" s="181" t="s">
        <v>817</v>
      </c>
      <c r="IDK6" s="545" t="s">
        <v>816</v>
      </c>
      <c r="IDL6" s="545"/>
      <c r="IDM6" s="545"/>
      <c r="IDN6" s="545"/>
      <c r="IDO6" s="136" t="s">
        <v>168</v>
      </c>
      <c r="IDP6" s="137">
        <v>1</v>
      </c>
      <c r="IDQ6" s="137">
        <v>167.32</v>
      </c>
      <c r="IDR6" s="181" t="s">
        <v>817</v>
      </c>
      <c r="IDS6" s="545" t="s">
        <v>816</v>
      </c>
      <c r="IDT6" s="545"/>
      <c r="IDU6" s="545"/>
      <c r="IDV6" s="545"/>
      <c r="IDW6" s="136" t="s">
        <v>168</v>
      </c>
      <c r="IDX6" s="137">
        <v>1</v>
      </c>
      <c r="IDY6" s="137">
        <v>167.32</v>
      </c>
      <c r="IDZ6" s="181" t="s">
        <v>817</v>
      </c>
      <c r="IEA6" s="545" t="s">
        <v>816</v>
      </c>
      <c r="IEB6" s="545"/>
      <c r="IEC6" s="545"/>
      <c r="IED6" s="545"/>
      <c r="IEE6" s="136" t="s">
        <v>168</v>
      </c>
      <c r="IEF6" s="137">
        <v>1</v>
      </c>
      <c r="IEG6" s="137">
        <v>167.32</v>
      </c>
      <c r="IEH6" s="181" t="s">
        <v>817</v>
      </c>
      <c r="IEI6" s="545" t="s">
        <v>816</v>
      </c>
      <c r="IEJ6" s="545"/>
      <c r="IEK6" s="545"/>
      <c r="IEL6" s="545"/>
      <c r="IEM6" s="136" t="s">
        <v>168</v>
      </c>
      <c r="IEN6" s="137">
        <v>1</v>
      </c>
      <c r="IEO6" s="137">
        <v>167.32</v>
      </c>
      <c r="IEP6" s="181" t="s">
        <v>817</v>
      </c>
      <c r="IEQ6" s="545" t="s">
        <v>816</v>
      </c>
      <c r="IER6" s="545"/>
      <c r="IES6" s="545"/>
      <c r="IET6" s="545"/>
      <c r="IEU6" s="136" t="s">
        <v>168</v>
      </c>
      <c r="IEV6" s="137">
        <v>1</v>
      </c>
      <c r="IEW6" s="137">
        <v>167.32</v>
      </c>
      <c r="IEX6" s="181" t="s">
        <v>817</v>
      </c>
      <c r="IEY6" s="545" t="s">
        <v>816</v>
      </c>
      <c r="IEZ6" s="545"/>
      <c r="IFA6" s="545"/>
      <c r="IFB6" s="545"/>
      <c r="IFC6" s="136" t="s">
        <v>168</v>
      </c>
      <c r="IFD6" s="137">
        <v>1</v>
      </c>
      <c r="IFE6" s="137">
        <v>167.32</v>
      </c>
      <c r="IFF6" s="181" t="s">
        <v>817</v>
      </c>
      <c r="IFG6" s="545" t="s">
        <v>816</v>
      </c>
      <c r="IFH6" s="545"/>
      <c r="IFI6" s="545"/>
      <c r="IFJ6" s="545"/>
      <c r="IFK6" s="136" t="s">
        <v>168</v>
      </c>
      <c r="IFL6" s="137">
        <v>1</v>
      </c>
      <c r="IFM6" s="137">
        <v>167.32</v>
      </c>
      <c r="IFN6" s="181" t="s">
        <v>817</v>
      </c>
      <c r="IFO6" s="545" t="s">
        <v>816</v>
      </c>
      <c r="IFP6" s="545"/>
      <c r="IFQ6" s="545"/>
      <c r="IFR6" s="545"/>
      <c r="IFS6" s="136" t="s">
        <v>168</v>
      </c>
      <c r="IFT6" s="137">
        <v>1</v>
      </c>
      <c r="IFU6" s="137">
        <v>167.32</v>
      </c>
      <c r="IFV6" s="181" t="s">
        <v>817</v>
      </c>
      <c r="IFW6" s="545" t="s">
        <v>816</v>
      </c>
      <c r="IFX6" s="545"/>
      <c r="IFY6" s="545"/>
      <c r="IFZ6" s="545"/>
      <c r="IGA6" s="136" t="s">
        <v>168</v>
      </c>
      <c r="IGB6" s="137">
        <v>1</v>
      </c>
      <c r="IGC6" s="137">
        <v>167.32</v>
      </c>
      <c r="IGD6" s="181" t="s">
        <v>817</v>
      </c>
      <c r="IGE6" s="545" t="s">
        <v>816</v>
      </c>
      <c r="IGF6" s="545"/>
      <c r="IGG6" s="545"/>
      <c r="IGH6" s="545"/>
      <c r="IGI6" s="136" t="s">
        <v>168</v>
      </c>
      <c r="IGJ6" s="137">
        <v>1</v>
      </c>
      <c r="IGK6" s="137">
        <v>167.32</v>
      </c>
      <c r="IGL6" s="181" t="s">
        <v>817</v>
      </c>
      <c r="IGM6" s="545" t="s">
        <v>816</v>
      </c>
      <c r="IGN6" s="545"/>
      <c r="IGO6" s="545"/>
      <c r="IGP6" s="545"/>
      <c r="IGQ6" s="136" t="s">
        <v>168</v>
      </c>
      <c r="IGR6" s="137">
        <v>1</v>
      </c>
      <c r="IGS6" s="137">
        <v>167.32</v>
      </c>
      <c r="IGT6" s="181" t="s">
        <v>817</v>
      </c>
      <c r="IGU6" s="545" t="s">
        <v>816</v>
      </c>
      <c r="IGV6" s="545"/>
      <c r="IGW6" s="545"/>
      <c r="IGX6" s="545"/>
      <c r="IGY6" s="136" t="s">
        <v>168</v>
      </c>
      <c r="IGZ6" s="137">
        <v>1</v>
      </c>
      <c r="IHA6" s="137">
        <v>167.32</v>
      </c>
      <c r="IHB6" s="181" t="s">
        <v>817</v>
      </c>
      <c r="IHC6" s="545" t="s">
        <v>816</v>
      </c>
      <c r="IHD6" s="545"/>
      <c r="IHE6" s="545"/>
      <c r="IHF6" s="545"/>
      <c r="IHG6" s="136" t="s">
        <v>168</v>
      </c>
      <c r="IHH6" s="137">
        <v>1</v>
      </c>
      <c r="IHI6" s="137">
        <v>167.32</v>
      </c>
      <c r="IHJ6" s="181" t="s">
        <v>817</v>
      </c>
      <c r="IHK6" s="545" t="s">
        <v>816</v>
      </c>
      <c r="IHL6" s="545"/>
      <c r="IHM6" s="545"/>
      <c r="IHN6" s="545"/>
      <c r="IHO6" s="136" t="s">
        <v>168</v>
      </c>
      <c r="IHP6" s="137">
        <v>1</v>
      </c>
      <c r="IHQ6" s="137">
        <v>167.32</v>
      </c>
      <c r="IHR6" s="181" t="s">
        <v>817</v>
      </c>
      <c r="IHS6" s="545" t="s">
        <v>816</v>
      </c>
      <c r="IHT6" s="545"/>
      <c r="IHU6" s="545"/>
      <c r="IHV6" s="545"/>
      <c r="IHW6" s="136" t="s">
        <v>168</v>
      </c>
      <c r="IHX6" s="137">
        <v>1</v>
      </c>
      <c r="IHY6" s="137">
        <v>167.32</v>
      </c>
      <c r="IHZ6" s="181" t="s">
        <v>817</v>
      </c>
      <c r="IIA6" s="545" t="s">
        <v>816</v>
      </c>
      <c r="IIB6" s="545"/>
      <c r="IIC6" s="545"/>
      <c r="IID6" s="545"/>
      <c r="IIE6" s="136" t="s">
        <v>168</v>
      </c>
      <c r="IIF6" s="137">
        <v>1</v>
      </c>
      <c r="IIG6" s="137">
        <v>167.32</v>
      </c>
      <c r="IIH6" s="181" t="s">
        <v>817</v>
      </c>
      <c r="III6" s="545" t="s">
        <v>816</v>
      </c>
      <c r="IIJ6" s="545"/>
      <c r="IIK6" s="545"/>
      <c r="IIL6" s="545"/>
      <c r="IIM6" s="136" t="s">
        <v>168</v>
      </c>
      <c r="IIN6" s="137">
        <v>1</v>
      </c>
      <c r="IIO6" s="137">
        <v>167.32</v>
      </c>
      <c r="IIP6" s="181" t="s">
        <v>817</v>
      </c>
      <c r="IIQ6" s="545" t="s">
        <v>816</v>
      </c>
      <c r="IIR6" s="545"/>
      <c r="IIS6" s="545"/>
      <c r="IIT6" s="545"/>
      <c r="IIU6" s="136" t="s">
        <v>168</v>
      </c>
      <c r="IIV6" s="137">
        <v>1</v>
      </c>
      <c r="IIW6" s="137">
        <v>167.32</v>
      </c>
      <c r="IIX6" s="181" t="s">
        <v>817</v>
      </c>
      <c r="IIY6" s="545" t="s">
        <v>816</v>
      </c>
      <c r="IIZ6" s="545"/>
      <c r="IJA6" s="545"/>
      <c r="IJB6" s="545"/>
      <c r="IJC6" s="136" t="s">
        <v>168</v>
      </c>
      <c r="IJD6" s="137">
        <v>1</v>
      </c>
      <c r="IJE6" s="137">
        <v>167.32</v>
      </c>
      <c r="IJF6" s="181" t="s">
        <v>817</v>
      </c>
      <c r="IJG6" s="545" t="s">
        <v>816</v>
      </c>
      <c r="IJH6" s="545"/>
      <c r="IJI6" s="545"/>
      <c r="IJJ6" s="545"/>
      <c r="IJK6" s="136" t="s">
        <v>168</v>
      </c>
      <c r="IJL6" s="137">
        <v>1</v>
      </c>
      <c r="IJM6" s="137">
        <v>167.32</v>
      </c>
      <c r="IJN6" s="181" t="s">
        <v>817</v>
      </c>
      <c r="IJO6" s="545" t="s">
        <v>816</v>
      </c>
      <c r="IJP6" s="545"/>
      <c r="IJQ6" s="545"/>
      <c r="IJR6" s="545"/>
      <c r="IJS6" s="136" t="s">
        <v>168</v>
      </c>
      <c r="IJT6" s="137">
        <v>1</v>
      </c>
      <c r="IJU6" s="137">
        <v>167.32</v>
      </c>
      <c r="IJV6" s="181" t="s">
        <v>817</v>
      </c>
      <c r="IJW6" s="545" t="s">
        <v>816</v>
      </c>
      <c r="IJX6" s="545"/>
      <c r="IJY6" s="545"/>
      <c r="IJZ6" s="545"/>
      <c r="IKA6" s="136" t="s">
        <v>168</v>
      </c>
      <c r="IKB6" s="137">
        <v>1</v>
      </c>
      <c r="IKC6" s="137">
        <v>167.32</v>
      </c>
      <c r="IKD6" s="181" t="s">
        <v>817</v>
      </c>
      <c r="IKE6" s="545" t="s">
        <v>816</v>
      </c>
      <c r="IKF6" s="545"/>
      <c r="IKG6" s="545"/>
      <c r="IKH6" s="545"/>
      <c r="IKI6" s="136" t="s">
        <v>168</v>
      </c>
      <c r="IKJ6" s="137">
        <v>1</v>
      </c>
      <c r="IKK6" s="137">
        <v>167.32</v>
      </c>
      <c r="IKL6" s="181" t="s">
        <v>817</v>
      </c>
      <c r="IKM6" s="545" t="s">
        <v>816</v>
      </c>
      <c r="IKN6" s="545"/>
      <c r="IKO6" s="545"/>
      <c r="IKP6" s="545"/>
      <c r="IKQ6" s="136" t="s">
        <v>168</v>
      </c>
      <c r="IKR6" s="137">
        <v>1</v>
      </c>
      <c r="IKS6" s="137">
        <v>167.32</v>
      </c>
      <c r="IKT6" s="181" t="s">
        <v>817</v>
      </c>
      <c r="IKU6" s="545" t="s">
        <v>816</v>
      </c>
      <c r="IKV6" s="545"/>
      <c r="IKW6" s="545"/>
      <c r="IKX6" s="545"/>
      <c r="IKY6" s="136" t="s">
        <v>168</v>
      </c>
      <c r="IKZ6" s="137">
        <v>1</v>
      </c>
      <c r="ILA6" s="137">
        <v>167.32</v>
      </c>
      <c r="ILB6" s="181" t="s">
        <v>817</v>
      </c>
      <c r="ILC6" s="545" t="s">
        <v>816</v>
      </c>
      <c r="ILD6" s="545"/>
      <c r="ILE6" s="545"/>
      <c r="ILF6" s="545"/>
      <c r="ILG6" s="136" t="s">
        <v>168</v>
      </c>
      <c r="ILH6" s="137">
        <v>1</v>
      </c>
      <c r="ILI6" s="137">
        <v>167.32</v>
      </c>
      <c r="ILJ6" s="181" t="s">
        <v>817</v>
      </c>
      <c r="ILK6" s="545" t="s">
        <v>816</v>
      </c>
      <c r="ILL6" s="545"/>
      <c r="ILM6" s="545"/>
      <c r="ILN6" s="545"/>
      <c r="ILO6" s="136" t="s">
        <v>168</v>
      </c>
      <c r="ILP6" s="137">
        <v>1</v>
      </c>
      <c r="ILQ6" s="137">
        <v>167.32</v>
      </c>
      <c r="ILR6" s="181" t="s">
        <v>817</v>
      </c>
      <c r="ILS6" s="545" t="s">
        <v>816</v>
      </c>
      <c r="ILT6" s="545"/>
      <c r="ILU6" s="545"/>
      <c r="ILV6" s="545"/>
      <c r="ILW6" s="136" t="s">
        <v>168</v>
      </c>
      <c r="ILX6" s="137">
        <v>1</v>
      </c>
      <c r="ILY6" s="137">
        <v>167.32</v>
      </c>
      <c r="ILZ6" s="181" t="s">
        <v>817</v>
      </c>
      <c r="IMA6" s="545" t="s">
        <v>816</v>
      </c>
      <c r="IMB6" s="545"/>
      <c r="IMC6" s="545"/>
      <c r="IMD6" s="545"/>
      <c r="IME6" s="136" t="s">
        <v>168</v>
      </c>
      <c r="IMF6" s="137">
        <v>1</v>
      </c>
      <c r="IMG6" s="137">
        <v>167.32</v>
      </c>
      <c r="IMH6" s="181" t="s">
        <v>817</v>
      </c>
      <c r="IMI6" s="545" t="s">
        <v>816</v>
      </c>
      <c r="IMJ6" s="545"/>
      <c r="IMK6" s="545"/>
      <c r="IML6" s="545"/>
      <c r="IMM6" s="136" t="s">
        <v>168</v>
      </c>
      <c r="IMN6" s="137">
        <v>1</v>
      </c>
      <c r="IMO6" s="137">
        <v>167.32</v>
      </c>
      <c r="IMP6" s="181" t="s">
        <v>817</v>
      </c>
      <c r="IMQ6" s="545" t="s">
        <v>816</v>
      </c>
      <c r="IMR6" s="545"/>
      <c r="IMS6" s="545"/>
      <c r="IMT6" s="545"/>
      <c r="IMU6" s="136" t="s">
        <v>168</v>
      </c>
      <c r="IMV6" s="137">
        <v>1</v>
      </c>
      <c r="IMW6" s="137">
        <v>167.32</v>
      </c>
      <c r="IMX6" s="181" t="s">
        <v>817</v>
      </c>
      <c r="IMY6" s="545" t="s">
        <v>816</v>
      </c>
      <c r="IMZ6" s="545"/>
      <c r="INA6" s="545"/>
      <c r="INB6" s="545"/>
      <c r="INC6" s="136" t="s">
        <v>168</v>
      </c>
      <c r="IND6" s="137">
        <v>1</v>
      </c>
      <c r="INE6" s="137">
        <v>167.32</v>
      </c>
      <c r="INF6" s="181" t="s">
        <v>817</v>
      </c>
      <c r="ING6" s="545" t="s">
        <v>816</v>
      </c>
      <c r="INH6" s="545"/>
      <c r="INI6" s="545"/>
      <c r="INJ6" s="545"/>
      <c r="INK6" s="136" t="s">
        <v>168</v>
      </c>
      <c r="INL6" s="137">
        <v>1</v>
      </c>
      <c r="INM6" s="137">
        <v>167.32</v>
      </c>
      <c r="INN6" s="181" t="s">
        <v>817</v>
      </c>
      <c r="INO6" s="545" t="s">
        <v>816</v>
      </c>
      <c r="INP6" s="545"/>
      <c r="INQ6" s="545"/>
      <c r="INR6" s="545"/>
      <c r="INS6" s="136" t="s">
        <v>168</v>
      </c>
      <c r="INT6" s="137">
        <v>1</v>
      </c>
      <c r="INU6" s="137">
        <v>167.32</v>
      </c>
      <c r="INV6" s="181" t="s">
        <v>817</v>
      </c>
      <c r="INW6" s="545" t="s">
        <v>816</v>
      </c>
      <c r="INX6" s="545"/>
      <c r="INY6" s="545"/>
      <c r="INZ6" s="545"/>
      <c r="IOA6" s="136" t="s">
        <v>168</v>
      </c>
      <c r="IOB6" s="137">
        <v>1</v>
      </c>
      <c r="IOC6" s="137">
        <v>167.32</v>
      </c>
      <c r="IOD6" s="181" t="s">
        <v>817</v>
      </c>
      <c r="IOE6" s="545" t="s">
        <v>816</v>
      </c>
      <c r="IOF6" s="545"/>
      <c r="IOG6" s="545"/>
      <c r="IOH6" s="545"/>
      <c r="IOI6" s="136" t="s">
        <v>168</v>
      </c>
      <c r="IOJ6" s="137">
        <v>1</v>
      </c>
      <c r="IOK6" s="137">
        <v>167.32</v>
      </c>
      <c r="IOL6" s="181" t="s">
        <v>817</v>
      </c>
      <c r="IOM6" s="545" t="s">
        <v>816</v>
      </c>
      <c r="ION6" s="545"/>
      <c r="IOO6" s="545"/>
      <c r="IOP6" s="545"/>
      <c r="IOQ6" s="136" t="s">
        <v>168</v>
      </c>
      <c r="IOR6" s="137">
        <v>1</v>
      </c>
      <c r="IOS6" s="137">
        <v>167.32</v>
      </c>
      <c r="IOT6" s="181" t="s">
        <v>817</v>
      </c>
      <c r="IOU6" s="545" t="s">
        <v>816</v>
      </c>
      <c r="IOV6" s="545"/>
      <c r="IOW6" s="545"/>
      <c r="IOX6" s="545"/>
      <c r="IOY6" s="136" t="s">
        <v>168</v>
      </c>
      <c r="IOZ6" s="137">
        <v>1</v>
      </c>
      <c r="IPA6" s="137">
        <v>167.32</v>
      </c>
      <c r="IPB6" s="181" t="s">
        <v>817</v>
      </c>
      <c r="IPC6" s="545" t="s">
        <v>816</v>
      </c>
      <c r="IPD6" s="545"/>
      <c r="IPE6" s="545"/>
      <c r="IPF6" s="545"/>
      <c r="IPG6" s="136" t="s">
        <v>168</v>
      </c>
      <c r="IPH6" s="137">
        <v>1</v>
      </c>
      <c r="IPI6" s="137">
        <v>167.32</v>
      </c>
      <c r="IPJ6" s="181" t="s">
        <v>817</v>
      </c>
      <c r="IPK6" s="545" t="s">
        <v>816</v>
      </c>
      <c r="IPL6" s="545"/>
      <c r="IPM6" s="545"/>
      <c r="IPN6" s="545"/>
      <c r="IPO6" s="136" t="s">
        <v>168</v>
      </c>
      <c r="IPP6" s="137">
        <v>1</v>
      </c>
      <c r="IPQ6" s="137">
        <v>167.32</v>
      </c>
      <c r="IPR6" s="181" t="s">
        <v>817</v>
      </c>
      <c r="IPS6" s="545" t="s">
        <v>816</v>
      </c>
      <c r="IPT6" s="545"/>
      <c r="IPU6" s="545"/>
      <c r="IPV6" s="545"/>
      <c r="IPW6" s="136" t="s">
        <v>168</v>
      </c>
      <c r="IPX6" s="137">
        <v>1</v>
      </c>
      <c r="IPY6" s="137">
        <v>167.32</v>
      </c>
      <c r="IPZ6" s="181" t="s">
        <v>817</v>
      </c>
      <c r="IQA6" s="545" t="s">
        <v>816</v>
      </c>
      <c r="IQB6" s="545"/>
      <c r="IQC6" s="545"/>
      <c r="IQD6" s="545"/>
      <c r="IQE6" s="136" t="s">
        <v>168</v>
      </c>
      <c r="IQF6" s="137">
        <v>1</v>
      </c>
      <c r="IQG6" s="137">
        <v>167.32</v>
      </c>
      <c r="IQH6" s="181" t="s">
        <v>817</v>
      </c>
      <c r="IQI6" s="545" t="s">
        <v>816</v>
      </c>
      <c r="IQJ6" s="545"/>
      <c r="IQK6" s="545"/>
      <c r="IQL6" s="545"/>
      <c r="IQM6" s="136" t="s">
        <v>168</v>
      </c>
      <c r="IQN6" s="137">
        <v>1</v>
      </c>
      <c r="IQO6" s="137">
        <v>167.32</v>
      </c>
      <c r="IQP6" s="181" t="s">
        <v>817</v>
      </c>
      <c r="IQQ6" s="545" t="s">
        <v>816</v>
      </c>
      <c r="IQR6" s="545"/>
      <c r="IQS6" s="545"/>
      <c r="IQT6" s="545"/>
      <c r="IQU6" s="136" t="s">
        <v>168</v>
      </c>
      <c r="IQV6" s="137">
        <v>1</v>
      </c>
      <c r="IQW6" s="137">
        <v>167.32</v>
      </c>
      <c r="IQX6" s="181" t="s">
        <v>817</v>
      </c>
      <c r="IQY6" s="545" t="s">
        <v>816</v>
      </c>
      <c r="IQZ6" s="545"/>
      <c r="IRA6" s="545"/>
      <c r="IRB6" s="545"/>
      <c r="IRC6" s="136" t="s">
        <v>168</v>
      </c>
      <c r="IRD6" s="137">
        <v>1</v>
      </c>
      <c r="IRE6" s="137">
        <v>167.32</v>
      </c>
      <c r="IRF6" s="181" t="s">
        <v>817</v>
      </c>
      <c r="IRG6" s="545" t="s">
        <v>816</v>
      </c>
      <c r="IRH6" s="545"/>
      <c r="IRI6" s="545"/>
      <c r="IRJ6" s="545"/>
      <c r="IRK6" s="136" t="s">
        <v>168</v>
      </c>
      <c r="IRL6" s="137">
        <v>1</v>
      </c>
      <c r="IRM6" s="137">
        <v>167.32</v>
      </c>
      <c r="IRN6" s="181" t="s">
        <v>817</v>
      </c>
      <c r="IRO6" s="545" t="s">
        <v>816</v>
      </c>
      <c r="IRP6" s="545"/>
      <c r="IRQ6" s="545"/>
      <c r="IRR6" s="545"/>
      <c r="IRS6" s="136" t="s">
        <v>168</v>
      </c>
      <c r="IRT6" s="137">
        <v>1</v>
      </c>
      <c r="IRU6" s="137">
        <v>167.32</v>
      </c>
      <c r="IRV6" s="181" t="s">
        <v>817</v>
      </c>
      <c r="IRW6" s="545" t="s">
        <v>816</v>
      </c>
      <c r="IRX6" s="545"/>
      <c r="IRY6" s="545"/>
      <c r="IRZ6" s="545"/>
      <c r="ISA6" s="136" t="s">
        <v>168</v>
      </c>
      <c r="ISB6" s="137">
        <v>1</v>
      </c>
      <c r="ISC6" s="137">
        <v>167.32</v>
      </c>
      <c r="ISD6" s="181" t="s">
        <v>817</v>
      </c>
      <c r="ISE6" s="545" t="s">
        <v>816</v>
      </c>
      <c r="ISF6" s="545"/>
      <c r="ISG6" s="545"/>
      <c r="ISH6" s="545"/>
      <c r="ISI6" s="136" t="s">
        <v>168</v>
      </c>
      <c r="ISJ6" s="137">
        <v>1</v>
      </c>
      <c r="ISK6" s="137">
        <v>167.32</v>
      </c>
      <c r="ISL6" s="181" t="s">
        <v>817</v>
      </c>
      <c r="ISM6" s="545" t="s">
        <v>816</v>
      </c>
      <c r="ISN6" s="545"/>
      <c r="ISO6" s="545"/>
      <c r="ISP6" s="545"/>
      <c r="ISQ6" s="136" t="s">
        <v>168</v>
      </c>
      <c r="ISR6" s="137">
        <v>1</v>
      </c>
      <c r="ISS6" s="137">
        <v>167.32</v>
      </c>
      <c r="IST6" s="181" t="s">
        <v>817</v>
      </c>
      <c r="ISU6" s="545" t="s">
        <v>816</v>
      </c>
      <c r="ISV6" s="545"/>
      <c r="ISW6" s="545"/>
      <c r="ISX6" s="545"/>
      <c r="ISY6" s="136" t="s">
        <v>168</v>
      </c>
      <c r="ISZ6" s="137">
        <v>1</v>
      </c>
      <c r="ITA6" s="137">
        <v>167.32</v>
      </c>
      <c r="ITB6" s="181" t="s">
        <v>817</v>
      </c>
      <c r="ITC6" s="545" t="s">
        <v>816</v>
      </c>
      <c r="ITD6" s="545"/>
      <c r="ITE6" s="545"/>
      <c r="ITF6" s="545"/>
      <c r="ITG6" s="136" t="s">
        <v>168</v>
      </c>
      <c r="ITH6" s="137">
        <v>1</v>
      </c>
      <c r="ITI6" s="137">
        <v>167.32</v>
      </c>
      <c r="ITJ6" s="181" t="s">
        <v>817</v>
      </c>
      <c r="ITK6" s="545" t="s">
        <v>816</v>
      </c>
      <c r="ITL6" s="545"/>
      <c r="ITM6" s="545"/>
      <c r="ITN6" s="545"/>
      <c r="ITO6" s="136" t="s">
        <v>168</v>
      </c>
      <c r="ITP6" s="137">
        <v>1</v>
      </c>
      <c r="ITQ6" s="137">
        <v>167.32</v>
      </c>
      <c r="ITR6" s="181" t="s">
        <v>817</v>
      </c>
      <c r="ITS6" s="545" t="s">
        <v>816</v>
      </c>
      <c r="ITT6" s="545"/>
      <c r="ITU6" s="545"/>
      <c r="ITV6" s="545"/>
      <c r="ITW6" s="136" t="s">
        <v>168</v>
      </c>
      <c r="ITX6" s="137">
        <v>1</v>
      </c>
      <c r="ITY6" s="137">
        <v>167.32</v>
      </c>
      <c r="ITZ6" s="181" t="s">
        <v>817</v>
      </c>
      <c r="IUA6" s="545" t="s">
        <v>816</v>
      </c>
      <c r="IUB6" s="545"/>
      <c r="IUC6" s="545"/>
      <c r="IUD6" s="545"/>
      <c r="IUE6" s="136" t="s">
        <v>168</v>
      </c>
      <c r="IUF6" s="137">
        <v>1</v>
      </c>
      <c r="IUG6" s="137">
        <v>167.32</v>
      </c>
      <c r="IUH6" s="181" t="s">
        <v>817</v>
      </c>
      <c r="IUI6" s="545" t="s">
        <v>816</v>
      </c>
      <c r="IUJ6" s="545"/>
      <c r="IUK6" s="545"/>
      <c r="IUL6" s="545"/>
      <c r="IUM6" s="136" t="s">
        <v>168</v>
      </c>
      <c r="IUN6" s="137">
        <v>1</v>
      </c>
      <c r="IUO6" s="137">
        <v>167.32</v>
      </c>
      <c r="IUP6" s="181" t="s">
        <v>817</v>
      </c>
      <c r="IUQ6" s="545" t="s">
        <v>816</v>
      </c>
      <c r="IUR6" s="545"/>
      <c r="IUS6" s="545"/>
      <c r="IUT6" s="545"/>
      <c r="IUU6" s="136" t="s">
        <v>168</v>
      </c>
      <c r="IUV6" s="137">
        <v>1</v>
      </c>
      <c r="IUW6" s="137">
        <v>167.32</v>
      </c>
      <c r="IUX6" s="181" t="s">
        <v>817</v>
      </c>
      <c r="IUY6" s="545" t="s">
        <v>816</v>
      </c>
      <c r="IUZ6" s="545"/>
      <c r="IVA6" s="545"/>
      <c r="IVB6" s="545"/>
      <c r="IVC6" s="136" t="s">
        <v>168</v>
      </c>
      <c r="IVD6" s="137">
        <v>1</v>
      </c>
      <c r="IVE6" s="137">
        <v>167.32</v>
      </c>
      <c r="IVF6" s="181" t="s">
        <v>817</v>
      </c>
      <c r="IVG6" s="545" t="s">
        <v>816</v>
      </c>
      <c r="IVH6" s="545"/>
      <c r="IVI6" s="545"/>
      <c r="IVJ6" s="545"/>
      <c r="IVK6" s="136" t="s">
        <v>168</v>
      </c>
      <c r="IVL6" s="137">
        <v>1</v>
      </c>
      <c r="IVM6" s="137">
        <v>167.32</v>
      </c>
      <c r="IVN6" s="181" t="s">
        <v>817</v>
      </c>
      <c r="IVO6" s="545" t="s">
        <v>816</v>
      </c>
      <c r="IVP6" s="545"/>
      <c r="IVQ6" s="545"/>
      <c r="IVR6" s="545"/>
      <c r="IVS6" s="136" t="s">
        <v>168</v>
      </c>
      <c r="IVT6" s="137">
        <v>1</v>
      </c>
      <c r="IVU6" s="137">
        <v>167.32</v>
      </c>
      <c r="IVV6" s="181" t="s">
        <v>817</v>
      </c>
      <c r="IVW6" s="545" t="s">
        <v>816</v>
      </c>
      <c r="IVX6" s="545"/>
      <c r="IVY6" s="545"/>
      <c r="IVZ6" s="545"/>
      <c r="IWA6" s="136" t="s">
        <v>168</v>
      </c>
      <c r="IWB6" s="137">
        <v>1</v>
      </c>
      <c r="IWC6" s="137">
        <v>167.32</v>
      </c>
      <c r="IWD6" s="181" t="s">
        <v>817</v>
      </c>
      <c r="IWE6" s="545" t="s">
        <v>816</v>
      </c>
      <c r="IWF6" s="545"/>
      <c r="IWG6" s="545"/>
      <c r="IWH6" s="545"/>
      <c r="IWI6" s="136" t="s">
        <v>168</v>
      </c>
      <c r="IWJ6" s="137">
        <v>1</v>
      </c>
      <c r="IWK6" s="137">
        <v>167.32</v>
      </c>
      <c r="IWL6" s="181" t="s">
        <v>817</v>
      </c>
      <c r="IWM6" s="545" t="s">
        <v>816</v>
      </c>
      <c r="IWN6" s="545"/>
      <c r="IWO6" s="545"/>
      <c r="IWP6" s="545"/>
      <c r="IWQ6" s="136" t="s">
        <v>168</v>
      </c>
      <c r="IWR6" s="137">
        <v>1</v>
      </c>
      <c r="IWS6" s="137">
        <v>167.32</v>
      </c>
      <c r="IWT6" s="181" t="s">
        <v>817</v>
      </c>
      <c r="IWU6" s="545" t="s">
        <v>816</v>
      </c>
      <c r="IWV6" s="545"/>
      <c r="IWW6" s="545"/>
      <c r="IWX6" s="545"/>
      <c r="IWY6" s="136" t="s">
        <v>168</v>
      </c>
      <c r="IWZ6" s="137">
        <v>1</v>
      </c>
      <c r="IXA6" s="137">
        <v>167.32</v>
      </c>
      <c r="IXB6" s="181" t="s">
        <v>817</v>
      </c>
      <c r="IXC6" s="545" t="s">
        <v>816</v>
      </c>
      <c r="IXD6" s="545"/>
      <c r="IXE6" s="545"/>
      <c r="IXF6" s="545"/>
      <c r="IXG6" s="136" t="s">
        <v>168</v>
      </c>
      <c r="IXH6" s="137">
        <v>1</v>
      </c>
      <c r="IXI6" s="137">
        <v>167.32</v>
      </c>
      <c r="IXJ6" s="181" t="s">
        <v>817</v>
      </c>
      <c r="IXK6" s="545" t="s">
        <v>816</v>
      </c>
      <c r="IXL6" s="545"/>
      <c r="IXM6" s="545"/>
      <c r="IXN6" s="545"/>
      <c r="IXO6" s="136" t="s">
        <v>168</v>
      </c>
      <c r="IXP6" s="137">
        <v>1</v>
      </c>
      <c r="IXQ6" s="137">
        <v>167.32</v>
      </c>
      <c r="IXR6" s="181" t="s">
        <v>817</v>
      </c>
      <c r="IXS6" s="545" t="s">
        <v>816</v>
      </c>
      <c r="IXT6" s="545"/>
      <c r="IXU6" s="545"/>
      <c r="IXV6" s="545"/>
      <c r="IXW6" s="136" t="s">
        <v>168</v>
      </c>
      <c r="IXX6" s="137">
        <v>1</v>
      </c>
      <c r="IXY6" s="137">
        <v>167.32</v>
      </c>
      <c r="IXZ6" s="181" t="s">
        <v>817</v>
      </c>
      <c r="IYA6" s="545" t="s">
        <v>816</v>
      </c>
      <c r="IYB6" s="545"/>
      <c r="IYC6" s="545"/>
      <c r="IYD6" s="545"/>
      <c r="IYE6" s="136" t="s">
        <v>168</v>
      </c>
      <c r="IYF6" s="137">
        <v>1</v>
      </c>
      <c r="IYG6" s="137">
        <v>167.32</v>
      </c>
      <c r="IYH6" s="181" t="s">
        <v>817</v>
      </c>
      <c r="IYI6" s="545" t="s">
        <v>816</v>
      </c>
      <c r="IYJ6" s="545"/>
      <c r="IYK6" s="545"/>
      <c r="IYL6" s="545"/>
      <c r="IYM6" s="136" t="s">
        <v>168</v>
      </c>
      <c r="IYN6" s="137">
        <v>1</v>
      </c>
      <c r="IYO6" s="137">
        <v>167.32</v>
      </c>
      <c r="IYP6" s="181" t="s">
        <v>817</v>
      </c>
      <c r="IYQ6" s="545" t="s">
        <v>816</v>
      </c>
      <c r="IYR6" s="545"/>
      <c r="IYS6" s="545"/>
      <c r="IYT6" s="545"/>
      <c r="IYU6" s="136" t="s">
        <v>168</v>
      </c>
      <c r="IYV6" s="137">
        <v>1</v>
      </c>
      <c r="IYW6" s="137">
        <v>167.32</v>
      </c>
      <c r="IYX6" s="181" t="s">
        <v>817</v>
      </c>
      <c r="IYY6" s="545" t="s">
        <v>816</v>
      </c>
      <c r="IYZ6" s="545"/>
      <c r="IZA6" s="545"/>
      <c r="IZB6" s="545"/>
      <c r="IZC6" s="136" t="s">
        <v>168</v>
      </c>
      <c r="IZD6" s="137">
        <v>1</v>
      </c>
      <c r="IZE6" s="137">
        <v>167.32</v>
      </c>
      <c r="IZF6" s="181" t="s">
        <v>817</v>
      </c>
      <c r="IZG6" s="545" t="s">
        <v>816</v>
      </c>
      <c r="IZH6" s="545"/>
      <c r="IZI6" s="545"/>
      <c r="IZJ6" s="545"/>
      <c r="IZK6" s="136" t="s">
        <v>168</v>
      </c>
      <c r="IZL6" s="137">
        <v>1</v>
      </c>
      <c r="IZM6" s="137">
        <v>167.32</v>
      </c>
      <c r="IZN6" s="181" t="s">
        <v>817</v>
      </c>
      <c r="IZO6" s="545" t="s">
        <v>816</v>
      </c>
      <c r="IZP6" s="545"/>
      <c r="IZQ6" s="545"/>
      <c r="IZR6" s="545"/>
      <c r="IZS6" s="136" t="s">
        <v>168</v>
      </c>
      <c r="IZT6" s="137">
        <v>1</v>
      </c>
      <c r="IZU6" s="137">
        <v>167.32</v>
      </c>
      <c r="IZV6" s="181" t="s">
        <v>817</v>
      </c>
      <c r="IZW6" s="545" t="s">
        <v>816</v>
      </c>
      <c r="IZX6" s="545"/>
      <c r="IZY6" s="545"/>
      <c r="IZZ6" s="545"/>
      <c r="JAA6" s="136" t="s">
        <v>168</v>
      </c>
      <c r="JAB6" s="137">
        <v>1</v>
      </c>
      <c r="JAC6" s="137">
        <v>167.32</v>
      </c>
      <c r="JAD6" s="181" t="s">
        <v>817</v>
      </c>
      <c r="JAE6" s="545" t="s">
        <v>816</v>
      </c>
      <c r="JAF6" s="545"/>
      <c r="JAG6" s="545"/>
      <c r="JAH6" s="545"/>
      <c r="JAI6" s="136" t="s">
        <v>168</v>
      </c>
      <c r="JAJ6" s="137">
        <v>1</v>
      </c>
      <c r="JAK6" s="137">
        <v>167.32</v>
      </c>
      <c r="JAL6" s="181" t="s">
        <v>817</v>
      </c>
      <c r="JAM6" s="545" t="s">
        <v>816</v>
      </c>
      <c r="JAN6" s="545"/>
      <c r="JAO6" s="545"/>
      <c r="JAP6" s="545"/>
      <c r="JAQ6" s="136" t="s">
        <v>168</v>
      </c>
      <c r="JAR6" s="137">
        <v>1</v>
      </c>
      <c r="JAS6" s="137">
        <v>167.32</v>
      </c>
      <c r="JAT6" s="181" t="s">
        <v>817</v>
      </c>
      <c r="JAU6" s="545" t="s">
        <v>816</v>
      </c>
      <c r="JAV6" s="545"/>
      <c r="JAW6" s="545"/>
      <c r="JAX6" s="545"/>
      <c r="JAY6" s="136" t="s">
        <v>168</v>
      </c>
      <c r="JAZ6" s="137">
        <v>1</v>
      </c>
      <c r="JBA6" s="137">
        <v>167.32</v>
      </c>
      <c r="JBB6" s="181" t="s">
        <v>817</v>
      </c>
      <c r="JBC6" s="545" t="s">
        <v>816</v>
      </c>
      <c r="JBD6" s="545"/>
      <c r="JBE6" s="545"/>
      <c r="JBF6" s="545"/>
      <c r="JBG6" s="136" t="s">
        <v>168</v>
      </c>
      <c r="JBH6" s="137">
        <v>1</v>
      </c>
      <c r="JBI6" s="137">
        <v>167.32</v>
      </c>
      <c r="JBJ6" s="181" t="s">
        <v>817</v>
      </c>
      <c r="JBK6" s="545" t="s">
        <v>816</v>
      </c>
      <c r="JBL6" s="545"/>
      <c r="JBM6" s="545"/>
      <c r="JBN6" s="545"/>
      <c r="JBO6" s="136" t="s">
        <v>168</v>
      </c>
      <c r="JBP6" s="137">
        <v>1</v>
      </c>
      <c r="JBQ6" s="137">
        <v>167.32</v>
      </c>
      <c r="JBR6" s="181" t="s">
        <v>817</v>
      </c>
      <c r="JBS6" s="545" t="s">
        <v>816</v>
      </c>
      <c r="JBT6" s="545"/>
      <c r="JBU6" s="545"/>
      <c r="JBV6" s="545"/>
      <c r="JBW6" s="136" t="s">
        <v>168</v>
      </c>
      <c r="JBX6" s="137">
        <v>1</v>
      </c>
      <c r="JBY6" s="137">
        <v>167.32</v>
      </c>
      <c r="JBZ6" s="181" t="s">
        <v>817</v>
      </c>
      <c r="JCA6" s="545" t="s">
        <v>816</v>
      </c>
      <c r="JCB6" s="545"/>
      <c r="JCC6" s="545"/>
      <c r="JCD6" s="545"/>
      <c r="JCE6" s="136" t="s">
        <v>168</v>
      </c>
      <c r="JCF6" s="137">
        <v>1</v>
      </c>
      <c r="JCG6" s="137">
        <v>167.32</v>
      </c>
      <c r="JCH6" s="181" t="s">
        <v>817</v>
      </c>
      <c r="JCI6" s="545" t="s">
        <v>816</v>
      </c>
      <c r="JCJ6" s="545"/>
      <c r="JCK6" s="545"/>
      <c r="JCL6" s="545"/>
      <c r="JCM6" s="136" t="s">
        <v>168</v>
      </c>
      <c r="JCN6" s="137">
        <v>1</v>
      </c>
      <c r="JCO6" s="137">
        <v>167.32</v>
      </c>
      <c r="JCP6" s="181" t="s">
        <v>817</v>
      </c>
      <c r="JCQ6" s="545" t="s">
        <v>816</v>
      </c>
      <c r="JCR6" s="545"/>
      <c r="JCS6" s="545"/>
      <c r="JCT6" s="545"/>
      <c r="JCU6" s="136" t="s">
        <v>168</v>
      </c>
      <c r="JCV6" s="137">
        <v>1</v>
      </c>
      <c r="JCW6" s="137">
        <v>167.32</v>
      </c>
      <c r="JCX6" s="181" t="s">
        <v>817</v>
      </c>
      <c r="JCY6" s="545" t="s">
        <v>816</v>
      </c>
      <c r="JCZ6" s="545"/>
      <c r="JDA6" s="545"/>
      <c r="JDB6" s="545"/>
      <c r="JDC6" s="136" t="s">
        <v>168</v>
      </c>
      <c r="JDD6" s="137">
        <v>1</v>
      </c>
      <c r="JDE6" s="137">
        <v>167.32</v>
      </c>
      <c r="JDF6" s="181" t="s">
        <v>817</v>
      </c>
      <c r="JDG6" s="545" t="s">
        <v>816</v>
      </c>
      <c r="JDH6" s="545"/>
      <c r="JDI6" s="545"/>
      <c r="JDJ6" s="545"/>
      <c r="JDK6" s="136" t="s">
        <v>168</v>
      </c>
      <c r="JDL6" s="137">
        <v>1</v>
      </c>
      <c r="JDM6" s="137">
        <v>167.32</v>
      </c>
      <c r="JDN6" s="181" t="s">
        <v>817</v>
      </c>
      <c r="JDO6" s="545" t="s">
        <v>816</v>
      </c>
      <c r="JDP6" s="545"/>
      <c r="JDQ6" s="545"/>
      <c r="JDR6" s="545"/>
      <c r="JDS6" s="136" t="s">
        <v>168</v>
      </c>
      <c r="JDT6" s="137">
        <v>1</v>
      </c>
      <c r="JDU6" s="137">
        <v>167.32</v>
      </c>
      <c r="JDV6" s="181" t="s">
        <v>817</v>
      </c>
      <c r="JDW6" s="545" t="s">
        <v>816</v>
      </c>
      <c r="JDX6" s="545"/>
      <c r="JDY6" s="545"/>
      <c r="JDZ6" s="545"/>
      <c r="JEA6" s="136" t="s">
        <v>168</v>
      </c>
      <c r="JEB6" s="137">
        <v>1</v>
      </c>
      <c r="JEC6" s="137">
        <v>167.32</v>
      </c>
      <c r="JED6" s="181" t="s">
        <v>817</v>
      </c>
      <c r="JEE6" s="545" t="s">
        <v>816</v>
      </c>
      <c r="JEF6" s="545"/>
      <c r="JEG6" s="545"/>
      <c r="JEH6" s="545"/>
      <c r="JEI6" s="136" t="s">
        <v>168</v>
      </c>
      <c r="JEJ6" s="137">
        <v>1</v>
      </c>
      <c r="JEK6" s="137">
        <v>167.32</v>
      </c>
      <c r="JEL6" s="181" t="s">
        <v>817</v>
      </c>
      <c r="JEM6" s="545" t="s">
        <v>816</v>
      </c>
      <c r="JEN6" s="545"/>
      <c r="JEO6" s="545"/>
      <c r="JEP6" s="545"/>
      <c r="JEQ6" s="136" t="s">
        <v>168</v>
      </c>
      <c r="JER6" s="137">
        <v>1</v>
      </c>
      <c r="JES6" s="137">
        <v>167.32</v>
      </c>
      <c r="JET6" s="181" t="s">
        <v>817</v>
      </c>
      <c r="JEU6" s="545" t="s">
        <v>816</v>
      </c>
      <c r="JEV6" s="545"/>
      <c r="JEW6" s="545"/>
      <c r="JEX6" s="545"/>
      <c r="JEY6" s="136" t="s">
        <v>168</v>
      </c>
      <c r="JEZ6" s="137">
        <v>1</v>
      </c>
      <c r="JFA6" s="137">
        <v>167.32</v>
      </c>
      <c r="JFB6" s="181" t="s">
        <v>817</v>
      </c>
      <c r="JFC6" s="545" t="s">
        <v>816</v>
      </c>
      <c r="JFD6" s="545"/>
      <c r="JFE6" s="545"/>
      <c r="JFF6" s="545"/>
      <c r="JFG6" s="136" t="s">
        <v>168</v>
      </c>
      <c r="JFH6" s="137">
        <v>1</v>
      </c>
      <c r="JFI6" s="137">
        <v>167.32</v>
      </c>
      <c r="JFJ6" s="181" t="s">
        <v>817</v>
      </c>
      <c r="JFK6" s="545" t="s">
        <v>816</v>
      </c>
      <c r="JFL6" s="545"/>
      <c r="JFM6" s="545"/>
      <c r="JFN6" s="545"/>
      <c r="JFO6" s="136" t="s">
        <v>168</v>
      </c>
      <c r="JFP6" s="137">
        <v>1</v>
      </c>
      <c r="JFQ6" s="137">
        <v>167.32</v>
      </c>
      <c r="JFR6" s="181" t="s">
        <v>817</v>
      </c>
      <c r="JFS6" s="545" t="s">
        <v>816</v>
      </c>
      <c r="JFT6" s="545"/>
      <c r="JFU6" s="545"/>
      <c r="JFV6" s="545"/>
      <c r="JFW6" s="136" t="s">
        <v>168</v>
      </c>
      <c r="JFX6" s="137">
        <v>1</v>
      </c>
      <c r="JFY6" s="137">
        <v>167.32</v>
      </c>
      <c r="JFZ6" s="181" t="s">
        <v>817</v>
      </c>
      <c r="JGA6" s="545" t="s">
        <v>816</v>
      </c>
      <c r="JGB6" s="545"/>
      <c r="JGC6" s="545"/>
      <c r="JGD6" s="545"/>
      <c r="JGE6" s="136" t="s">
        <v>168</v>
      </c>
      <c r="JGF6" s="137">
        <v>1</v>
      </c>
      <c r="JGG6" s="137">
        <v>167.32</v>
      </c>
      <c r="JGH6" s="181" t="s">
        <v>817</v>
      </c>
      <c r="JGI6" s="545" t="s">
        <v>816</v>
      </c>
      <c r="JGJ6" s="545"/>
      <c r="JGK6" s="545"/>
      <c r="JGL6" s="545"/>
      <c r="JGM6" s="136" t="s">
        <v>168</v>
      </c>
      <c r="JGN6" s="137">
        <v>1</v>
      </c>
      <c r="JGO6" s="137">
        <v>167.32</v>
      </c>
      <c r="JGP6" s="181" t="s">
        <v>817</v>
      </c>
      <c r="JGQ6" s="545" t="s">
        <v>816</v>
      </c>
      <c r="JGR6" s="545"/>
      <c r="JGS6" s="545"/>
      <c r="JGT6" s="545"/>
      <c r="JGU6" s="136" t="s">
        <v>168</v>
      </c>
      <c r="JGV6" s="137">
        <v>1</v>
      </c>
      <c r="JGW6" s="137">
        <v>167.32</v>
      </c>
      <c r="JGX6" s="181" t="s">
        <v>817</v>
      </c>
      <c r="JGY6" s="545" t="s">
        <v>816</v>
      </c>
      <c r="JGZ6" s="545"/>
      <c r="JHA6" s="545"/>
      <c r="JHB6" s="545"/>
      <c r="JHC6" s="136" t="s">
        <v>168</v>
      </c>
      <c r="JHD6" s="137">
        <v>1</v>
      </c>
      <c r="JHE6" s="137">
        <v>167.32</v>
      </c>
      <c r="JHF6" s="181" t="s">
        <v>817</v>
      </c>
      <c r="JHG6" s="545" t="s">
        <v>816</v>
      </c>
      <c r="JHH6" s="545"/>
      <c r="JHI6" s="545"/>
      <c r="JHJ6" s="545"/>
      <c r="JHK6" s="136" t="s">
        <v>168</v>
      </c>
      <c r="JHL6" s="137">
        <v>1</v>
      </c>
      <c r="JHM6" s="137">
        <v>167.32</v>
      </c>
      <c r="JHN6" s="181" t="s">
        <v>817</v>
      </c>
      <c r="JHO6" s="545" t="s">
        <v>816</v>
      </c>
      <c r="JHP6" s="545"/>
      <c r="JHQ6" s="545"/>
      <c r="JHR6" s="545"/>
      <c r="JHS6" s="136" t="s">
        <v>168</v>
      </c>
      <c r="JHT6" s="137">
        <v>1</v>
      </c>
      <c r="JHU6" s="137">
        <v>167.32</v>
      </c>
      <c r="JHV6" s="181" t="s">
        <v>817</v>
      </c>
      <c r="JHW6" s="545" t="s">
        <v>816</v>
      </c>
      <c r="JHX6" s="545"/>
      <c r="JHY6" s="545"/>
      <c r="JHZ6" s="545"/>
      <c r="JIA6" s="136" t="s">
        <v>168</v>
      </c>
      <c r="JIB6" s="137">
        <v>1</v>
      </c>
      <c r="JIC6" s="137">
        <v>167.32</v>
      </c>
      <c r="JID6" s="181" t="s">
        <v>817</v>
      </c>
      <c r="JIE6" s="545" t="s">
        <v>816</v>
      </c>
      <c r="JIF6" s="545"/>
      <c r="JIG6" s="545"/>
      <c r="JIH6" s="545"/>
      <c r="JII6" s="136" t="s">
        <v>168</v>
      </c>
      <c r="JIJ6" s="137">
        <v>1</v>
      </c>
      <c r="JIK6" s="137">
        <v>167.32</v>
      </c>
      <c r="JIL6" s="181" t="s">
        <v>817</v>
      </c>
      <c r="JIM6" s="545" t="s">
        <v>816</v>
      </c>
      <c r="JIN6" s="545"/>
      <c r="JIO6" s="545"/>
      <c r="JIP6" s="545"/>
      <c r="JIQ6" s="136" t="s">
        <v>168</v>
      </c>
      <c r="JIR6" s="137">
        <v>1</v>
      </c>
      <c r="JIS6" s="137">
        <v>167.32</v>
      </c>
      <c r="JIT6" s="181" t="s">
        <v>817</v>
      </c>
      <c r="JIU6" s="545" t="s">
        <v>816</v>
      </c>
      <c r="JIV6" s="545"/>
      <c r="JIW6" s="545"/>
      <c r="JIX6" s="545"/>
      <c r="JIY6" s="136" t="s">
        <v>168</v>
      </c>
      <c r="JIZ6" s="137">
        <v>1</v>
      </c>
      <c r="JJA6" s="137">
        <v>167.32</v>
      </c>
      <c r="JJB6" s="181" t="s">
        <v>817</v>
      </c>
      <c r="JJC6" s="545" t="s">
        <v>816</v>
      </c>
      <c r="JJD6" s="545"/>
      <c r="JJE6" s="545"/>
      <c r="JJF6" s="545"/>
      <c r="JJG6" s="136" t="s">
        <v>168</v>
      </c>
      <c r="JJH6" s="137">
        <v>1</v>
      </c>
      <c r="JJI6" s="137">
        <v>167.32</v>
      </c>
      <c r="JJJ6" s="181" t="s">
        <v>817</v>
      </c>
      <c r="JJK6" s="545" t="s">
        <v>816</v>
      </c>
      <c r="JJL6" s="545"/>
      <c r="JJM6" s="545"/>
      <c r="JJN6" s="545"/>
      <c r="JJO6" s="136" t="s">
        <v>168</v>
      </c>
      <c r="JJP6" s="137">
        <v>1</v>
      </c>
      <c r="JJQ6" s="137">
        <v>167.32</v>
      </c>
      <c r="JJR6" s="181" t="s">
        <v>817</v>
      </c>
      <c r="JJS6" s="545" t="s">
        <v>816</v>
      </c>
      <c r="JJT6" s="545"/>
      <c r="JJU6" s="545"/>
      <c r="JJV6" s="545"/>
      <c r="JJW6" s="136" t="s">
        <v>168</v>
      </c>
      <c r="JJX6" s="137">
        <v>1</v>
      </c>
      <c r="JJY6" s="137">
        <v>167.32</v>
      </c>
      <c r="JJZ6" s="181" t="s">
        <v>817</v>
      </c>
      <c r="JKA6" s="545" t="s">
        <v>816</v>
      </c>
      <c r="JKB6" s="545"/>
      <c r="JKC6" s="545"/>
      <c r="JKD6" s="545"/>
      <c r="JKE6" s="136" t="s">
        <v>168</v>
      </c>
      <c r="JKF6" s="137">
        <v>1</v>
      </c>
      <c r="JKG6" s="137">
        <v>167.32</v>
      </c>
      <c r="JKH6" s="181" t="s">
        <v>817</v>
      </c>
      <c r="JKI6" s="545" t="s">
        <v>816</v>
      </c>
      <c r="JKJ6" s="545"/>
      <c r="JKK6" s="545"/>
      <c r="JKL6" s="545"/>
      <c r="JKM6" s="136" t="s">
        <v>168</v>
      </c>
      <c r="JKN6" s="137">
        <v>1</v>
      </c>
      <c r="JKO6" s="137">
        <v>167.32</v>
      </c>
      <c r="JKP6" s="181" t="s">
        <v>817</v>
      </c>
      <c r="JKQ6" s="545" t="s">
        <v>816</v>
      </c>
      <c r="JKR6" s="545"/>
      <c r="JKS6" s="545"/>
      <c r="JKT6" s="545"/>
      <c r="JKU6" s="136" t="s">
        <v>168</v>
      </c>
      <c r="JKV6" s="137">
        <v>1</v>
      </c>
      <c r="JKW6" s="137">
        <v>167.32</v>
      </c>
      <c r="JKX6" s="181" t="s">
        <v>817</v>
      </c>
      <c r="JKY6" s="545" t="s">
        <v>816</v>
      </c>
      <c r="JKZ6" s="545"/>
      <c r="JLA6" s="545"/>
      <c r="JLB6" s="545"/>
      <c r="JLC6" s="136" t="s">
        <v>168</v>
      </c>
      <c r="JLD6" s="137">
        <v>1</v>
      </c>
      <c r="JLE6" s="137">
        <v>167.32</v>
      </c>
      <c r="JLF6" s="181" t="s">
        <v>817</v>
      </c>
      <c r="JLG6" s="545" t="s">
        <v>816</v>
      </c>
      <c r="JLH6" s="545"/>
      <c r="JLI6" s="545"/>
      <c r="JLJ6" s="545"/>
      <c r="JLK6" s="136" t="s">
        <v>168</v>
      </c>
      <c r="JLL6" s="137">
        <v>1</v>
      </c>
      <c r="JLM6" s="137">
        <v>167.32</v>
      </c>
      <c r="JLN6" s="181" t="s">
        <v>817</v>
      </c>
      <c r="JLO6" s="545" t="s">
        <v>816</v>
      </c>
      <c r="JLP6" s="545"/>
      <c r="JLQ6" s="545"/>
      <c r="JLR6" s="545"/>
      <c r="JLS6" s="136" t="s">
        <v>168</v>
      </c>
      <c r="JLT6" s="137">
        <v>1</v>
      </c>
      <c r="JLU6" s="137">
        <v>167.32</v>
      </c>
      <c r="JLV6" s="181" t="s">
        <v>817</v>
      </c>
      <c r="JLW6" s="545" t="s">
        <v>816</v>
      </c>
      <c r="JLX6" s="545"/>
      <c r="JLY6" s="545"/>
      <c r="JLZ6" s="545"/>
      <c r="JMA6" s="136" t="s">
        <v>168</v>
      </c>
      <c r="JMB6" s="137">
        <v>1</v>
      </c>
      <c r="JMC6" s="137">
        <v>167.32</v>
      </c>
      <c r="JMD6" s="181" t="s">
        <v>817</v>
      </c>
      <c r="JME6" s="545" t="s">
        <v>816</v>
      </c>
      <c r="JMF6" s="545"/>
      <c r="JMG6" s="545"/>
      <c r="JMH6" s="545"/>
      <c r="JMI6" s="136" t="s">
        <v>168</v>
      </c>
      <c r="JMJ6" s="137">
        <v>1</v>
      </c>
      <c r="JMK6" s="137">
        <v>167.32</v>
      </c>
      <c r="JML6" s="181" t="s">
        <v>817</v>
      </c>
      <c r="JMM6" s="545" t="s">
        <v>816</v>
      </c>
      <c r="JMN6" s="545"/>
      <c r="JMO6" s="545"/>
      <c r="JMP6" s="545"/>
      <c r="JMQ6" s="136" t="s">
        <v>168</v>
      </c>
      <c r="JMR6" s="137">
        <v>1</v>
      </c>
      <c r="JMS6" s="137">
        <v>167.32</v>
      </c>
      <c r="JMT6" s="181" t="s">
        <v>817</v>
      </c>
      <c r="JMU6" s="545" t="s">
        <v>816</v>
      </c>
      <c r="JMV6" s="545"/>
      <c r="JMW6" s="545"/>
      <c r="JMX6" s="545"/>
      <c r="JMY6" s="136" t="s">
        <v>168</v>
      </c>
      <c r="JMZ6" s="137">
        <v>1</v>
      </c>
      <c r="JNA6" s="137">
        <v>167.32</v>
      </c>
      <c r="JNB6" s="181" t="s">
        <v>817</v>
      </c>
      <c r="JNC6" s="545" t="s">
        <v>816</v>
      </c>
      <c r="JND6" s="545"/>
      <c r="JNE6" s="545"/>
      <c r="JNF6" s="545"/>
      <c r="JNG6" s="136" t="s">
        <v>168</v>
      </c>
      <c r="JNH6" s="137">
        <v>1</v>
      </c>
      <c r="JNI6" s="137">
        <v>167.32</v>
      </c>
      <c r="JNJ6" s="181" t="s">
        <v>817</v>
      </c>
      <c r="JNK6" s="545" t="s">
        <v>816</v>
      </c>
      <c r="JNL6" s="545"/>
      <c r="JNM6" s="545"/>
      <c r="JNN6" s="545"/>
      <c r="JNO6" s="136" t="s">
        <v>168</v>
      </c>
      <c r="JNP6" s="137">
        <v>1</v>
      </c>
      <c r="JNQ6" s="137">
        <v>167.32</v>
      </c>
      <c r="JNR6" s="181" t="s">
        <v>817</v>
      </c>
      <c r="JNS6" s="545" t="s">
        <v>816</v>
      </c>
      <c r="JNT6" s="545"/>
      <c r="JNU6" s="545"/>
      <c r="JNV6" s="545"/>
      <c r="JNW6" s="136" t="s">
        <v>168</v>
      </c>
      <c r="JNX6" s="137">
        <v>1</v>
      </c>
      <c r="JNY6" s="137">
        <v>167.32</v>
      </c>
      <c r="JNZ6" s="181" t="s">
        <v>817</v>
      </c>
      <c r="JOA6" s="545" t="s">
        <v>816</v>
      </c>
      <c r="JOB6" s="545"/>
      <c r="JOC6" s="545"/>
      <c r="JOD6" s="545"/>
      <c r="JOE6" s="136" t="s">
        <v>168</v>
      </c>
      <c r="JOF6" s="137">
        <v>1</v>
      </c>
      <c r="JOG6" s="137">
        <v>167.32</v>
      </c>
      <c r="JOH6" s="181" t="s">
        <v>817</v>
      </c>
      <c r="JOI6" s="545" t="s">
        <v>816</v>
      </c>
      <c r="JOJ6" s="545"/>
      <c r="JOK6" s="545"/>
      <c r="JOL6" s="545"/>
      <c r="JOM6" s="136" t="s">
        <v>168</v>
      </c>
      <c r="JON6" s="137">
        <v>1</v>
      </c>
      <c r="JOO6" s="137">
        <v>167.32</v>
      </c>
      <c r="JOP6" s="181" t="s">
        <v>817</v>
      </c>
      <c r="JOQ6" s="545" t="s">
        <v>816</v>
      </c>
      <c r="JOR6" s="545"/>
      <c r="JOS6" s="545"/>
      <c r="JOT6" s="545"/>
      <c r="JOU6" s="136" t="s">
        <v>168</v>
      </c>
      <c r="JOV6" s="137">
        <v>1</v>
      </c>
      <c r="JOW6" s="137">
        <v>167.32</v>
      </c>
      <c r="JOX6" s="181" t="s">
        <v>817</v>
      </c>
      <c r="JOY6" s="545" t="s">
        <v>816</v>
      </c>
      <c r="JOZ6" s="545"/>
      <c r="JPA6" s="545"/>
      <c r="JPB6" s="545"/>
      <c r="JPC6" s="136" t="s">
        <v>168</v>
      </c>
      <c r="JPD6" s="137">
        <v>1</v>
      </c>
      <c r="JPE6" s="137">
        <v>167.32</v>
      </c>
      <c r="JPF6" s="181" t="s">
        <v>817</v>
      </c>
      <c r="JPG6" s="545" t="s">
        <v>816</v>
      </c>
      <c r="JPH6" s="545"/>
      <c r="JPI6" s="545"/>
      <c r="JPJ6" s="545"/>
      <c r="JPK6" s="136" t="s">
        <v>168</v>
      </c>
      <c r="JPL6" s="137">
        <v>1</v>
      </c>
      <c r="JPM6" s="137">
        <v>167.32</v>
      </c>
      <c r="JPN6" s="181" t="s">
        <v>817</v>
      </c>
      <c r="JPO6" s="545" t="s">
        <v>816</v>
      </c>
      <c r="JPP6" s="545"/>
      <c r="JPQ6" s="545"/>
      <c r="JPR6" s="545"/>
      <c r="JPS6" s="136" t="s">
        <v>168</v>
      </c>
      <c r="JPT6" s="137">
        <v>1</v>
      </c>
      <c r="JPU6" s="137">
        <v>167.32</v>
      </c>
      <c r="JPV6" s="181" t="s">
        <v>817</v>
      </c>
      <c r="JPW6" s="545" t="s">
        <v>816</v>
      </c>
      <c r="JPX6" s="545"/>
      <c r="JPY6" s="545"/>
      <c r="JPZ6" s="545"/>
      <c r="JQA6" s="136" t="s">
        <v>168</v>
      </c>
      <c r="JQB6" s="137">
        <v>1</v>
      </c>
      <c r="JQC6" s="137">
        <v>167.32</v>
      </c>
      <c r="JQD6" s="181" t="s">
        <v>817</v>
      </c>
      <c r="JQE6" s="545" t="s">
        <v>816</v>
      </c>
      <c r="JQF6" s="545"/>
      <c r="JQG6" s="545"/>
      <c r="JQH6" s="545"/>
      <c r="JQI6" s="136" t="s">
        <v>168</v>
      </c>
      <c r="JQJ6" s="137">
        <v>1</v>
      </c>
      <c r="JQK6" s="137">
        <v>167.32</v>
      </c>
      <c r="JQL6" s="181" t="s">
        <v>817</v>
      </c>
      <c r="JQM6" s="545" t="s">
        <v>816</v>
      </c>
      <c r="JQN6" s="545"/>
      <c r="JQO6" s="545"/>
      <c r="JQP6" s="545"/>
      <c r="JQQ6" s="136" t="s">
        <v>168</v>
      </c>
      <c r="JQR6" s="137">
        <v>1</v>
      </c>
      <c r="JQS6" s="137">
        <v>167.32</v>
      </c>
      <c r="JQT6" s="181" t="s">
        <v>817</v>
      </c>
      <c r="JQU6" s="545" t="s">
        <v>816</v>
      </c>
      <c r="JQV6" s="545"/>
      <c r="JQW6" s="545"/>
      <c r="JQX6" s="545"/>
      <c r="JQY6" s="136" t="s">
        <v>168</v>
      </c>
      <c r="JQZ6" s="137">
        <v>1</v>
      </c>
      <c r="JRA6" s="137">
        <v>167.32</v>
      </c>
      <c r="JRB6" s="181" t="s">
        <v>817</v>
      </c>
      <c r="JRC6" s="545" t="s">
        <v>816</v>
      </c>
      <c r="JRD6" s="545"/>
      <c r="JRE6" s="545"/>
      <c r="JRF6" s="545"/>
      <c r="JRG6" s="136" t="s">
        <v>168</v>
      </c>
      <c r="JRH6" s="137">
        <v>1</v>
      </c>
      <c r="JRI6" s="137">
        <v>167.32</v>
      </c>
      <c r="JRJ6" s="181" t="s">
        <v>817</v>
      </c>
      <c r="JRK6" s="545" t="s">
        <v>816</v>
      </c>
      <c r="JRL6" s="545"/>
      <c r="JRM6" s="545"/>
      <c r="JRN6" s="545"/>
      <c r="JRO6" s="136" t="s">
        <v>168</v>
      </c>
      <c r="JRP6" s="137">
        <v>1</v>
      </c>
      <c r="JRQ6" s="137">
        <v>167.32</v>
      </c>
      <c r="JRR6" s="181" t="s">
        <v>817</v>
      </c>
      <c r="JRS6" s="545" t="s">
        <v>816</v>
      </c>
      <c r="JRT6" s="545"/>
      <c r="JRU6" s="545"/>
      <c r="JRV6" s="545"/>
      <c r="JRW6" s="136" t="s">
        <v>168</v>
      </c>
      <c r="JRX6" s="137">
        <v>1</v>
      </c>
      <c r="JRY6" s="137">
        <v>167.32</v>
      </c>
      <c r="JRZ6" s="181" t="s">
        <v>817</v>
      </c>
      <c r="JSA6" s="545" t="s">
        <v>816</v>
      </c>
      <c r="JSB6" s="545"/>
      <c r="JSC6" s="545"/>
      <c r="JSD6" s="545"/>
      <c r="JSE6" s="136" t="s">
        <v>168</v>
      </c>
      <c r="JSF6" s="137">
        <v>1</v>
      </c>
      <c r="JSG6" s="137">
        <v>167.32</v>
      </c>
      <c r="JSH6" s="181" t="s">
        <v>817</v>
      </c>
      <c r="JSI6" s="545" t="s">
        <v>816</v>
      </c>
      <c r="JSJ6" s="545"/>
      <c r="JSK6" s="545"/>
      <c r="JSL6" s="545"/>
      <c r="JSM6" s="136" t="s">
        <v>168</v>
      </c>
      <c r="JSN6" s="137">
        <v>1</v>
      </c>
      <c r="JSO6" s="137">
        <v>167.32</v>
      </c>
      <c r="JSP6" s="181" t="s">
        <v>817</v>
      </c>
      <c r="JSQ6" s="545" t="s">
        <v>816</v>
      </c>
      <c r="JSR6" s="545"/>
      <c r="JSS6" s="545"/>
      <c r="JST6" s="545"/>
      <c r="JSU6" s="136" t="s">
        <v>168</v>
      </c>
      <c r="JSV6" s="137">
        <v>1</v>
      </c>
      <c r="JSW6" s="137">
        <v>167.32</v>
      </c>
      <c r="JSX6" s="181" t="s">
        <v>817</v>
      </c>
      <c r="JSY6" s="545" t="s">
        <v>816</v>
      </c>
      <c r="JSZ6" s="545"/>
      <c r="JTA6" s="545"/>
      <c r="JTB6" s="545"/>
      <c r="JTC6" s="136" t="s">
        <v>168</v>
      </c>
      <c r="JTD6" s="137">
        <v>1</v>
      </c>
      <c r="JTE6" s="137">
        <v>167.32</v>
      </c>
      <c r="JTF6" s="181" t="s">
        <v>817</v>
      </c>
      <c r="JTG6" s="545" t="s">
        <v>816</v>
      </c>
      <c r="JTH6" s="545"/>
      <c r="JTI6" s="545"/>
      <c r="JTJ6" s="545"/>
      <c r="JTK6" s="136" t="s">
        <v>168</v>
      </c>
      <c r="JTL6" s="137">
        <v>1</v>
      </c>
      <c r="JTM6" s="137">
        <v>167.32</v>
      </c>
      <c r="JTN6" s="181" t="s">
        <v>817</v>
      </c>
      <c r="JTO6" s="545" t="s">
        <v>816</v>
      </c>
      <c r="JTP6" s="545"/>
      <c r="JTQ6" s="545"/>
      <c r="JTR6" s="545"/>
      <c r="JTS6" s="136" t="s">
        <v>168</v>
      </c>
      <c r="JTT6" s="137">
        <v>1</v>
      </c>
      <c r="JTU6" s="137">
        <v>167.32</v>
      </c>
      <c r="JTV6" s="181" t="s">
        <v>817</v>
      </c>
      <c r="JTW6" s="545" t="s">
        <v>816</v>
      </c>
      <c r="JTX6" s="545"/>
      <c r="JTY6" s="545"/>
      <c r="JTZ6" s="545"/>
      <c r="JUA6" s="136" t="s">
        <v>168</v>
      </c>
      <c r="JUB6" s="137">
        <v>1</v>
      </c>
      <c r="JUC6" s="137">
        <v>167.32</v>
      </c>
      <c r="JUD6" s="181" t="s">
        <v>817</v>
      </c>
      <c r="JUE6" s="545" t="s">
        <v>816</v>
      </c>
      <c r="JUF6" s="545"/>
      <c r="JUG6" s="545"/>
      <c r="JUH6" s="545"/>
      <c r="JUI6" s="136" t="s">
        <v>168</v>
      </c>
      <c r="JUJ6" s="137">
        <v>1</v>
      </c>
      <c r="JUK6" s="137">
        <v>167.32</v>
      </c>
      <c r="JUL6" s="181" t="s">
        <v>817</v>
      </c>
      <c r="JUM6" s="545" t="s">
        <v>816</v>
      </c>
      <c r="JUN6" s="545"/>
      <c r="JUO6" s="545"/>
      <c r="JUP6" s="545"/>
      <c r="JUQ6" s="136" t="s">
        <v>168</v>
      </c>
      <c r="JUR6" s="137">
        <v>1</v>
      </c>
      <c r="JUS6" s="137">
        <v>167.32</v>
      </c>
      <c r="JUT6" s="181" t="s">
        <v>817</v>
      </c>
      <c r="JUU6" s="545" t="s">
        <v>816</v>
      </c>
      <c r="JUV6" s="545"/>
      <c r="JUW6" s="545"/>
      <c r="JUX6" s="545"/>
      <c r="JUY6" s="136" t="s">
        <v>168</v>
      </c>
      <c r="JUZ6" s="137">
        <v>1</v>
      </c>
      <c r="JVA6" s="137">
        <v>167.32</v>
      </c>
      <c r="JVB6" s="181" t="s">
        <v>817</v>
      </c>
      <c r="JVC6" s="545" t="s">
        <v>816</v>
      </c>
      <c r="JVD6" s="545"/>
      <c r="JVE6" s="545"/>
      <c r="JVF6" s="545"/>
      <c r="JVG6" s="136" t="s">
        <v>168</v>
      </c>
      <c r="JVH6" s="137">
        <v>1</v>
      </c>
      <c r="JVI6" s="137">
        <v>167.32</v>
      </c>
      <c r="JVJ6" s="181" t="s">
        <v>817</v>
      </c>
      <c r="JVK6" s="545" t="s">
        <v>816</v>
      </c>
      <c r="JVL6" s="545"/>
      <c r="JVM6" s="545"/>
      <c r="JVN6" s="545"/>
      <c r="JVO6" s="136" t="s">
        <v>168</v>
      </c>
      <c r="JVP6" s="137">
        <v>1</v>
      </c>
      <c r="JVQ6" s="137">
        <v>167.32</v>
      </c>
      <c r="JVR6" s="181" t="s">
        <v>817</v>
      </c>
      <c r="JVS6" s="545" t="s">
        <v>816</v>
      </c>
      <c r="JVT6" s="545"/>
      <c r="JVU6" s="545"/>
      <c r="JVV6" s="545"/>
      <c r="JVW6" s="136" t="s">
        <v>168</v>
      </c>
      <c r="JVX6" s="137">
        <v>1</v>
      </c>
      <c r="JVY6" s="137">
        <v>167.32</v>
      </c>
      <c r="JVZ6" s="181" t="s">
        <v>817</v>
      </c>
      <c r="JWA6" s="545" t="s">
        <v>816</v>
      </c>
      <c r="JWB6" s="545"/>
      <c r="JWC6" s="545"/>
      <c r="JWD6" s="545"/>
      <c r="JWE6" s="136" t="s">
        <v>168</v>
      </c>
      <c r="JWF6" s="137">
        <v>1</v>
      </c>
      <c r="JWG6" s="137">
        <v>167.32</v>
      </c>
      <c r="JWH6" s="181" t="s">
        <v>817</v>
      </c>
      <c r="JWI6" s="545" t="s">
        <v>816</v>
      </c>
      <c r="JWJ6" s="545"/>
      <c r="JWK6" s="545"/>
      <c r="JWL6" s="545"/>
      <c r="JWM6" s="136" t="s">
        <v>168</v>
      </c>
      <c r="JWN6" s="137">
        <v>1</v>
      </c>
      <c r="JWO6" s="137">
        <v>167.32</v>
      </c>
      <c r="JWP6" s="181" t="s">
        <v>817</v>
      </c>
      <c r="JWQ6" s="545" t="s">
        <v>816</v>
      </c>
      <c r="JWR6" s="545"/>
      <c r="JWS6" s="545"/>
      <c r="JWT6" s="545"/>
      <c r="JWU6" s="136" t="s">
        <v>168</v>
      </c>
      <c r="JWV6" s="137">
        <v>1</v>
      </c>
      <c r="JWW6" s="137">
        <v>167.32</v>
      </c>
      <c r="JWX6" s="181" t="s">
        <v>817</v>
      </c>
      <c r="JWY6" s="545" t="s">
        <v>816</v>
      </c>
      <c r="JWZ6" s="545"/>
      <c r="JXA6" s="545"/>
      <c r="JXB6" s="545"/>
      <c r="JXC6" s="136" t="s">
        <v>168</v>
      </c>
      <c r="JXD6" s="137">
        <v>1</v>
      </c>
      <c r="JXE6" s="137">
        <v>167.32</v>
      </c>
      <c r="JXF6" s="181" t="s">
        <v>817</v>
      </c>
      <c r="JXG6" s="545" t="s">
        <v>816</v>
      </c>
      <c r="JXH6" s="545"/>
      <c r="JXI6" s="545"/>
      <c r="JXJ6" s="545"/>
      <c r="JXK6" s="136" t="s">
        <v>168</v>
      </c>
      <c r="JXL6" s="137">
        <v>1</v>
      </c>
      <c r="JXM6" s="137">
        <v>167.32</v>
      </c>
      <c r="JXN6" s="181" t="s">
        <v>817</v>
      </c>
      <c r="JXO6" s="545" t="s">
        <v>816</v>
      </c>
      <c r="JXP6" s="545"/>
      <c r="JXQ6" s="545"/>
      <c r="JXR6" s="545"/>
      <c r="JXS6" s="136" t="s">
        <v>168</v>
      </c>
      <c r="JXT6" s="137">
        <v>1</v>
      </c>
      <c r="JXU6" s="137">
        <v>167.32</v>
      </c>
      <c r="JXV6" s="181" t="s">
        <v>817</v>
      </c>
      <c r="JXW6" s="545" t="s">
        <v>816</v>
      </c>
      <c r="JXX6" s="545"/>
      <c r="JXY6" s="545"/>
      <c r="JXZ6" s="545"/>
      <c r="JYA6" s="136" t="s">
        <v>168</v>
      </c>
      <c r="JYB6" s="137">
        <v>1</v>
      </c>
      <c r="JYC6" s="137">
        <v>167.32</v>
      </c>
      <c r="JYD6" s="181" t="s">
        <v>817</v>
      </c>
      <c r="JYE6" s="545" t="s">
        <v>816</v>
      </c>
      <c r="JYF6" s="545"/>
      <c r="JYG6" s="545"/>
      <c r="JYH6" s="545"/>
      <c r="JYI6" s="136" t="s">
        <v>168</v>
      </c>
      <c r="JYJ6" s="137">
        <v>1</v>
      </c>
      <c r="JYK6" s="137">
        <v>167.32</v>
      </c>
      <c r="JYL6" s="181" t="s">
        <v>817</v>
      </c>
      <c r="JYM6" s="545" t="s">
        <v>816</v>
      </c>
      <c r="JYN6" s="545"/>
      <c r="JYO6" s="545"/>
      <c r="JYP6" s="545"/>
      <c r="JYQ6" s="136" t="s">
        <v>168</v>
      </c>
      <c r="JYR6" s="137">
        <v>1</v>
      </c>
      <c r="JYS6" s="137">
        <v>167.32</v>
      </c>
      <c r="JYT6" s="181" t="s">
        <v>817</v>
      </c>
      <c r="JYU6" s="545" t="s">
        <v>816</v>
      </c>
      <c r="JYV6" s="545"/>
      <c r="JYW6" s="545"/>
      <c r="JYX6" s="545"/>
      <c r="JYY6" s="136" t="s">
        <v>168</v>
      </c>
      <c r="JYZ6" s="137">
        <v>1</v>
      </c>
      <c r="JZA6" s="137">
        <v>167.32</v>
      </c>
      <c r="JZB6" s="181" t="s">
        <v>817</v>
      </c>
      <c r="JZC6" s="545" t="s">
        <v>816</v>
      </c>
      <c r="JZD6" s="545"/>
      <c r="JZE6" s="545"/>
      <c r="JZF6" s="545"/>
      <c r="JZG6" s="136" t="s">
        <v>168</v>
      </c>
      <c r="JZH6" s="137">
        <v>1</v>
      </c>
      <c r="JZI6" s="137">
        <v>167.32</v>
      </c>
      <c r="JZJ6" s="181" t="s">
        <v>817</v>
      </c>
      <c r="JZK6" s="545" t="s">
        <v>816</v>
      </c>
      <c r="JZL6" s="545"/>
      <c r="JZM6" s="545"/>
      <c r="JZN6" s="545"/>
      <c r="JZO6" s="136" t="s">
        <v>168</v>
      </c>
      <c r="JZP6" s="137">
        <v>1</v>
      </c>
      <c r="JZQ6" s="137">
        <v>167.32</v>
      </c>
      <c r="JZR6" s="181" t="s">
        <v>817</v>
      </c>
      <c r="JZS6" s="545" t="s">
        <v>816</v>
      </c>
      <c r="JZT6" s="545"/>
      <c r="JZU6" s="545"/>
      <c r="JZV6" s="545"/>
      <c r="JZW6" s="136" t="s">
        <v>168</v>
      </c>
      <c r="JZX6" s="137">
        <v>1</v>
      </c>
      <c r="JZY6" s="137">
        <v>167.32</v>
      </c>
      <c r="JZZ6" s="181" t="s">
        <v>817</v>
      </c>
      <c r="KAA6" s="545" t="s">
        <v>816</v>
      </c>
      <c r="KAB6" s="545"/>
      <c r="KAC6" s="545"/>
      <c r="KAD6" s="545"/>
      <c r="KAE6" s="136" t="s">
        <v>168</v>
      </c>
      <c r="KAF6" s="137">
        <v>1</v>
      </c>
      <c r="KAG6" s="137">
        <v>167.32</v>
      </c>
      <c r="KAH6" s="181" t="s">
        <v>817</v>
      </c>
      <c r="KAI6" s="545" t="s">
        <v>816</v>
      </c>
      <c r="KAJ6" s="545"/>
      <c r="KAK6" s="545"/>
      <c r="KAL6" s="545"/>
      <c r="KAM6" s="136" t="s">
        <v>168</v>
      </c>
      <c r="KAN6" s="137">
        <v>1</v>
      </c>
      <c r="KAO6" s="137">
        <v>167.32</v>
      </c>
      <c r="KAP6" s="181" t="s">
        <v>817</v>
      </c>
      <c r="KAQ6" s="545" t="s">
        <v>816</v>
      </c>
      <c r="KAR6" s="545"/>
      <c r="KAS6" s="545"/>
      <c r="KAT6" s="545"/>
      <c r="KAU6" s="136" t="s">
        <v>168</v>
      </c>
      <c r="KAV6" s="137">
        <v>1</v>
      </c>
      <c r="KAW6" s="137">
        <v>167.32</v>
      </c>
      <c r="KAX6" s="181" t="s">
        <v>817</v>
      </c>
      <c r="KAY6" s="545" t="s">
        <v>816</v>
      </c>
      <c r="KAZ6" s="545"/>
      <c r="KBA6" s="545"/>
      <c r="KBB6" s="545"/>
      <c r="KBC6" s="136" t="s">
        <v>168</v>
      </c>
      <c r="KBD6" s="137">
        <v>1</v>
      </c>
      <c r="KBE6" s="137">
        <v>167.32</v>
      </c>
      <c r="KBF6" s="181" t="s">
        <v>817</v>
      </c>
      <c r="KBG6" s="545" t="s">
        <v>816</v>
      </c>
      <c r="KBH6" s="545"/>
      <c r="KBI6" s="545"/>
      <c r="KBJ6" s="545"/>
      <c r="KBK6" s="136" t="s">
        <v>168</v>
      </c>
      <c r="KBL6" s="137">
        <v>1</v>
      </c>
      <c r="KBM6" s="137">
        <v>167.32</v>
      </c>
      <c r="KBN6" s="181" t="s">
        <v>817</v>
      </c>
      <c r="KBO6" s="545" t="s">
        <v>816</v>
      </c>
      <c r="KBP6" s="545"/>
      <c r="KBQ6" s="545"/>
      <c r="KBR6" s="545"/>
      <c r="KBS6" s="136" t="s">
        <v>168</v>
      </c>
      <c r="KBT6" s="137">
        <v>1</v>
      </c>
      <c r="KBU6" s="137">
        <v>167.32</v>
      </c>
      <c r="KBV6" s="181" t="s">
        <v>817</v>
      </c>
      <c r="KBW6" s="545" t="s">
        <v>816</v>
      </c>
      <c r="KBX6" s="545"/>
      <c r="KBY6" s="545"/>
      <c r="KBZ6" s="545"/>
      <c r="KCA6" s="136" t="s">
        <v>168</v>
      </c>
      <c r="KCB6" s="137">
        <v>1</v>
      </c>
      <c r="KCC6" s="137">
        <v>167.32</v>
      </c>
      <c r="KCD6" s="181" t="s">
        <v>817</v>
      </c>
      <c r="KCE6" s="545" t="s">
        <v>816</v>
      </c>
      <c r="KCF6" s="545"/>
      <c r="KCG6" s="545"/>
      <c r="KCH6" s="545"/>
      <c r="KCI6" s="136" t="s">
        <v>168</v>
      </c>
      <c r="KCJ6" s="137">
        <v>1</v>
      </c>
      <c r="KCK6" s="137">
        <v>167.32</v>
      </c>
      <c r="KCL6" s="181" t="s">
        <v>817</v>
      </c>
      <c r="KCM6" s="545" t="s">
        <v>816</v>
      </c>
      <c r="KCN6" s="545"/>
      <c r="KCO6" s="545"/>
      <c r="KCP6" s="545"/>
      <c r="KCQ6" s="136" t="s">
        <v>168</v>
      </c>
      <c r="KCR6" s="137">
        <v>1</v>
      </c>
      <c r="KCS6" s="137">
        <v>167.32</v>
      </c>
      <c r="KCT6" s="181" t="s">
        <v>817</v>
      </c>
      <c r="KCU6" s="545" t="s">
        <v>816</v>
      </c>
      <c r="KCV6" s="545"/>
      <c r="KCW6" s="545"/>
      <c r="KCX6" s="545"/>
      <c r="KCY6" s="136" t="s">
        <v>168</v>
      </c>
      <c r="KCZ6" s="137">
        <v>1</v>
      </c>
      <c r="KDA6" s="137">
        <v>167.32</v>
      </c>
      <c r="KDB6" s="181" t="s">
        <v>817</v>
      </c>
      <c r="KDC6" s="545" t="s">
        <v>816</v>
      </c>
      <c r="KDD6" s="545"/>
      <c r="KDE6" s="545"/>
      <c r="KDF6" s="545"/>
      <c r="KDG6" s="136" t="s">
        <v>168</v>
      </c>
      <c r="KDH6" s="137">
        <v>1</v>
      </c>
      <c r="KDI6" s="137">
        <v>167.32</v>
      </c>
      <c r="KDJ6" s="181" t="s">
        <v>817</v>
      </c>
      <c r="KDK6" s="545" t="s">
        <v>816</v>
      </c>
      <c r="KDL6" s="545"/>
      <c r="KDM6" s="545"/>
      <c r="KDN6" s="545"/>
      <c r="KDO6" s="136" t="s">
        <v>168</v>
      </c>
      <c r="KDP6" s="137">
        <v>1</v>
      </c>
      <c r="KDQ6" s="137">
        <v>167.32</v>
      </c>
      <c r="KDR6" s="181" t="s">
        <v>817</v>
      </c>
      <c r="KDS6" s="545" t="s">
        <v>816</v>
      </c>
      <c r="KDT6" s="545"/>
      <c r="KDU6" s="545"/>
      <c r="KDV6" s="545"/>
      <c r="KDW6" s="136" t="s">
        <v>168</v>
      </c>
      <c r="KDX6" s="137">
        <v>1</v>
      </c>
      <c r="KDY6" s="137">
        <v>167.32</v>
      </c>
      <c r="KDZ6" s="181" t="s">
        <v>817</v>
      </c>
      <c r="KEA6" s="545" t="s">
        <v>816</v>
      </c>
      <c r="KEB6" s="545"/>
      <c r="KEC6" s="545"/>
      <c r="KED6" s="545"/>
      <c r="KEE6" s="136" t="s">
        <v>168</v>
      </c>
      <c r="KEF6" s="137">
        <v>1</v>
      </c>
      <c r="KEG6" s="137">
        <v>167.32</v>
      </c>
      <c r="KEH6" s="181" t="s">
        <v>817</v>
      </c>
      <c r="KEI6" s="545" t="s">
        <v>816</v>
      </c>
      <c r="KEJ6" s="545"/>
      <c r="KEK6" s="545"/>
      <c r="KEL6" s="545"/>
      <c r="KEM6" s="136" t="s">
        <v>168</v>
      </c>
      <c r="KEN6" s="137">
        <v>1</v>
      </c>
      <c r="KEO6" s="137">
        <v>167.32</v>
      </c>
      <c r="KEP6" s="181" t="s">
        <v>817</v>
      </c>
      <c r="KEQ6" s="545" t="s">
        <v>816</v>
      </c>
      <c r="KER6" s="545"/>
      <c r="KES6" s="545"/>
      <c r="KET6" s="545"/>
      <c r="KEU6" s="136" t="s">
        <v>168</v>
      </c>
      <c r="KEV6" s="137">
        <v>1</v>
      </c>
      <c r="KEW6" s="137">
        <v>167.32</v>
      </c>
      <c r="KEX6" s="181" t="s">
        <v>817</v>
      </c>
      <c r="KEY6" s="545" t="s">
        <v>816</v>
      </c>
      <c r="KEZ6" s="545"/>
      <c r="KFA6" s="545"/>
      <c r="KFB6" s="545"/>
      <c r="KFC6" s="136" t="s">
        <v>168</v>
      </c>
      <c r="KFD6" s="137">
        <v>1</v>
      </c>
      <c r="KFE6" s="137">
        <v>167.32</v>
      </c>
      <c r="KFF6" s="181" t="s">
        <v>817</v>
      </c>
      <c r="KFG6" s="545" t="s">
        <v>816</v>
      </c>
      <c r="KFH6" s="545"/>
      <c r="KFI6" s="545"/>
      <c r="KFJ6" s="545"/>
      <c r="KFK6" s="136" t="s">
        <v>168</v>
      </c>
      <c r="KFL6" s="137">
        <v>1</v>
      </c>
      <c r="KFM6" s="137">
        <v>167.32</v>
      </c>
      <c r="KFN6" s="181" t="s">
        <v>817</v>
      </c>
      <c r="KFO6" s="545" t="s">
        <v>816</v>
      </c>
      <c r="KFP6" s="545"/>
      <c r="KFQ6" s="545"/>
      <c r="KFR6" s="545"/>
      <c r="KFS6" s="136" t="s">
        <v>168</v>
      </c>
      <c r="KFT6" s="137">
        <v>1</v>
      </c>
      <c r="KFU6" s="137">
        <v>167.32</v>
      </c>
      <c r="KFV6" s="181" t="s">
        <v>817</v>
      </c>
      <c r="KFW6" s="545" t="s">
        <v>816</v>
      </c>
      <c r="KFX6" s="545"/>
      <c r="KFY6" s="545"/>
      <c r="KFZ6" s="545"/>
      <c r="KGA6" s="136" t="s">
        <v>168</v>
      </c>
      <c r="KGB6" s="137">
        <v>1</v>
      </c>
      <c r="KGC6" s="137">
        <v>167.32</v>
      </c>
      <c r="KGD6" s="181" t="s">
        <v>817</v>
      </c>
      <c r="KGE6" s="545" t="s">
        <v>816</v>
      </c>
      <c r="KGF6" s="545"/>
      <c r="KGG6" s="545"/>
      <c r="KGH6" s="545"/>
      <c r="KGI6" s="136" t="s">
        <v>168</v>
      </c>
      <c r="KGJ6" s="137">
        <v>1</v>
      </c>
      <c r="KGK6" s="137">
        <v>167.32</v>
      </c>
      <c r="KGL6" s="181" t="s">
        <v>817</v>
      </c>
      <c r="KGM6" s="545" t="s">
        <v>816</v>
      </c>
      <c r="KGN6" s="545"/>
      <c r="KGO6" s="545"/>
      <c r="KGP6" s="545"/>
      <c r="KGQ6" s="136" t="s">
        <v>168</v>
      </c>
      <c r="KGR6" s="137">
        <v>1</v>
      </c>
      <c r="KGS6" s="137">
        <v>167.32</v>
      </c>
      <c r="KGT6" s="181" t="s">
        <v>817</v>
      </c>
      <c r="KGU6" s="545" t="s">
        <v>816</v>
      </c>
      <c r="KGV6" s="545"/>
      <c r="KGW6" s="545"/>
      <c r="KGX6" s="545"/>
      <c r="KGY6" s="136" t="s">
        <v>168</v>
      </c>
      <c r="KGZ6" s="137">
        <v>1</v>
      </c>
      <c r="KHA6" s="137">
        <v>167.32</v>
      </c>
      <c r="KHB6" s="181" t="s">
        <v>817</v>
      </c>
      <c r="KHC6" s="545" t="s">
        <v>816</v>
      </c>
      <c r="KHD6" s="545"/>
      <c r="KHE6" s="545"/>
      <c r="KHF6" s="545"/>
      <c r="KHG6" s="136" t="s">
        <v>168</v>
      </c>
      <c r="KHH6" s="137">
        <v>1</v>
      </c>
      <c r="KHI6" s="137">
        <v>167.32</v>
      </c>
      <c r="KHJ6" s="181" t="s">
        <v>817</v>
      </c>
      <c r="KHK6" s="545" t="s">
        <v>816</v>
      </c>
      <c r="KHL6" s="545"/>
      <c r="KHM6" s="545"/>
      <c r="KHN6" s="545"/>
      <c r="KHO6" s="136" t="s">
        <v>168</v>
      </c>
      <c r="KHP6" s="137">
        <v>1</v>
      </c>
      <c r="KHQ6" s="137">
        <v>167.32</v>
      </c>
      <c r="KHR6" s="181" t="s">
        <v>817</v>
      </c>
      <c r="KHS6" s="545" t="s">
        <v>816</v>
      </c>
      <c r="KHT6" s="545"/>
      <c r="KHU6" s="545"/>
      <c r="KHV6" s="545"/>
      <c r="KHW6" s="136" t="s">
        <v>168</v>
      </c>
      <c r="KHX6" s="137">
        <v>1</v>
      </c>
      <c r="KHY6" s="137">
        <v>167.32</v>
      </c>
      <c r="KHZ6" s="181" t="s">
        <v>817</v>
      </c>
      <c r="KIA6" s="545" t="s">
        <v>816</v>
      </c>
      <c r="KIB6" s="545"/>
      <c r="KIC6" s="545"/>
      <c r="KID6" s="545"/>
      <c r="KIE6" s="136" t="s">
        <v>168</v>
      </c>
      <c r="KIF6" s="137">
        <v>1</v>
      </c>
      <c r="KIG6" s="137">
        <v>167.32</v>
      </c>
      <c r="KIH6" s="181" t="s">
        <v>817</v>
      </c>
      <c r="KII6" s="545" t="s">
        <v>816</v>
      </c>
      <c r="KIJ6" s="545"/>
      <c r="KIK6" s="545"/>
      <c r="KIL6" s="545"/>
      <c r="KIM6" s="136" t="s">
        <v>168</v>
      </c>
      <c r="KIN6" s="137">
        <v>1</v>
      </c>
      <c r="KIO6" s="137">
        <v>167.32</v>
      </c>
      <c r="KIP6" s="181" t="s">
        <v>817</v>
      </c>
      <c r="KIQ6" s="545" t="s">
        <v>816</v>
      </c>
      <c r="KIR6" s="545"/>
      <c r="KIS6" s="545"/>
      <c r="KIT6" s="545"/>
      <c r="KIU6" s="136" t="s">
        <v>168</v>
      </c>
      <c r="KIV6" s="137">
        <v>1</v>
      </c>
      <c r="KIW6" s="137">
        <v>167.32</v>
      </c>
      <c r="KIX6" s="181" t="s">
        <v>817</v>
      </c>
      <c r="KIY6" s="545" t="s">
        <v>816</v>
      </c>
      <c r="KIZ6" s="545"/>
      <c r="KJA6" s="545"/>
      <c r="KJB6" s="545"/>
      <c r="KJC6" s="136" t="s">
        <v>168</v>
      </c>
      <c r="KJD6" s="137">
        <v>1</v>
      </c>
      <c r="KJE6" s="137">
        <v>167.32</v>
      </c>
      <c r="KJF6" s="181" t="s">
        <v>817</v>
      </c>
      <c r="KJG6" s="545" t="s">
        <v>816</v>
      </c>
      <c r="KJH6" s="545"/>
      <c r="KJI6" s="545"/>
      <c r="KJJ6" s="545"/>
      <c r="KJK6" s="136" t="s">
        <v>168</v>
      </c>
      <c r="KJL6" s="137">
        <v>1</v>
      </c>
      <c r="KJM6" s="137">
        <v>167.32</v>
      </c>
      <c r="KJN6" s="181" t="s">
        <v>817</v>
      </c>
      <c r="KJO6" s="545" t="s">
        <v>816</v>
      </c>
      <c r="KJP6" s="545"/>
      <c r="KJQ6" s="545"/>
      <c r="KJR6" s="545"/>
      <c r="KJS6" s="136" t="s">
        <v>168</v>
      </c>
      <c r="KJT6" s="137">
        <v>1</v>
      </c>
      <c r="KJU6" s="137">
        <v>167.32</v>
      </c>
      <c r="KJV6" s="181" t="s">
        <v>817</v>
      </c>
      <c r="KJW6" s="545" t="s">
        <v>816</v>
      </c>
      <c r="KJX6" s="545"/>
      <c r="KJY6" s="545"/>
      <c r="KJZ6" s="545"/>
      <c r="KKA6" s="136" t="s">
        <v>168</v>
      </c>
      <c r="KKB6" s="137">
        <v>1</v>
      </c>
      <c r="KKC6" s="137">
        <v>167.32</v>
      </c>
      <c r="KKD6" s="181" t="s">
        <v>817</v>
      </c>
      <c r="KKE6" s="545" t="s">
        <v>816</v>
      </c>
      <c r="KKF6" s="545"/>
      <c r="KKG6" s="545"/>
      <c r="KKH6" s="545"/>
      <c r="KKI6" s="136" t="s">
        <v>168</v>
      </c>
      <c r="KKJ6" s="137">
        <v>1</v>
      </c>
      <c r="KKK6" s="137">
        <v>167.32</v>
      </c>
      <c r="KKL6" s="181" t="s">
        <v>817</v>
      </c>
      <c r="KKM6" s="545" t="s">
        <v>816</v>
      </c>
      <c r="KKN6" s="545"/>
      <c r="KKO6" s="545"/>
      <c r="KKP6" s="545"/>
      <c r="KKQ6" s="136" t="s">
        <v>168</v>
      </c>
      <c r="KKR6" s="137">
        <v>1</v>
      </c>
      <c r="KKS6" s="137">
        <v>167.32</v>
      </c>
      <c r="KKT6" s="181" t="s">
        <v>817</v>
      </c>
      <c r="KKU6" s="545" t="s">
        <v>816</v>
      </c>
      <c r="KKV6" s="545"/>
      <c r="KKW6" s="545"/>
      <c r="KKX6" s="545"/>
      <c r="KKY6" s="136" t="s">
        <v>168</v>
      </c>
      <c r="KKZ6" s="137">
        <v>1</v>
      </c>
      <c r="KLA6" s="137">
        <v>167.32</v>
      </c>
      <c r="KLB6" s="181" t="s">
        <v>817</v>
      </c>
      <c r="KLC6" s="545" t="s">
        <v>816</v>
      </c>
      <c r="KLD6" s="545"/>
      <c r="KLE6" s="545"/>
      <c r="KLF6" s="545"/>
      <c r="KLG6" s="136" t="s">
        <v>168</v>
      </c>
      <c r="KLH6" s="137">
        <v>1</v>
      </c>
      <c r="KLI6" s="137">
        <v>167.32</v>
      </c>
      <c r="KLJ6" s="181" t="s">
        <v>817</v>
      </c>
      <c r="KLK6" s="545" t="s">
        <v>816</v>
      </c>
      <c r="KLL6" s="545"/>
      <c r="KLM6" s="545"/>
      <c r="KLN6" s="545"/>
      <c r="KLO6" s="136" t="s">
        <v>168</v>
      </c>
      <c r="KLP6" s="137">
        <v>1</v>
      </c>
      <c r="KLQ6" s="137">
        <v>167.32</v>
      </c>
      <c r="KLR6" s="181" t="s">
        <v>817</v>
      </c>
      <c r="KLS6" s="545" t="s">
        <v>816</v>
      </c>
      <c r="KLT6" s="545"/>
      <c r="KLU6" s="545"/>
      <c r="KLV6" s="545"/>
      <c r="KLW6" s="136" t="s">
        <v>168</v>
      </c>
      <c r="KLX6" s="137">
        <v>1</v>
      </c>
      <c r="KLY6" s="137">
        <v>167.32</v>
      </c>
      <c r="KLZ6" s="181" t="s">
        <v>817</v>
      </c>
      <c r="KMA6" s="545" t="s">
        <v>816</v>
      </c>
      <c r="KMB6" s="545"/>
      <c r="KMC6" s="545"/>
      <c r="KMD6" s="545"/>
      <c r="KME6" s="136" t="s">
        <v>168</v>
      </c>
      <c r="KMF6" s="137">
        <v>1</v>
      </c>
      <c r="KMG6" s="137">
        <v>167.32</v>
      </c>
      <c r="KMH6" s="181" t="s">
        <v>817</v>
      </c>
      <c r="KMI6" s="545" t="s">
        <v>816</v>
      </c>
      <c r="KMJ6" s="545"/>
      <c r="KMK6" s="545"/>
      <c r="KML6" s="545"/>
      <c r="KMM6" s="136" t="s">
        <v>168</v>
      </c>
      <c r="KMN6" s="137">
        <v>1</v>
      </c>
      <c r="KMO6" s="137">
        <v>167.32</v>
      </c>
      <c r="KMP6" s="181" t="s">
        <v>817</v>
      </c>
      <c r="KMQ6" s="545" t="s">
        <v>816</v>
      </c>
      <c r="KMR6" s="545"/>
      <c r="KMS6" s="545"/>
      <c r="KMT6" s="545"/>
      <c r="KMU6" s="136" t="s">
        <v>168</v>
      </c>
      <c r="KMV6" s="137">
        <v>1</v>
      </c>
      <c r="KMW6" s="137">
        <v>167.32</v>
      </c>
      <c r="KMX6" s="181" t="s">
        <v>817</v>
      </c>
      <c r="KMY6" s="545" t="s">
        <v>816</v>
      </c>
      <c r="KMZ6" s="545"/>
      <c r="KNA6" s="545"/>
      <c r="KNB6" s="545"/>
      <c r="KNC6" s="136" t="s">
        <v>168</v>
      </c>
      <c r="KND6" s="137">
        <v>1</v>
      </c>
      <c r="KNE6" s="137">
        <v>167.32</v>
      </c>
      <c r="KNF6" s="181" t="s">
        <v>817</v>
      </c>
      <c r="KNG6" s="545" t="s">
        <v>816</v>
      </c>
      <c r="KNH6" s="545"/>
      <c r="KNI6" s="545"/>
      <c r="KNJ6" s="545"/>
      <c r="KNK6" s="136" t="s">
        <v>168</v>
      </c>
      <c r="KNL6" s="137">
        <v>1</v>
      </c>
      <c r="KNM6" s="137">
        <v>167.32</v>
      </c>
      <c r="KNN6" s="181" t="s">
        <v>817</v>
      </c>
      <c r="KNO6" s="545" t="s">
        <v>816</v>
      </c>
      <c r="KNP6" s="545"/>
      <c r="KNQ6" s="545"/>
      <c r="KNR6" s="545"/>
      <c r="KNS6" s="136" t="s">
        <v>168</v>
      </c>
      <c r="KNT6" s="137">
        <v>1</v>
      </c>
      <c r="KNU6" s="137">
        <v>167.32</v>
      </c>
      <c r="KNV6" s="181" t="s">
        <v>817</v>
      </c>
      <c r="KNW6" s="545" t="s">
        <v>816</v>
      </c>
      <c r="KNX6" s="545"/>
      <c r="KNY6" s="545"/>
      <c r="KNZ6" s="545"/>
      <c r="KOA6" s="136" t="s">
        <v>168</v>
      </c>
      <c r="KOB6" s="137">
        <v>1</v>
      </c>
      <c r="KOC6" s="137">
        <v>167.32</v>
      </c>
      <c r="KOD6" s="181" t="s">
        <v>817</v>
      </c>
      <c r="KOE6" s="545" t="s">
        <v>816</v>
      </c>
      <c r="KOF6" s="545"/>
      <c r="KOG6" s="545"/>
      <c r="KOH6" s="545"/>
      <c r="KOI6" s="136" t="s">
        <v>168</v>
      </c>
      <c r="KOJ6" s="137">
        <v>1</v>
      </c>
      <c r="KOK6" s="137">
        <v>167.32</v>
      </c>
      <c r="KOL6" s="181" t="s">
        <v>817</v>
      </c>
      <c r="KOM6" s="545" t="s">
        <v>816</v>
      </c>
      <c r="KON6" s="545"/>
      <c r="KOO6" s="545"/>
      <c r="KOP6" s="545"/>
      <c r="KOQ6" s="136" t="s">
        <v>168</v>
      </c>
      <c r="KOR6" s="137">
        <v>1</v>
      </c>
      <c r="KOS6" s="137">
        <v>167.32</v>
      </c>
      <c r="KOT6" s="181" t="s">
        <v>817</v>
      </c>
      <c r="KOU6" s="545" t="s">
        <v>816</v>
      </c>
      <c r="KOV6" s="545"/>
      <c r="KOW6" s="545"/>
      <c r="KOX6" s="545"/>
      <c r="KOY6" s="136" t="s">
        <v>168</v>
      </c>
      <c r="KOZ6" s="137">
        <v>1</v>
      </c>
      <c r="KPA6" s="137">
        <v>167.32</v>
      </c>
      <c r="KPB6" s="181" t="s">
        <v>817</v>
      </c>
      <c r="KPC6" s="545" t="s">
        <v>816</v>
      </c>
      <c r="KPD6" s="545"/>
      <c r="KPE6" s="545"/>
      <c r="KPF6" s="545"/>
      <c r="KPG6" s="136" t="s">
        <v>168</v>
      </c>
      <c r="KPH6" s="137">
        <v>1</v>
      </c>
      <c r="KPI6" s="137">
        <v>167.32</v>
      </c>
      <c r="KPJ6" s="181" t="s">
        <v>817</v>
      </c>
      <c r="KPK6" s="545" t="s">
        <v>816</v>
      </c>
      <c r="KPL6" s="545"/>
      <c r="KPM6" s="545"/>
      <c r="KPN6" s="545"/>
      <c r="KPO6" s="136" t="s">
        <v>168</v>
      </c>
      <c r="KPP6" s="137">
        <v>1</v>
      </c>
      <c r="KPQ6" s="137">
        <v>167.32</v>
      </c>
      <c r="KPR6" s="181" t="s">
        <v>817</v>
      </c>
      <c r="KPS6" s="545" t="s">
        <v>816</v>
      </c>
      <c r="KPT6" s="545"/>
      <c r="KPU6" s="545"/>
      <c r="KPV6" s="545"/>
      <c r="KPW6" s="136" t="s">
        <v>168</v>
      </c>
      <c r="KPX6" s="137">
        <v>1</v>
      </c>
      <c r="KPY6" s="137">
        <v>167.32</v>
      </c>
      <c r="KPZ6" s="181" t="s">
        <v>817</v>
      </c>
      <c r="KQA6" s="545" t="s">
        <v>816</v>
      </c>
      <c r="KQB6" s="545"/>
      <c r="KQC6" s="545"/>
      <c r="KQD6" s="545"/>
      <c r="KQE6" s="136" t="s">
        <v>168</v>
      </c>
      <c r="KQF6" s="137">
        <v>1</v>
      </c>
      <c r="KQG6" s="137">
        <v>167.32</v>
      </c>
      <c r="KQH6" s="181" t="s">
        <v>817</v>
      </c>
      <c r="KQI6" s="545" t="s">
        <v>816</v>
      </c>
      <c r="KQJ6" s="545"/>
      <c r="KQK6" s="545"/>
      <c r="KQL6" s="545"/>
      <c r="KQM6" s="136" t="s">
        <v>168</v>
      </c>
      <c r="KQN6" s="137">
        <v>1</v>
      </c>
      <c r="KQO6" s="137">
        <v>167.32</v>
      </c>
      <c r="KQP6" s="181" t="s">
        <v>817</v>
      </c>
      <c r="KQQ6" s="545" t="s">
        <v>816</v>
      </c>
      <c r="KQR6" s="545"/>
      <c r="KQS6" s="545"/>
      <c r="KQT6" s="545"/>
      <c r="KQU6" s="136" t="s">
        <v>168</v>
      </c>
      <c r="KQV6" s="137">
        <v>1</v>
      </c>
      <c r="KQW6" s="137">
        <v>167.32</v>
      </c>
      <c r="KQX6" s="181" t="s">
        <v>817</v>
      </c>
      <c r="KQY6" s="545" t="s">
        <v>816</v>
      </c>
      <c r="KQZ6" s="545"/>
      <c r="KRA6" s="545"/>
      <c r="KRB6" s="545"/>
      <c r="KRC6" s="136" t="s">
        <v>168</v>
      </c>
      <c r="KRD6" s="137">
        <v>1</v>
      </c>
      <c r="KRE6" s="137">
        <v>167.32</v>
      </c>
      <c r="KRF6" s="181" t="s">
        <v>817</v>
      </c>
      <c r="KRG6" s="545" t="s">
        <v>816</v>
      </c>
      <c r="KRH6" s="545"/>
      <c r="KRI6" s="545"/>
      <c r="KRJ6" s="545"/>
      <c r="KRK6" s="136" t="s">
        <v>168</v>
      </c>
      <c r="KRL6" s="137">
        <v>1</v>
      </c>
      <c r="KRM6" s="137">
        <v>167.32</v>
      </c>
      <c r="KRN6" s="181" t="s">
        <v>817</v>
      </c>
      <c r="KRO6" s="545" t="s">
        <v>816</v>
      </c>
      <c r="KRP6" s="545"/>
      <c r="KRQ6" s="545"/>
      <c r="KRR6" s="545"/>
      <c r="KRS6" s="136" t="s">
        <v>168</v>
      </c>
      <c r="KRT6" s="137">
        <v>1</v>
      </c>
      <c r="KRU6" s="137">
        <v>167.32</v>
      </c>
      <c r="KRV6" s="181" t="s">
        <v>817</v>
      </c>
      <c r="KRW6" s="545" t="s">
        <v>816</v>
      </c>
      <c r="KRX6" s="545"/>
      <c r="KRY6" s="545"/>
      <c r="KRZ6" s="545"/>
      <c r="KSA6" s="136" t="s">
        <v>168</v>
      </c>
      <c r="KSB6" s="137">
        <v>1</v>
      </c>
      <c r="KSC6" s="137">
        <v>167.32</v>
      </c>
      <c r="KSD6" s="181" t="s">
        <v>817</v>
      </c>
      <c r="KSE6" s="545" t="s">
        <v>816</v>
      </c>
      <c r="KSF6" s="545"/>
      <c r="KSG6" s="545"/>
      <c r="KSH6" s="545"/>
      <c r="KSI6" s="136" t="s">
        <v>168</v>
      </c>
      <c r="KSJ6" s="137">
        <v>1</v>
      </c>
      <c r="KSK6" s="137">
        <v>167.32</v>
      </c>
      <c r="KSL6" s="181" t="s">
        <v>817</v>
      </c>
      <c r="KSM6" s="545" t="s">
        <v>816</v>
      </c>
      <c r="KSN6" s="545"/>
      <c r="KSO6" s="545"/>
      <c r="KSP6" s="545"/>
      <c r="KSQ6" s="136" t="s">
        <v>168</v>
      </c>
      <c r="KSR6" s="137">
        <v>1</v>
      </c>
      <c r="KSS6" s="137">
        <v>167.32</v>
      </c>
      <c r="KST6" s="181" t="s">
        <v>817</v>
      </c>
      <c r="KSU6" s="545" t="s">
        <v>816</v>
      </c>
      <c r="KSV6" s="545"/>
      <c r="KSW6" s="545"/>
      <c r="KSX6" s="545"/>
      <c r="KSY6" s="136" t="s">
        <v>168</v>
      </c>
      <c r="KSZ6" s="137">
        <v>1</v>
      </c>
      <c r="KTA6" s="137">
        <v>167.32</v>
      </c>
      <c r="KTB6" s="181" t="s">
        <v>817</v>
      </c>
      <c r="KTC6" s="545" t="s">
        <v>816</v>
      </c>
      <c r="KTD6" s="545"/>
      <c r="KTE6" s="545"/>
      <c r="KTF6" s="545"/>
      <c r="KTG6" s="136" t="s">
        <v>168</v>
      </c>
      <c r="KTH6" s="137">
        <v>1</v>
      </c>
      <c r="KTI6" s="137">
        <v>167.32</v>
      </c>
      <c r="KTJ6" s="181" t="s">
        <v>817</v>
      </c>
      <c r="KTK6" s="545" t="s">
        <v>816</v>
      </c>
      <c r="KTL6" s="545"/>
      <c r="KTM6" s="545"/>
      <c r="KTN6" s="545"/>
      <c r="KTO6" s="136" t="s">
        <v>168</v>
      </c>
      <c r="KTP6" s="137">
        <v>1</v>
      </c>
      <c r="KTQ6" s="137">
        <v>167.32</v>
      </c>
      <c r="KTR6" s="181" t="s">
        <v>817</v>
      </c>
      <c r="KTS6" s="545" t="s">
        <v>816</v>
      </c>
      <c r="KTT6" s="545"/>
      <c r="KTU6" s="545"/>
      <c r="KTV6" s="545"/>
      <c r="KTW6" s="136" t="s">
        <v>168</v>
      </c>
      <c r="KTX6" s="137">
        <v>1</v>
      </c>
      <c r="KTY6" s="137">
        <v>167.32</v>
      </c>
      <c r="KTZ6" s="181" t="s">
        <v>817</v>
      </c>
      <c r="KUA6" s="545" t="s">
        <v>816</v>
      </c>
      <c r="KUB6" s="545"/>
      <c r="KUC6" s="545"/>
      <c r="KUD6" s="545"/>
      <c r="KUE6" s="136" t="s">
        <v>168</v>
      </c>
      <c r="KUF6" s="137">
        <v>1</v>
      </c>
      <c r="KUG6" s="137">
        <v>167.32</v>
      </c>
      <c r="KUH6" s="181" t="s">
        <v>817</v>
      </c>
      <c r="KUI6" s="545" t="s">
        <v>816</v>
      </c>
      <c r="KUJ6" s="545"/>
      <c r="KUK6" s="545"/>
      <c r="KUL6" s="545"/>
      <c r="KUM6" s="136" t="s">
        <v>168</v>
      </c>
      <c r="KUN6" s="137">
        <v>1</v>
      </c>
      <c r="KUO6" s="137">
        <v>167.32</v>
      </c>
      <c r="KUP6" s="181" t="s">
        <v>817</v>
      </c>
      <c r="KUQ6" s="545" t="s">
        <v>816</v>
      </c>
      <c r="KUR6" s="545"/>
      <c r="KUS6" s="545"/>
      <c r="KUT6" s="545"/>
      <c r="KUU6" s="136" t="s">
        <v>168</v>
      </c>
      <c r="KUV6" s="137">
        <v>1</v>
      </c>
      <c r="KUW6" s="137">
        <v>167.32</v>
      </c>
      <c r="KUX6" s="181" t="s">
        <v>817</v>
      </c>
      <c r="KUY6" s="545" t="s">
        <v>816</v>
      </c>
      <c r="KUZ6" s="545"/>
      <c r="KVA6" s="545"/>
      <c r="KVB6" s="545"/>
      <c r="KVC6" s="136" t="s">
        <v>168</v>
      </c>
      <c r="KVD6" s="137">
        <v>1</v>
      </c>
      <c r="KVE6" s="137">
        <v>167.32</v>
      </c>
      <c r="KVF6" s="181" t="s">
        <v>817</v>
      </c>
      <c r="KVG6" s="545" t="s">
        <v>816</v>
      </c>
      <c r="KVH6" s="545"/>
      <c r="KVI6" s="545"/>
      <c r="KVJ6" s="545"/>
      <c r="KVK6" s="136" t="s">
        <v>168</v>
      </c>
      <c r="KVL6" s="137">
        <v>1</v>
      </c>
      <c r="KVM6" s="137">
        <v>167.32</v>
      </c>
      <c r="KVN6" s="181" t="s">
        <v>817</v>
      </c>
      <c r="KVO6" s="545" t="s">
        <v>816</v>
      </c>
      <c r="KVP6" s="545"/>
      <c r="KVQ6" s="545"/>
      <c r="KVR6" s="545"/>
      <c r="KVS6" s="136" t="s">
        <v>168</v>
      </c>
      <c r="KVT6" s="137">
        <v>1</v>
      </c>
      <c r="KVU6" s="137">
        <v>167.32</v>
      </c>
      <c r="KVV6" s="181" t="s">
        <v>817</v>
      </c>
      <c r="KVW6" s="545" t="s">
        <v>816</v>
      </c>
      <c r="KVX6" s="545"/>
      <c r="KVY6" s="545"/>
      <c r="KVZ6" s="545"/>
      <c r="KWA6" s="136" t="s">
        <v>168</v>
      </c>
      <c r="KWB6" s="137">
        <v>1</v>
      </c>
      <c r="KWC6" s="137">
        <v>167.32</v>
      </c>
      <c r="KWD6" s="181" t="s">
        <v>817</v>
      </c>
      <c r="KWE6" s="545" t="s">
        <v>816</v>
      </c>
      <c r="KWF6" s="545"/>
      <c r="KWG6" s="545"/>
      <c r="KWH6" s="545"/>
      <c r="KWI6" s="136" t="s">
        <v>168</v>
      </c>
      <c r="KWJ6" s="137">
        <v>1</v>
      </c>
      <c r="KWK6" s="137">
        <v>167.32</v>
      </c>
      <c r="KWL6" s="181" t="s">
        <v>817</v>
      </c>
      <c r="KWM6" s="545" t="s">
        <v>816</v>
      </c>
      <c r="KWN6" s="545"/>
      <c r="KWO6" s="545"/>
      <c r="KWP6" s="545"/>
      <c r="KWQ6" s="136" t="s">
        <v>168</v>
      </c>
      <c r="KWR6" s="137">
        <v>1</v>
      </c>
      <c r="KWS6" s="137">
        <v>167.32</v>
      </c>
      <c r="KWT6" s="181" t="s">
        <v>817</v>
      </c>
      <c r="KWU6" s="545" t="s">
        <v>816</v>
      </c>
      <c r="KWV6" s="545"/>
      <c r="KWW6" s="545"/>
      <c r="KWX6" s="545"/>
      <c r="KWY6" s="136" t="s">
        <v>168</v>
      </c>
      <c r="KWZ6" s="137">
        <v>1</v>
      </c>
      <c r="KXA6" s="137">
        <v>167.32</v>
      </c>
      <c r="KXB6" s="181" t="s">
        <v>817</v>
      </c>
      <c r="KXC6" s="545" t="s">
        <v>816</v>
      </c>
      <c r="KXD6" s="545"/>
      <c r="KXE6" s="545"/>
      <c r="KXF6" s="545"/>
      <c r="KXG6" s="136" t="s">
        <v>168</v>
      </c>
      <c r="KXH6" s="137">
        <v>1</v>
      </c>
      <c r="KXI6" s="137">
        <v>167.32</v>
      </c>
      <c r="KXJ6" s="181" t="s">
        <v>817</v>
      </c>
      <c r="KXK6" s="545" t="s">
        <v>816</v>
      </c>
      <c r="KXL6" s="545"/>
      <c r="KXM6" s="545"/>
      <c r="KXN6" s="545"/>
      <c r="KXO6" s="136" t="s">
        <v>168</v>
      </c>
      <c r="KXP6" s="137">
        <v>1</v>
      </c>
      <c r="KXQ6" s="137">
        <v>167.32</v>
      </c>
      <c r="KXR6" s="181" t="s">
        <v>817</v>
      </c>
      <c r="KXS6" s="545" t="s">
        <v>816</v>
      </c>
      <c r="KXT6" s="545"/>
      <c r="KXU6" s="545"/>
      <c r="KXV6" s="545"/>
      <c r="KXW6" s="136" t="s">
        <v>168</v>
      </c>
      <c r="KXX6" s="137">
        <v>1</v>
      </c>
      <c r="KXY6" s="137">
        <v>167.32</v>
      </c>
      <c r="KXZ6" s="181" t="s">
        <v>817</v>
      </c>
      <c r="KYA6" s="545" t="s">
        <v>816</v>
      </c>
      <c r="KYB6" s="545"/>
      <c r="KYC6" s="545"/>
      <c r="KYD6" s="545"/>
      <c r="KYE6" s="136" t="s">
        <v>168</v>
      </c>
      <c r="KYF6" s="137">
        <v>1</v>
      </c>
      <c r="KYG6" s="137">
        <v>167.32</v>
      </c>
      <c r="KYH6" s="181" t="s">
        <v>817</v>
      </c>
      <c r="KYI6" s="545" t="s">
        <v>816</v>
      </c>
      <c r="KYJ6" s="545"/>
      <c r="KYK6" s="545"/>
      <c r="KYL6" s="545"/>
      <c r="KYM6" s="136" t="s">
        <v>168</v>
      </c>
      <c r="KYN6" s="137">
        <v>1</v>
      </c>
      <c r="KYO6" s="137">
        <v>167.32</v>
      </c>
      <c r="KYP6" s="181" t="s">
        <v>817</v>
      </c>
      <c r="KYQ6" s="545" t="s">
        <v>816</v>
      </c>
      <c r="KYR6" s="545"/>
      <c r="KYS6" s="545"/>
      <c r="KYT6" s="545"/>
      <c r="KYU6" s="136" t="s">
        <v>168</v>
      </c>
      <c r="KYV6" s="137">
        <v>1</v>
      </c>
      <c r="KYW6" s="137">
        <v>167.32</v>
      </c>
      <c r="KYX6" s="181" t="s">
        <v>817</v>
      </c>
      <c r="KYY6" s="545" t="s">
        <v>816</v>
      </c>
      <c r="KYZ6" s="545"/>
      <c r="KZA6" s="545"/>
      <c r="KZB6" s="545"/>
      <c r="KZC6" s="136" t="s">
        <v>168</v>
      </c>
      <c r="KZD6" s="137">
        <v>1</v>
      </c>
      <c r="KZE6" s="137">
        <v>167.32</v>
      </c>
      <c r="KZF6" s="181" t="s">
        <v>817</v>
      </c>
      <c r="KZG6" s="545" t="s">
        <v>816</v>
      </c>
      <c r="KZH6" s="545"/>
      <c r="KZI6" s="545"/>
      <c r="KZJ6" s="545"/>
      <c r="KZK6" s="136" t="s">
        <v>168</v>
      </c>
      <c r="KZL6" s="137">
        <v>1</v>
      </c>
      <c r="KZM6" s="137">
        <v>167.32</v>
      </c>
      <c r="KZN6" s="181" t="s">
        <v>817</v>
      </c>
      <c r="KZO6" s="545" t="s">
        <v>816</v>
      </c>
      <c r="KZP6" s="545"/>
      <c r="KZQ6" s="545"/>
      <c r="KZR6" s="545"/>
      <c r="KZS6" s="136" t="s">
        <v>168</v>
      </c>
      <c r="KZT6" s="137">
        <v>1</v>
      </c>
      <c r="KZU6" s="137">
        <v>167.32</v>
      </c>
      <c r="KZV6" s="181" t="s">
        <v>817</v>
      </c>
      <c r="KZW6" s="545" t="s">
        <v>816</v>
      </c>
      <c r="KZX6" s="545"/>
      <c r="KZY6" s="545"/>
      <c r="KZZ6" s="545"/>
      <c r="LAA6" s="136" t="s">
        <v>168</v>
      </c>
      <c r="LAB6" s="137">
        <v>1</v>
      </c>
      <c r="LAC6" s="137">
        <v>167.32</v>
      </c>
      <c r="LAD6" s="181" t="s">
        <v>817</v>
      </c>
      <c r="LAE6" s="545" t="s">
        <v>816</v>
      </c>
      <c r="LAF6" s="545"/>
      <c r="LAG6" s="545"/>
      <c r="LAH6" s="545"/>
      <c r="LAI6" s="136" t="s">
        <v>168</v>
      </c>
      <c r="LAJ6" s="137">
        <v>1</v>
      </c>
      <c r="LAK6" s="137">
        <v>167.32</v>
      </c>
      <c r="LAL6" s="181" t="s">
        <v>817</v>
      </c>
      <c r="LAM6" s="545" t="s">
        <v>816</v>
      </c>
      <c r="LAN6" s="545"/>
      <c r="LAO6" s="545"/>
      <c r="LAP6" s="545"/>
      <c r="LAQ6" s="136" t="s">
        <v>168</v>
      </c>
      <c r="LAR6" s="137">
        <v>1</v>
      </c>
      <c r="LAS6" s="137">
        <v>167.32</v>
      </c>
      <c r="LAT6" s="181" t="s">
        <v>817</v>
      </c>
      <c r="LAU6" s="545" t="s">
        <v>816</v>
      </c>
      <c r="LAV6" s="545"/>
      <c r="LAW6" s="545"/>
      <c r="LAX6" s="545"/>
      <c r="LAY6" s="136" t="s">
        <v>168</v>
      </c>
      <c r="LAZ6" s="137">
        <v>1</v>
      </c>
      <c r="LBA6" s="137">
        <v>167.32</v>
      </c>
      <c r="LBB6" s="181" t="s">
        <v>817</v>
      </c>
      <c r="LBC6" s="545" t="s">
        <v>816</v>
      </c>
      <c r="LBD6" s="545"/>
      <c r="LBE6" s="545"/>
      <c r="LBF6" s="545"/>
      <c r="LBG6" s="136" t="s">
        <v>168</v>
      </c>
      <c r="LBH6" s="137">
        <v>1</v>
      </c>
      <c r="LBI6" s="137">
        <v>167.32</v>
      </c>
      <c r="LBJ6" s="181" t="s">
        <v>817</v>
      </c>
      <c r="LBK6" s="545" t="s">
        <v>816</v>
      </c>
      <c r="LBL6" s="545"/>
      <c r="LBM6" s="545"/>
      <c r="LBN6" s="545"/>
      <c r="LBO6" s="136" t="s">
        <v>168</v>
      </c>
      <c r="LBP6" s="137">
        <v>1</v>
      </c>
      <c r="LBQ6" s="137">
        <v>167.32</v>
      </c>
      <c r="LBR6" s="181" t="s">
        <v>817</v>
      </c>
      <c r="LBS6" s="545" t="s">
        <v>816</v>
      </c>
      <c r="LBT6" s="545"/>
      <c r="LBU6" s="545"/>
      <c r="LBV6" s="545"/>
      <c r="LBW6" s="136" t="s">
        <v>168</v>
      </c>
      <c r="LBX6" s="137">
        <v>1</v>
      </c>
      <c r="LBY6" s="137">
        <v>167.32</v>
      </c>
      <c r="LBZ6" s="181" t="s">
        <v>817</v>
      </c>
      <c r="LCA6" s="545" t="s">
        <v>816</v>
      </c>
      <c r="LCB6" s="545"/>
      <c r="LCC6" s="545"/>
      <c r="LCD6" s="545"/>
      <c r="LCE6" s="136" t="s">
        <v>168</v>
      </c>
      <c r="LCF6" s="137">
        <v>1</v>
      </c>
      <c r="LCG6" s="137">
        <v>167.32</v>
      </c>
      <c r="LCH6" s="181" t="s">
        <v>817</v>
      </c>
      <c r="LCI6" s="545" t="s">
        <v>816</v>
      </c>
      <c r="LCJ6" s="545"/>
      <c r="LCK6" s="545"/>
      <c r="LCL6" s="545"/>
      <c r="LCM6" s="136" t="s">
        <v>168</v>
      </c>
      <c r="LCN6" s="137">
        <v>1</v>
      </c>
      <c r="LCO6" s="137">
        <v>167.32</v>
      </c>
      <c r="LCP6" s="181" t="s">
        <v>817</v>
      </c>
      <c r="LCQ6" s="545" t="s">
        <v>816</v>
      </c>
      <c r="LCR6" s="545"/>
      <c r="LCS6" s="545"/>
      <c r="LCT6" s="545"/>
      <c r="LCU6" s="136" t="s">
        <v>168</v>
      </c>
      <c r="LCV6" s="137">
        <v>1</v>
      </c>
      <c r="LCW6" s="137">
        <v>167.32</v>
      </c>
      <c r="LCX6" s="181" t="s">
        <v>817</v>
      </c>
      <c r="LCY6" s="545" t="s">
        <v>816</v>
      </c>
      <c r="LCZ6" s="545"/>
      <c r="LDA6" s="545"/>
      <c r="LDB6" s="545"/>
      <c r="LDC6" s="136" t="s">
        <v>168</v>
      </c>
      <c r="LDD6" s="137">
        <v>1</v>
      </c>
      <c r="LDE6" s="137">
        <v>167.32</v>
      </c>
      <c r="LDF6" s="181" t="s">
        <v>817</v>
      </c>
      <c r="LDG6" s="545" t="s">
        <v>816</v>
      </c>
      <c r="LDH6" s="545"/>
      <c r="LDI6" s="545"/>
      <c r="LDJ6" s="545"/>
      <c r="LDK6" s="136" t="s">
        <v>168</v>
      </c>
      <c r="LDL6" s="137">
        <v>1</v>
      </c>
      <c r="LDM6" s="137">
        <v>167.32</v>
      </c>
      <c r="LDN6" s="181" t="s">
        <v>817</v>
      </c>
      <c r="LDO6" s="545" t="s">
        <v>816</v>
      </c>
      <c r="LDP6" s="545"/>
      <c r="LDQ6" s="545"/>
      <c r="LDR6" s="545"/>
      <c r="LDS6" s="136" t="s">
        <v>168</v>
      </c>
      <c r="LDT6" s="137">
        <v>1</v>
      </c>
      <c r="LDU6" s="137">
        <v>167.32</v>
      </c>
      <c r="LDV6" s="181" t="s">
        <v>817</v>
      </c>
      <c r="LDW6" s="545" t="s">
        <v>816</v>
      </c>
      <c r="LDX6" s="545"/>
      <c r="LDY6" s="545"/>
      <c r="LDZ6" s="545"/>
      <c r="LEA6" s="136" t="s">
        <v>168</v>
      </c>
      <c r="LEB6" s="137">
        <v>1</v>
      </c>
      <c r="LEC6" s="137">
        <v>167.32</v>
      </c>
      <c r="LED6" s="181" t="s">
        <v>817</v>
      </c>
      <c r="LEE6" s="545" t="s">
        <v>816</v>
      </c>
      <c r="LEF6" s="545"/>
      <c r="LEG6" s="545"/>
      <c r="LEH6" s="545"/>
      <c r="LEI6" s="136" t="s">
        <v>168</v>
      </c>
      <c r="LEJ6" s="137">
        <v>1</v>
      </c>
      <c r="LEK6" s="137">
        <v>167.32</v>
      </c>
      <c r="LEL6" s="181" t="s">
        <v>817</v>
      </c>
      <c r="LEM6" s="545" t="s">
        <v>816</v>
      </c>
      <c r="LEN6" s="545"/>
      <c r="LEO6" s="545"/>
      <c r="LEP6" s="545"/>
      <c r="LEQ6" s="136" t="s">
        <v>168</v>
      </c>
      <c r="LER6" s="137">
        <v>1</v>
      </c>
      <c r="LES6" s="137">
        <v>167.32</v>
      </c>
      <c r="LET6" s="181" t="s">
        <v>817</v>
      </c>
      <c r="LEU6" s="545" t="s">
        <v>816</v>
      </c>
      <c r="LEV6" s="545"/>
      <c r="LEW6" s="545"/>
      <c r="LEX6" s="545"/>
      <c r="LEY6" s="136" t="s">
        <v>168</v>
      </c>
      <c r="LEZ6" s="137">
        <v>1</v>
      </c>
      <c r="LFA6" s="137">
        <v>167.32</v>
      </c>
      <c r="LFB6" s="181" t="s">
        <v>817</v>
      </c>
      <c r="LFC6" s="545" t="s">
        <v>816</v>
      </c>
      <c r="LFD6" s="545"/>
      <c r="LFE6" s="545"/>
      <c r="LFF6" s="545"/>
      <c r="LFG6" s="136" t="s">
        <v>168</v>
      </c>
      <c r="LFH6" s="137">
        <v>1</v>
      </c>
      <c r="LFI6" s="137">
        <v>167.32</v>
      </c>
      <c r="LFJ6" s="181" t="s">
        <v>817</v>
      </c>
      <c r="LFK6" s="545" t="s">
        <v>816</v>
      </c>
      <c r="LFL6" s="545"/>
      <c r="LFM6" s="545"/>
      <c r="LFN6" s="545"/>
      <c r="LFO6" s="136" t="s">
        <v>168</v>
      </c>
      <c r="LFP6" s="137">
        <v>1</v>
      </c>
      <c r="LFQ6" s="137">
        <v>167.32</v>
      </c>
      <c r="LFR6" s="181" t="s">
        <v>817</v>
      </c>
      <c r="LFS6" s="545" t="s">
        <v>816</v>
      </c>
      <c r="LFT6" s="545"/>
      <c r="LFU6" s="545"/>
      <c r="LFV6" s="545"/>
      <c r="LFW6" s="136" t="s">
        <v>168</v>
      </c>
      <c r="LFX6" s="137">
        <v>1</v>
      </c>
      <c r="LFY6" s="137">
        <v>167.32</v>
      </c>
      <c r="LFZ6" s="181" t="s">
        <v>817</v>
      </c>
      <c r="LGA6" s="545" t="s">
        <v>816</v>
      </c>
      <c r="LGB6" s="545"/>
      <c r="LGC6" s="545"/>
      <c r="LGD6" s="545"/>
      <c r="LGE6" s="136" t="s">
        <v>168</v>
      </c>
      <c r="LGF6" s="137">
        <v>1</v>
      </c>
      <c r="LGG6" s="137">
        <v>167.32</v>
      </c>
      <c r="LGH6" s="181" t="s">
        <v>817</v>
      </c>
      <c r="LGI6" s="545" t="s">
        <v>816</v>
      </c>
      <c r="LGJ6" s="545"/>
      <c r="LGK6" s="545"/>
      <c r="LGL6" s="545"/>
      <c r="LGM6" s="136" t="s">
        <v>168</v>
      </c>
      <c r="LGN6" s="137">
        <v>1</v>
      </c>
      <c r="LGO6" s="137">
        <v>167.32</v>
      </c>
      <c r="LGP6" s="181" t="s">
        <v>817</v>
      </c>
      <c r="LGQ6" s="545" t="s">
        <v>816</v>
      </c>
      <c r="LGR6" s="545"/>
      <c r="LGS6" s="545"/>
      <c r="LGT6" s="545"/>
      <c r="LGU6" s="136" t="s">
        <v>168</v>
      </c>
      <c r="LGV6" s="137">
        <v>1</v>
      </c>
      <c r="LGW6" s="137">
        <v>167.32</v>
      </c>
      <c r="LGX6" s="181" t="s">
        <v>817</v>
      </c>
      <c r="LGY6" s="545" t="s">
        <v>816</v>
      </c>
      <c r="LGZ6" s="545"/>
      <c r="LHA6" s="545"/>
      <c r="LHB6" s="545"/>
      <c r="LHC6" s="136" t="s">
        <v>168</v>
      </c>
      <c r="LHD6" s="137">
        <v>1</v>
      </c>
      <c r="LHE6" s="137">
        <v>167.32</v>
      </c>
      <c r="LHF6" s="181" t="s">
        <v>817</v>
      </c>
      <c r="LHG6" s="545" t="s">
        <v>816</v>
      </c>
      <c r="LHH6" s="545"/>
      <c r="LHI6" s="545"/>
      <c r="LHJ6" s="545"/>
      <c r="LHK6" s="136" t="s">
        <v>168</v>
      </c>
      <c r="LHL6" s="137">
        <v>1</v>
      </c>
      <c r="LHM6" s="137">
        <v>167.32</v>
      </c>
      <c r="LHN6" s="181" t="s">
        <v>817</v>
      </c>
      <c r="LHO6" s="545" t="s">
        <v>816</v>
      </c>
      <c r="LHP6" s="545"/>
      <c r="LHQ6" s="545"/>
      <c r="LHR6" s="545"/>
      <c r="LHS6" s="136" t="s">
        <v>168</v>
      </c>
      <c r="LHT6" s="137">
        <v>1</v>
      </c>
      <c r="LHU6" s="137">
        <v>167.32</v>
      </c>
      <c r="LHV6" s="181" t="s">
        <v>817</v>
      </c>
      <c r="LHW6" s="545" t="s">
        <v>816</v>
      </c>
      <c r="LHX6" s="545"/>
      <c r="LHY6" s="545"/>
      <c r="LHZ6" s="545"/>
      <c r="LIA6" s="136" t="s">
        <v>168</v>
      </c>
      <c r="LIB6" s="137">
        <v>1</v>
      </c>
      <c r="LIC6" s="137">
        <v>167.32</v>
      </c>
      <c r="LID6" s="181" t="s">
        <v>817</v>
      </c>
      <c r="LIE6" s="545" t="s">
        <v>816</v>
      </c>
      <c r="LIF6" s="545"/>
      <c r="LIG6" s="545"/>
      <c r="LIH6" s="545"/>
      <c r="LII6" s="136" t="s">
        <v>168</v>
      </c>
      <c r="LIJ6" s="137">
        <v>1</v>
      </c>
      <c r="LIK6" s="137">
        <v>167.32</v>
      </c>
      <c r="LIL6" s="181" t="s">
        <v>817</v>
      </c>
      <c r="LIM6" s="545" t="s">
        <v>816</v>
      </c>
      <c r="LIN6" s="545"/>
      <c r="LIO6" s="545"/>
      <c r="LIP6" s="545"/>
      <c r="LIQ6" s="136" t="s">
        <v>168</v>
      </c>
      <c r="LIR6" s="137">
        <v>1</v>
      </c>
      <c r="LIS6" s="137">
        <v>167.32</v>
      </c>
      <c r="LIT6" s="181" t="s">
        <v>817</v>
      </c>
      <c r="LIU6" s="545" t="s">
        <v>816</v>
      </c>
      <c r="LIV6" s="545"/>
      <c r="LIW6" s="545"/>
      <c r="LIX6" s="545"/>
      <c r="LIY6" s="136" t="s">
        <v>168</v>
      </c>
      <c r="LIZ6" s="137">
        <v>1</v>
      </c>
      <c r="LJA6" s="137">
        <v>167.32</v>
      </c>
      <c r="LJB6" s="181" t="s">
        <v>817</v>
      </c>
      <c r="LJC6" s="545" t="s">
        <v>816</v>
      </c>
      <c r="LJD6" s="545"/>
      <c r="LJE6" s="545"/>
      <c r="LJF6" s="545"/>
      <c r="LJG6" s="136" t="s">
        <v>168</v>
      </c>
      <c r="LJH6" s="137">
        <v>1</v>
      </c>
      <c r="LJI6" s="137">
        <v>167.32</v>
      </c>
      <c r="LJJ6" s="181" t="s">
        <v>817</v>
      </c>
      <c r="LJK6" s="545" t="s">
        <v>816</v>
      </c>
      <c r="LJL6" s="545"/>
      <c r="LJM6" s="545"/>
      <c r="LJN6" s="545"/>
      <c r="LJO6" s="136" t="s">
        <v>168</v>
      </c>
      <c r="LJP6" s="137">
        <v>1</v>
      </c>
      <c r="LJQ6" s="137">
        <v>167.32</v>
      </c>
      <c r="LJR6" s="181" t="s">
        <v>817</v>
      </c>
      <c r="LJS6" s="545" t="s">
        <v>816</v>
      </c>
      <c r="LJT6" s="545"/>
      <c r="LJU6" s="545"/>
      <c r="LJV6" s="545"/>
      <c r="LJW6" s="136" t="s">
        <v>168</v>
      </c>
      <c r="LJX6" s="137">
        <v>1</v>
      </c>
      <c r="LJY6" s="137">
        <v>167.32</v>
      </c>
      <c r="LJZ6" s="181" t="s">
        <v>817</v>
      </c>
      <c r="LKA6" s="545" t="s">
        <v>816</v>
      </c>
      <c r="LKB6" s="545"/>
      <c r="LKC6" s="545"/>
      <c r="LKD6" s="545"/>
      <c r="LKE6" s="136" t="s">
        <v>168</v>
      </c>
      <c r="LKF6" s="137">
        <v>1</v>
      </c>
      <c r="LKG6" s="137">
        <v>167.32</v>
      </c>
      <c r="LKH6" s="181" t="s">
        <v>817</v>
      </c>
      <c r="LKI6" s="545" t="s">
        <v>816</v>
      </c>
      <c r="LKJ6" s="545"/>
      <c r="LKK6" s="545"/>
      <c r="LKL6" s="545"/>
      <c r="LKM6" s="136" t="s">
        <v>168</v>
      </c>
      <c r="LKN6" s="137">
        <v>1</v>
      </c>
      <c r="LKO6" s="137">
        <v>167.32</v>
      </c>
      <c r="LKP6" s="181" t="s">
        <v>817</v>
      </c>
      <c r="LKQ6" s="545" t="s">
        <v>816</v>
      </c>
      <c r="LKR6" s="545"/>
      <c r="LKS6" s="545"/>
      <c r="LKT6" s="545"/>
      <c r="LKU6" s="136" t="s">
        <v>168</v>
      </c>
      <c r="LKV6" s="137">
        <v>1</v>
      </c>
      <c r="LKW6" s="137">
        <v>167.32</v>
      </c>
      <c r="LKX6" s="181" t="s">
        <v>817</v>
      </c>
      <c r="LKY6" s="545" t="s">
        <v>816</v>
      </c>
      <c r="LKZ6" s="545"/>
      <c r="LLA6" s="545"/>
      <c r="LLB6" s="545"/>
      <c r="LLC6" s="136" t="s">
        <v>168</v>
      </c>
      <c r="LLD6" s="137">
        <v>1</v>
      </c>
      <c r="LLE6" s="137">
        <v>167.32</v>
      </c>
      <c r="LLF6" s="181" t="s">
        <v>817</v>
      </c>
      <c r="LLG6" s="545" t="s">
        <v>816</v>
      </c>
      <c r="LLH6" s="545"/>
      <c r="LLI6" s="545"/>
      <c r="LLJ6" s="545"/>
      <c r="LLK6" s="136" t="s">
        <v>168</v>
      </c>
      <c r="LLL6" s="137">
        <v>1</v>
      </c>
      <c r="LLM6" s="137">
        <v>167.32</v>
      </c>
      <c r="LLN6" s="181" t="s">
        <v>817</v>
      </c>
      <c r="LLO6" s="545" t="s">
        <v>816</v>
      </c>
      <c r="LLP6" s="545"/>
      <c r="LLQ6" s="545"/>
      <c r="LLR6" s="545"/>
      <c r="LLS6" s="136" t="s">
        <v>168</v>
      </c>
      <c r="LLT6" s="137">
        <v>1</v>
      </c>
      <c r="LLU6" s="137">
        <v>167.32</v>
      </c>
      <c r="LLV6" s="181" t="s">
        <v>817</v>
      </c>
      <c r="LLW6" s="545" t="s">
        <v>816</v>
      </c>
      <c r="LLX6" s="545"/>
      <c r="LLY6" s="545"/>
      <c r="LLZ6" s="545"/>
      <c r="LMA6" s="136" t="s">
        <v>168</v>
      </c>
      <c r="LMB6" s="137">
        <v>1</v>
      </c>
      <c r="LMC6" s="137">
        <v>167.32</v>
      </c>
      <c r="LMD6" s="181" t="s">
        <v>817</v>
      </c>
      <c r="LME6" s="545" t="s">
        <v>816</v>
      </c>
      <c r="LMF6" s="545"/>
      <c r="LMG6" s="545"/>
      <c r="LMH6" s="545"/>
      <c r="LMI6" s="136" t="s">
        <v>168</v>
      </c>
      <c r="LMJ6" s="137">
        <v>1</v>
      </c>
      <c r="LMK6" s="137">
        <v>167.32</v>
      </c>
      <c r="LML6" s="181" t="s">
        <v>817</v>
      </c>
      <c r="LMM6" s="545" t="s">
        <v>816</v>
      </c>
      <c r="LMN6" s="545"/>
      <c r="LMO6" s="545"/>
      <c r="LMP6" s="545"/>
      <c r="LMQ6" s="136" t="s">
        <v>168</v>
      </c>
      <c r="LMR6" s="137">
        <v>1</v>
      </c>
      <c r="LMS6" s="137">
        <v>167.32</v>
      </c>
      <c r="LMT6" s="181" t="s">
        <v>817</v>
      </c>
      <c r="LMU6" s="545" t="s">
        <v>816</v>
      </c>
      <c r="LMV6" s="545"/>
      <c r="LMW6" s="545"/>
      <c r="LMX6" s="545"/>
      <c r="LMY6" s="136" t="s">
        <v>168</v>
      </c>
      <c r="LMZ6" s="137">
        <v>1</v>
      </c>
      <c r="LNA6" s="137">
        <v>167.32</v>
      </c>
      <c r="LNB6" s="181" t="s">
        <v>817</v>
      </c>
      <c r="LNC6" s="545" t="s">
        <v>816</v>
      </c>
      <c r="LND6" s="545"/>
      <c r="LNE6" s="545"/>
      <c r="LNF6" s="545"/>
      <c r="LNG6" s="136" t="s">
        <v>168</v>
      </c>
      <c r="LNH6" s="137">
        <v>1</v>
      </c>
      <c r="LNI6" s="137">
        <v>167.32</v>
      </c>
      <c r="LNJ6" s="181" t="s">
        <v>817</v>
      </c>
      <c r="LNK6" s="545" t="s">
        <v>816</v>
      </c>
      <c r="LNL6" s="545"/>
      <c r="LNM6" s="545"/>
      <c r="LNN6" s="545"/>
      <c r="LNO6" s="136" t="s">
        <v>168</v>
      </c>
      <c r="LNP6" s="137">
        <v>1</v>
      </c>
      <c r="LNQ6" s="137">
        <v>167.32</v>
      </c>
      <c r="LNR6" s="181" t="s">
        <v>817</v>
      </c>
      <c r="LNS6" s="545" t="s">
        <v>816</v>
      </c>
      <c r="LNT6" s="545"/>
      <c r="LNU6" s="545"/>
      <c r="LNV6" s="545"/>
      <c r="LNW6" s="136" t="s">
        <v>168</v>
      </c>
      <c r="LNX6" s="137">
        <v>1</v>
      </c>
      <c r="LNY6" s="137">
        <v>167.32</v>
      </c>
      <c r="LNZ6" s="181" t="s">
        <v>817</v>
      </c>
      <c r="LOA6" s="545" t="s">
        <v>816</v>
      </c>
      <c r="LOB6" s="545"/>
      <c r="LOC6" s="545"/>
      <c r="LOD6" s="545"/>
      <c r="LOE6" s="136" t="s">
        <v>168</v>
      </c>
      <c r="LOF6" s="137">
        <v>1</v>
      </c>
      <c r="LOG6" s="137">
        <v>167.32</v>
      </c>
      <c r="LOH6" s="181" t="s">
        <v>817</v>
      </c>
      <c r="LOI6" s="545" t="s">
        <v>816</v>
      </c>
      <c r="LOJ6" s="545"/>
      <c r="LOK6" s="545"/>
      <c r="LOL6" s="545"/>
      <c r="LOM6" s="136" t="s">
        <v>168</v>
      </c>
      <c r="LON6" s="137">
        <v>1</v>
      </c>
      <c r="LOO6" s="137">
        <v>167.32</v>
      </c>
      <c r="LOP6" s="181" t="s">
        <v>817</v>
      </c>
      <c r="LOQ6" s="545" t="s">
        <v>816</v>
      </c>
      <c r="LOR6" s="545"/>
      <c r="LOS6" s="545"/>
      <c r="LOT6" s="545"/>
      <c r="LOU6" s="136" t="s">
        <v>168</v>
      </c>
      <c r="LOV6" s="137">
        <v>1</v>
      </c>
      <c r="LOW6" s="137">
        <v>167.32</v>
      </c>
      <c r="LOX6" s="181" t="s">
        <v>817</v>
      </c>
      <c r="LOY6" s="545" t="s">
        <v>816</v>
      </c>
      <c r="LOZ6" s="545"/>
      <c r="LPA6" s="545"/>
      <c r="LPB6" s="545"/>
      <c r="LPC6" s="136" t="s">
        <v>168</v>
      </c>
      <c r="LPD6" s="137">
        <v>1</v>
      </c>
      <c r="LPE6" s="137">
        <v>167.32</v>
      </c>
      <c r="LPF6" s="181" t="s">
        <v>817</v>
      </c>
      <c r="LPG6" s="545" t="s">
        <v>816</v>
      </c>
      <c r="LPH6" s="545"/>
      <c r="LPI6" s="545"/>
      <c r="LPJ6" s="545"/>
      <c r="LPK6" s="136" t="s">
        <v>168</v>
      </c>
      <c r="LPL6" s="137">
        <v>1</v>
      </c>
      <c r="LPM6" s="137">
        <v>167.32</v>
      </c>
      <c r="LPN6" s="181" t="s">
        <v>817</v>
      </c>
      <c r="LPO6" s="545" t="s">
        <v>816</v>
      </c>
      <c r="LPP6" s="545"/>
      <c r="LPQ6" s="545"/>
      <c r="LPR6" s="545"/>
      <c r="LPS6" s="136" t="s">
        <v>168</v>
      </c>
      <c r="LPT6" s="137">
        <v>1</v>
      </c>
      <c r="LPU6" s="137">
        <v>167.32</v>
      </c>
      <c r="LPV6" s="181" t="s">
        <v>817</v>
      </c>
      <c r="LPW6" s="545" t="s">
        <v>816</v>
      </c>
      <c r="LPX6" s="545"/>
      <c r="LPY6" s="545"/>
      <c r="LPZ6" s="545"/>
      <c r="LQA6" s="136" t="s">
        <v>168</v>
      </c>
      <c r="LQB6" s="137">
        <v>1</v>
      </c>
      <c r="LQC6" s="137">
        <v>167.32</v>
      </c>
      <c r="LQD6" s="181" t="s">
        <v>817</v>
      </c>
      <c r="LQE6" s="545" t="s">
        <v>816</v>
      </c>
      <c r="LQF6" s="545"/>
      <c r="LQG6" s="545"/>
      <c r="LQH6" s="545"/>
      <c r="LQI6" s="136" t="s">
        <v>168</v>
      </c>
      <c r="LQJ6" s="137">
        <v>1</v>
      </c>
      <c r="LQK6" s="137">
        <v>167.32</v>
      </c>
      <c r="LQL6" s="181" t="s">
        <v>817</v>
      </c>
      <c r="LQM6" s="545" t="s">
        <v>816</v>
      </c>
      <c r="LQN6" s="545"/>
      <c r="LQO6" s="545"/>
      <c r="LQP6" s="545"/>
      <c r="LQQ6" s="136" t="s">
        <v>168</v>
      </c>
      <c r="LQR6" s="137">
        <v>1</v>
      </c>
      <c r="LQS6" s="137">
        <v>167.32</v>
      </c>
      <c r="LQT6" s="181" t="s">
        <v>817</v>
      </c>
      <c r="LQU6" s="545" t="s">
        <v>816</v>
      </c>
      <c r="LQV6" s="545"/>
      <c r="LQW6" s="545"/>
      <c r="LQX6" s="545"/>
      <c r="LQY6" s="136" t="s">
        <v>168</v>
      </c>
      <c r="LQZ6" s="137">
        <v>1</v>
      </c>
      <c r="LRA6" s="137">
        <v>167.32</v>
      </c>
      <c r="LRB6" s="181" t="s">
        <v>817</v>
      </c>
      <c r="LRC6" s="545" t="s">
        <v>816</v>
      </c>
      <c r="LRD6" s="545"/>
      <c r="LRE6" s="545"/>
      <c r="LRF6" s="545"/>
      <c r="LRG6" s="136" t="s">
        <v>168</v>
      </c>
      <c r="LRH6" s="137">
        <v>1</v>
      </c>
      <c r="LRI6" s="137">
        <v>167.32</v>
      </c>
      <c r="LRJ6" s="181" t="s">
        <v>817</v>
      </c>
      <c r="LRK6" s="545" t="s">
        <v>816</v>
      </c>
      <c r="LRL6" s="545"/>
      <c r="LRM6" s="545"/>
      <c r="LRN6" s="545"/>
      <c r="LRO6" s="136" t="s">
        <v>168</v>
      </c>
      <c r="LRP6" s="137">
        <v>1</v>
      </c>
      <c r="LRQ6" s="137">
        <v>167.32</v>
      </c>
      <c r="LRR6" s="181" t="s">
        <v>817</v>
      </c>
      <c r="LRS6" s="545" t="s">
        <v>816</v>
      </c>
      <c r="LRT6" s="545"/>
      <c r="LRU6" s="545"/>
      <c r="LRV6" s="545"/>
      <c r="LRW6" s="136" t="s">
        <v>168</v>
      </c>
      <c r="LRX6" s="137">
        <v>1</v>
      </c>
      <c r="LRY6" s="137">
        <v>167.32</v>
      </c>
      <c r="LRZ6" s="181" t="s">
        <v>817</v>
      </c>
      <c r="LSA6" s="545" t="s">
        <v>816</v>
      </c>
      <c r="LSB6" s="545"/>
      <c r="LSC6" s="545"/>
      <c r="LSD6" s="545"/>
      <c r="LSE6" s="136" t="s">
        <v>168</v>
      </c>
      <c r="LSF6" s="137">
        <v>1</v>
      </c>
      <c r="LSG6" s="137">
        <v>167.32</v>
      </c>
      <c r="LSH6" s="181" t="s">
        <v>817</v>
      </c>
      <c r="LSI6" s="545" t="s">
        <v>816</v>
      </c>
      <c r="LSJ6" s="545"/>
      <c r="LSK6" s="545"/>
      <c r="LSL6" s="545"/>
      <c r="LSM6" s="136" t="s">
        <v>168</v>
      </c>
      <c r="LSN6" s="137">
        <v>1</v>
      </c>
      <c r="LSO6" s="137">
        <v>167.32</v>
      </c>
      <c r="LSP6" s="181" t="s">
        <v>817</v>
      </c>
      <c r="LSQ6" s="545" t="s">
        <v>816</v>
      </c>
      <c r="LSR6" s="545"/>
      <c r="LSS6" s="545"/>
      <c r="LST6" s="545"/>
      <c r="LSU6" s="136" t="s">
        <v>168</v>
      </c>
      <c r="LSV6" s="137">
        <v>1</v>
      </c>
      <c r="LSW6" s="137">
        <v>167.32</v>
      </c>
      <c r="LSX6" s="181" t="s">
        <v>817</v>
      </c>
      <c r="LSY6" s="545" t="s">
        <v>816</v>
      </c>
      <c r="LSZ6" s="545"/>
      <c r="LTA6" s="545"/>
      <c r="LTB6" s="545"/>
      <c r="LTC6" s="136" t="s">
        <v>168</v>
      </c>
      <c r="LTD6" s="137">
        <v>1</v>
      </c>
      <c r="LTE6" s="137">
        <v>167.32</v>
      </c>
      <c r="LTF6" s="181" t="s">
        <v>817</v>
      </c>
      <c r="LTG6" s="545" t="s">
        <v>816</v>
      </c>
      <c r="LTH6" s="545"/>
      <c r="LTI6" s="545"/>
      <c r="LTJ6" s="545"/>
      <c r="LTK6" s="136" t="s">
        <v>168</v>
      </c>
      <c r="LTL6" s="137">
        <v>1</v>
      </c>
      <c r="LTM6" s="137">
        <v>167.32</v>
      </c>
      <c r="LTN6" s="181" t="s">
        <v>817</v>
      </c>
      <c r="LTO6" s="545" t="s">
        <v>816</v>
      </c>
      <c r="LTP6" s="545"/>
      <c r="LTQ6" s="545"/>
      <c r="LTR6" s="545"/>
      <c r="LTS6" s="136" t="s">
        <v>168</v>
      </c>
      <c r="LTT6" s="137">
        <v>1</v>
      </c>
      <c r="LTU6" s="137">
        <v>167.32</v>
      </c>
      <c r="LTV6" s="181" t="s">
        <v>817</v>
      </c>
      <c r="LTW6" s="545" t="s">
        <v>816</v>
      </c>
      <c r="LTX6" s="545"/>
      <c r="LTY6" s="545"/>
      <c r="LTZ6" s="545"/>
      <c r="LUA6" s="136" t="s">
        <v>168</v>
      </c>
      <c r="LUB6" s="137">
        <v>1</v>
      </c>
      <c r="LUC6" s="137">
        <v>167.32</v>
      </c>
      <c r="LUD6" s="181" t="s">
        <v>817</v>
      </c>
      <c r="LUE6" s="545" t="s">
        <v>816</v>
      </c>
      <c r="LUF6" s="545"/>
      <c r="LUG6" s="545"/>
      <c r="LUH6" s="545"/>
      <c r="LUI6" s="136" t="s">
        <v>168</v>
      </c>
      <c r="LUJ6" s="137">
        <v>1</v>
      </c>
      <c r="LUK6" s="137">
        <v>167.32</v>
      </c>
      <c r="LUL6" s="181" t="s">
        <v>817</v>
      </c>
      <c r="LUM6" s="545" t="s">
        <v>816</v>
      </c>
      <c r="LUN6" s="545"/>
      <c r="LUO6" s="545"/>
      <c r="LUP6" s="545"/>
      <c r="LUQ6" s="136" t="s">
        <v>168</v>
      </c>
      <c r="LUR6" s="137">
        <v>1</v>
      </c>
      <c r="LUS6" s="137">
        <v>167.32</v>
      </c>
      <c r="LUT6" s="181" t="s">
        <v>817</v>
      </c>
      <c r="LUU6" s="545" t="s">
        <v>816</v>
      </c>
      <c r="LUV6" s="545"/>
      <c r="LUW6" s="545"/>
      <c r="LUX6" s="545"/>
      <c r="LUY6" s="136" t="s">
        <v>168</v>
      </c>
      <c r="LUZ6" s="137">
        <v>1</v>
      </c>
      <c r="LVA6" s="137">
        <v>167.32</v>
      </c>
      <c r="LVB6" s="181" t="s">
        <v>817</v>
      </c>
      <c r="LVC6" s="545" t="s">
        <v>816</v>
      </c>
      <c r="LVD6" s="545"/>
      <c r="LVE6" s="545"/>
      <c r="LVF6" s="545"/>
      <c r="LVG6" s="136" t="s">
        <v>168</v>
      </c>
      <c r="LVH6" s="137">
        <v>1</v>
      </c>
      <c r="LVI6" s="137">
        <v>167.32</v>
      </c>
      <c r="LVJ6" s="181" t="s">
        <v>817</v>
      </c>
      <c r="LVK6" s="545" t="s">
        <v>816</v>
      </c>
      <c r="LVL6" s="545"/>
      <c r="LVM6" s="545"/>
      <c r="LVN6" s="545"/>
      <c r="LVO6" s="136" t="s">
        <v>168</v>
      </c>
      <c r="LVP6" s="137">
        <v>1</v>
      </c>
      <c r="LVQ6" s="137">
        <v>167.32</v>
      </c>
      <c r="LVR6" s="181" t="s">
        <v>817</v>
      </c>
      <c r="LVS6" s="545" t="s">
        <v>816</v>
      </c>
      <c r="LVT6" s="545"/>
      <c r="LVU6" s="545"/>
      <c r="LVV6" s="545"/>
      <c r="LVW6" s="136" t="s">
        <v>168</v>
      </c>
      <c r="LVX6" s="137">
        <v>1</v>
      </c>
      <c r="LVY6" s="137">
        <v>167.32</v>
      </c>
      <c r="LVZ6" s="181" t="s">
        <v>817</v>
      </c>
      <c r="LWA6" s="545" t="s">
        <v>816</v>
      </c>
      <c r="LWB6" s="545"/>
      <c r="LWC6" s="545"/>
      <c r="LWD6" s="545"/>
      <c r="LWE6" s="136" t="s">
        <v>168</v>
      </c>
      <c r="LWF6" s="137">
        <v>1</v>
      </c>
      <c r="LWG6" s="137">
        <v>167.32</v>
      </c>
      <c r="LWH6" s="181" t="s">
        <v>817</v>
      </c>
      <c r="LWI6" s="545" t="s">
        <v>816</v>
      </c>
      <c r="LWJ6" s="545"/>
      <c r="LWK6" s="545"/>
      <c r="LWL6" s="545"/>
      <c r="LWM6" s="136" t="s">
        <v>168</v>
      </c>
      <c r="LWN6" s="137">
        <v>1</v>
      </c>
      <c r="LWO6" s="137">
        <v>167.32</v>
      </c>
      <c r="LWP6" s="181" t="s">
        <v>817</v>
      </c>
      <c r="LWQ6" s="545" t="s">
        <v>816</v>
      </c>
      <c r="LWR6" s="545"/>
      <c r="LWS6" s="545"/>
      <c r="LWT6" s="545"/>
      <c r="LWU6" s="136" t="s">
        <v>168</v>
      </c>
      <c r="LWV6" s="137">
        <v>1</v>
      </c>
      <c r="LWW6" s="137">
        <v>167.32</v>
      </c>
      <c r="LWX6" s="181" t="s">
        <v>817</v>
      </c>
      <c r="LWY6" s="545" t="s">
        <v>816</v>
      </c>
      <c r="LWZ6" s="545"/>
      <c r="LXA6" s="545"/>
      <c r="LXB6" s="545"/>
      <c r="LXC6" s="136" t="s">
        <v>168</v>
      </c>
      <c r="LXD6" s="137">
        <v>1</v>
      </c>
      <c r="LXE6" s="137">
        <v>167.32</v>
      </c>
      <c r="LXF6" s="181" t="s">
        <v>817</v>
      </c>
      <c r="LXG6" s="545" t="s">
        <v>816</v>
      </c>
      <c r="LXH6" s="545"/>
      <c r="LXI6" s="545"/>
      <c r="LXJ6" s="545"/>
      <c r="LXK6" s="136" t="s">
        <v>168</v>
      </c>
      <c r="LXL6" s="137">
        <v>1</v>
      </c>
      <c r="LXM6" s="137">
        <v>167.32</v>
      </c>
      <c r="LXN6" s="181" t="s">
        <v>817</v>
      </c>
      <c r="LXO6" s="545" t="s">
        <v>816</v>
      </c>
      <c r="LXP6" s="545"/>
      <c r="LXQ6" s="545"/>
      <c r="LXR6" s="545"/>
      <c r="LXS6" s="136" t="s">
        <v>168</v>
      </c>
      <c r="LXT6" s="137">
        <v>1</v>
      </c>
      <c r="LXU6" s="137">
        <v>167.32</v>
      </c>
      <c r="LXV6" s="181" t="s">
        <v>817</v>
      </c>
      <c r="LXW6" s="545" t="s">
        <v>816</v>
      </c>
      <c r="LXX6" s="545"/>
      <c r="LXY6" s="545"/>
      <c r="LXZ6" s="545"/>
      <c r="LYA6" s="136" t="s">
        <v>168</v>
      </c>
      <c r="LYB6" s="137">
        <v>1</v>
      </c>
      <c r="LYC6" s="137">
        <v>167.32</v>
      </c>
      <c r="LYD6" s="181" t="s">
        <v>817</v>
      </c>
      <c r="LYE6" s="545" t="s">
        <v>816</v>
      </c>
      <c r="LYF6" s="545"/>
      <c r="LYG6" s="545"/>
      <c r="LYH6" s="545"/>
      <c r="LYI6" s="136" t="s">
        <v>168</v>
      </c>
      <c r="LYJ6" s="137">
        <v>1</v>
      </c>
      <c r="LYK6" s="137">
        <v>167.32</v>
      </c>
      <c r="LYL6" s="181" t="s">
        <v>817</v>
      </c>
      <c r="LYM6" s="545" t="s">
        <v>816</v>
      </c>
      <c r="LYN6" s="545"/>
      <c r="LYO6" s="545"/>
      <c r="LYP6" s="545"/>
      <c r="LYQ6" s="136" t="s">
        <v>168</v>
      </c>
      <c r="LYR6" s="137">
        <v>1</v>
      </c>
      <c r="LYS6" s="137">
        <v>167.32</v>
      </c>
      <c r="LYT6" s="181" t="s">
        <v>817</v>
      </c>
      <c r="LYU6" s="545" t="s">
        <v>816</v>
      </c>
      <c r="LYV6" s="545"/>
      <c r="LYW6" s="545"/>
      <c r="LYX6" s="545"/>
      <c r="LYY6" s="136" t="s">
        <v>168</v>
      </c>
      <c r="LYZ6" s="137">
        <v>1</v>
      </c>
      <c r="LZA6" s="137">
        <v>167.32</v>
      </c>
      <c r="LZB6" s="181" t="s">
        <v>817</v>
      </c>
      <c r="LZC6" s="545" t="s">
        <v>816</v>
      </c>
      <c r="LZD6" s="545"/>
      <c r="LZE6" s="545"/>
      <c r="LZF6" s="545"/>
      <c r="LZG6" s="136" t="s">
        <v>168</v>
      </c>
      <c r="LZH6" s="137">
        <v>1</v>
      </c>
      <c r="LZI6" s="137">
        <v>167.32</v>
      </c>
      <c r="LZJ6" s="181" t="s">
        <v>817</v>
      </c>
      <c r="LZK6" s="545" t="s">
        <v>816</v>
      </c>
      <c r="LZL6" s="545"/>
      <c r="LZM6" s="545"/>
      <c r="LZN6" s="545"/>
      <c r="LZO6" s="136" t="s">
        <v>168</v>
      </c>
      <c r="LZP6" s="137">
        <v>1</v>
      </c>
      <c r="LZQ6" s="137">
        <v>167.32</v>
      </c>
      <c r="LZR6" s="181" t="s">
        <v>817</v>
      </c>
      <c r="LZS6" s="545" t="s">
        <v>816</v>
      </c>
      <c r="LZT6" s="545"/>
      <c r="LZU6" s="545"/>
      <c r="LZV6" s="545"/>
      <c r="LZW6" s="136" t="s">
        <v>168</v>
      </c>
      <c r="LZX6" s="137">
        <v>1</v>
      </c>
      <c r="LZY6" s="137">
        <v>167.32</v>
      </c>
      <c r="LZZ6" s="181" t="s">
        <v>817</v>
      </c>
      <c r="MAA6" s="545" t="s">
        <v>816</v>
      </c>
      <c r="MAB6" s="545"/>
      <c r="MAC6" s="545"/>
      <c r="MAD6" s="545"/>
      <c r="MAE6" s="136" t="s">
        <v>168</v>
      </c>
      <c r="MAF6" s="137">
        <v>1</v>
      </c>
      <c r="MAG6" s="137">
        <v>167.32</v>
      </c>
      <c r="MAH6" s="181" t="s">
        <v>817</v>
      </c>
      <c r="MAI6" s="545" t="s">
        <v>816</v>
      </c>
      <c r="MAJ6" s="545"/>
      <c r="MAK6" s="545"/>
      <c r="MAL6" s="545"/>
      <c r="MAM6" s="136" t="s">
        <v>168</v>
      </c>
      <c r="MAN6" s="137">
        <v>1</v>
      </c>
      <c r="MAO6" s="137">
        <v>167.32</v>
      </c>
      <c r="MAP6" s="181" t="s">
        <v>817</v>
      </c>
      <c r="MAQ6" s="545" t="s">
        <v>816</v>
      </c>
      <c r="MAR6" s="545"/>
      <c r="MAS6" s="545"/>
      <c r="MAT6" s="545"/>
      <c r="MAU6" s="136" t="s">
        <v>168</v>
      </c>
      <c r="MAV6" s="137">
        <v>1</v>
      </c>
      <c r="MAW6" s="137">
        <v>167.32</v>
      </c>
      <c r="MAX6" s="181" t="s">
        <v>817</v>
      </c>
      <c r="MAY6" s="545" t="s">
        <v>816</v>
      </c>
      <c r="MAZ6" s="545"/>
      <c r="MBA6" s="545"/>
      <c r="MBB6" s="545"/>
      <c r="MBC6" s="136" t="s">
        <v>168</v>
      </c>
      <c r="MBD6" s="137">
        <v>1</v>
      </c>
      <c r="MBE6" s="137">
        <v>167.32</v>
      </c>
      <c r="MBF6" s="181" t="s">
        <v>817</v>
      </c>
      <c r="MBG6" s="545" t="s">
        <v>816</v>
      </c>
      <c r="MBH6" s="545"/>
      <c r="MBI6" s="545"/>
      <c r="MBJ6" s="545"/>
      <c r="MBK6" s="136" t="s">
        <v>168</v>
      </c>
      <c r="MBL6" s="137">
        <v>1</v>
      </c>
      <c r="MBM6" s="137">
        <v>167.32</v>
      </c>
      <c r="MBN6" s="181" t="s">
        <v>817</v>
      </c>
      <c r="MBO6" s="545" t="s">
        <v>816</v>
      </c>
      <c r="MBP6" s="545"/>
      <c r="MBQ6" s="545"/>
      <c r="MBR6" s="545"/>
      <c r="MBS6" s="136" t="s">
        <v>168</v>
      </c>
      <c r="MBT6" s="137">
        <v>1</v>
      </c>
      <c r="MBU6" s="137">
        <v>167.32</v>
      </c>
      <c r="MBV6" s="181" t="s">
        <v>817</v>
      </c>
      <c r="MBW6" s="545" t="s">
        <v>816</v>
      </c>
      <c r="MBX6" s="545"/>
      <c r="MBY6" s="545"/>
      <c r="MBZ6" s="545"/>
      <c r="MCA6" s="136" t="s">
        <v>168</v>
      </c>
      <c r="MCB6" s="137">
        <v>1</v>
      </c>
      <c r="MCC6" s="137">
        <v>167.32</v>
      </c>
      <c r="MCD6" s="181" t="s">
        <v>817</v>
      </c>
      <c r="MCE6" s="545" t="s">
        <v>816</v>
      </c>
      <c r="MCF6" s="545"/>
      <c r="MCG6" s="545"/>
      <c r="MCH6" s="545"/>
      <c r="MCI6" s="136" t="s">
        <v>168</v>
      </c>
      <c r="MCJ6" s="137">
        <v>1</v>
      </c>
      <c r="MCK6" s="137">
        <v>167.32</v>
      </c>
      <c r="MCL6" s="181" t="s">
        <v>817</v>
      </c>
      <c r="MCM6" s="545" t="s">
        <v>816</v>
      </c>
      <c r="MCN6" s="545"/>
      <c r="MCO6" s="545"/>
      <c r="MCP6" s="545"/>
      <c r="MCQ6" s="136" t="s">
        <v>168</v>
      </c>
      <c r="MCR6" s="137">
        <v>1</v>
      </c>
      <c r="MCS6" s="137">
        <v>167.32</v>
      </c>
      <c r="MCT6" s="181" t="s">
        <v>817</v>
      </c>
      <c r="MCU6" s="545" t="s">
        <v>816</v>
      </c>
      <c r="MCV6" s="545"/>
      <c r="MCW6" s="545"/>
      <c r="MCX6" s="545"/>
      <c r="MCY6" s="136" t="s">
        <v>168</v>
      </c>
      <c r="MCZ6" s="137">
        <v>1</v>
      </c>
      <c r="MDA6" s="137">
        <v>167.32</v>
      </c>
      <c r="MDB6" s="181" t="s">
        <v>817</v>
      </c>
      <c r="MDC6" s="545" t="s">
        <v>816</v>
      </c>
      <c r="MDD6" s="545"/>
      <c r="MDE6" s="545"/>
      <c r="MDF6" s="545"/>
      <c r="MDG6" s="136" t="s">
        <v>168</v>
      </c>
      <c r="MDH6" s="137">
        <v>1</v>
      </c>
      <c r="MDI6" s="137">
        <v>167.32</v>
      </c>
      <c r="MDJ6" s="181" t="s">
        <v>817</v>
      </c>
      <c r="MDK6" s="545" t="s">
        <v>816</v>
      </c>
      <c r="MDL6" s="545"/>
      <c r="MDM6" s="545"/>
      <c r="MDN6" s="545"/>
      <c r="MDO6" s="136" t="s">
        <v>168</v>
      </c>
      <c r="MDP6" s="137">
        <v>1</v>
      </c>
      <c r="MDQ6" s="137">
        <v>167.32</v>
      </c>
      <c r="MDR6" s="181" t="s">
        <v>817</v>
      </c>
      <c r="MDS6" s="545" t="s">
        <v>816</v>
      </c>
      <c r="MDT6" s="545"/>
      <c r="MDU6" s="545"/>
      <c r="MDV6" s="545"/>
      <c r="MDW6" s="136" t="s">
        <v>168</v>
      </c>
      <c r="MDX6" s="137">
        <v>1</v>
      </c>
      <c r="MDY6" s="137">
        <v>167.32</v>
      </c>
      <c r="MDZ6" s="181" t="s">
        <v>817</v>
      </c>
      <c r="MEA6" s="545" t="s">
        <v>816</v>
      </c>
      <c r="MEB6" s="545"/>
      <c r="MEC6" s="545"/>
      <c r="MED6" s="545"/>
      <c r="MEE6" s="136" t="s">
        <v>168</v>
      </c>
      <c r="MEF6" s="137">
        <v>1</v>
      </c>
      <c r="MEG6" s="137">
        <v>167.32</v>
      </c>
      <c r="MEH6" s="181" t="s">
        <v>817</v>
      </c>
      <c r="MEI6" s="545" t="s">
        <v>816</v>
      </c>
      <c r="MEJ6" s="545"/>
      <c r="MEK6" s="545"/>
      <c r="MEL6" s="545"/>
      <c r="MEM6" s="136" t="s">
        <v>168</v>
      </c>
      <c r="MEN6" s="137">
        <v>1</v>
      </c>
      <c r="MEO6" s="137">
        <v>167.32</v>
      </c>
      <c r="MEP6" s="181" t="s">
        <v>817</v>
      </c>
      <c r="MEQ6" s="545" t="s">
        <v>816</v>
      </c>
      <c r="MER6" s="545"/>
      <c r="MES6" s="545"/>
      <c r="MET6" s="545"/>
      <c r="MEU6" s="136" t="s">
        <v>168</v>
      </c>
      <c r="MEV6" s="137">
        <v>1</v>
      </c>
      <c r="MEW6" s="137">
        <v>167.32</v>
      </c>
      <c r="MEX6" s="181" t="s">
        <v>817</v>
      </c>
      <c r="MEY6" s="545" t="s">
        <v>816</v>
      </c>
      <c r="MEZ6" s="545"/>
      <c r="MFA6" s="545"/>
      <c r="MFB6" s="545"/>
      <c r="MFC6" s="136" t="s">
        <v>168</v>
      </c>
      <c r="MFD6" s="137">
        <v>1</v>
      </c>
      <c r="MFE6" s="137">
        <v>167.32</v>
      </c>
      <c r="MFF6" s="181" t="s">
        <v>817</v>
      </c>
      <c r="MFG6" s="545" t="s">
        <v>816</v>
      </c>
      <c r="MFH6" s="545"/>
      <c r="MFI6" s="545"/>
      <c r="MFJ6" s="545"/>
      <c r="MFK6" s="136" t="s">
        <v>168</v>
      </c>
      <c r="MFL6" s="137">
        <v>1</v>
      </c>
      <c r="MFM6" s="137">
        <v>167.32</v>
      </c>
      <c r="MFN6" s="181" t="s">
        <v>817</v>
      </c>
      <c r="MFO6" s="545" t="s">
        <v>816</v>
      </c>
      <c r="MFP6" s="545"/>
      <c r="MFQ6" s="545"/>
      <c r="MFR6" s="545"/>
      <c r="MFS6" s="136" t="s">
        <v>168</v>
      </c>
      <c r="MFT6" s="137">
        <v>1</v>
      </c>
      <c r="MFU6" s="137">
        <v>167.32</v>
      </c>
      <c r="MFV6" s="181" t="s">
        <v>817</v>
      </c>
      <c r="MFW6" s="545" t="s">
        <v>816</v>
      </c>
      <c r="MFX6" s="545"/>
      <c r="MFY6" s="545"/>
      <c r="MFZ6" s="545"/>
      <c r="MGA6" s="136" t="s">
        <v>168</v>
      </c>
      <c r="MGB6" s="137">
        <v>1</v>
      </c>
      <c r="MGC6" s="137">
        <v>167.32</v>
      </c>
      <c r="MGD6" s="181" t="s">
        <v>817</v>
      </c>
      <c r="MGE6" s="545" t="s">
        <v>816</v>
      </c>
      <c r="MGF6" s="545"/>
      <c r="MGG6" s="545"/>
      <c r="MGH6" s="545"/>
      <c r="MGI6" s="136" t="s">
        <v>168</v>
      </c>
      <c r="MGJ6" s="137">
        <v>1</v>
      </c>
      <c r="MGK6" s="137">
        <v>167.32</v>
      </c>
      <c r="MGL6" s="181" t="s">
        <v>817</v>
      </c>
      <c r="MGM6" s="545" t="s">
        <v>816</v>
      </c>
      <c r="MGN6" s="545"/>
      <c r="MGO6" s="545"/>
      <c r="MGP6" s="545"/>
      <c r="MGQ6" s="136" t="s">
        <v>168</v>
      </c>
      <c r="MGR6" s="137">
        <v>1</v>
      </c>
      <c r="MGS6" s="137">
        <v>167.32</v>
      </c>
      <c r="MGT6" s="181" t="s">
        <v>817</v>
      </c>
      <c r="MGU6" s="545" t="s">
        <v>816</v>
      </c>
      <c r="MGV6" s="545"/>
      <c r="MGW6" s="545"/>
      <c r="MGX6" s="545"/>
      <c r="MGY6" s="136" t="s">
        <v>168</v>
      </c>
      <c r="MGZ6" s="137">
        <v>1</v>
      </c>
      <c r="MHA6" s="137">
        <v>167.32</v>
      </c>
      <c r="MHB6" s="181" t="s">
        <v>817</v>
      </c>
      <c r="MHC6" s="545" t="s">
        <v>816</v>
      </c>
      <c r="MHD6" s="545"/>
      <c r="MHE6" s="545"/>
      <c r="MHF6" s="545"/>
      <c r="MHG6" s="136" t="s">
        <v>168</v>
      </c>
      <c r="MHH6" s="137">
        <v>1</v>
      </c>
      <c r="MHI6" s="137">
        <v>167.32</v>
      </c>
      <c r="MHJ6" s="181" t="s">
        <v>817</v>
      </c>
      <c r="MHK6" s="545" t="s">
        <v>816</v>
      </c>
      <c r="MHL6" s="545"/>
      <c r="MHM6" s="545"/>
      <c r="MHN6" s="545"/>
      <c r="MHO6" s="136" t="s">
        <v>168</v>
      </c>
      <c r="MHP6" s="137">
        <v>1</v>
      </c>
      <c r="MHQ6" s="137">
        <v>167.32</v>
      </c>
      <c r="MHR6" s="181" t="s">
        <v>817</v>
      </c>
      <c r="MHS6" s="545" t="s">
        <v>816</v>
      </c>
      <c r="MHT6" s="545"/>
      <c r="MHU6" s="545"/>
      <c r="MHV6" s="545"/>
      <c r="MHW6" s="136" t="s">
        <v>168</v>
      </c>
      <c r="MHX6" s="137">
        <v>1</v>
      </c>
      <c r="MHY6" s="137">
        <v>167.32</v>
      </c>
      <c r="MHZ6" s="181" t="s">
        <v>817</v>
      </c>
      <c r="MIA6" s="545" t="s">
        <v>816</v>
      </c>
      <c r="MIB6" s="545"/>
      <c r="MIC6" s="545"/>
      <c r="MID6" s="545"/>
      <c r="MIE6" s="136" t="s">
        <v>168</v>
      </c>
      <c r="MIF6" s="137">
        <v>1</v>
      </c>
      <c r="MIG6" s="137">
        <v>167.32</v>
      </c>
      <c r="MIH6" s="181" t="s">
        <v>817</v>
      </c>
      <c r="MII6" s="545" t="s">
        <v>816</v>
      </c>
      <c r="MIJ6" s="545"/>
      <c r="MIK6" s="545"/>
      <c r="MIL6" s="545"/>
      <c r="MIM6" s="136" t="s">
        <v>168</v>
      </c>
      <c r="MIN6" s="137">
        <v>1</v>
      </c>
      <c r="MIO6" s="137">
        <v>167.32</v>
      </c>
      <c r="MIP6" s="181" t="s">
        <v>817</v>
      </c>
      <c r="MIQ6" s="545" t="s">
        <v>816</v>
      </c>
      <c r="MIR6" s="545"/>
      <c r="MIS6" s="545"/>
      <c r="MIT6" s="545"/>
      <c r="MIU6" s="136" t="s">
        <v>168</v>
      </c>
      <c r="MIV6" s="137">
        <v>1</v>
      </c>
      <c r="MIW6" s="137">
        <v>167.32</v>
      </c>
      <c r="MIX6" s="181" t="s">
        <v>817</v>
      </c>
      <c r="MIY6" s="545" t="s">
        <v>816</v>
      </c>
      <c r="MIZ6" s="545"/>
      <c r="MJA6" s="545"/>
      <c r="MJB6" s="545"/>
      <c r="MJC6" s="136" t="s">
        <v>168</v>
      </c>
      <c r="MJD6" s="137">
        <v>1</v>
      </c>
      <c r="MJE6" s="137">
        <v>167.32</v>
      </c>
      <c r="MJF6" s="181" t="s">
        <v>817</v>
      </c>
      <c r="MJG6" s="545" t="s">
        <v>816</v>
      </c>
      <c r="MJH6" s="545"/>
      <c r="MJI6" s="545"/>
      <c r="MJJ6" s="545"/>
      <c r="MJK6" s="136" t="s">
        <v>168</v>
      </c>
      <c r="MJL6" s="137">
        <v>1</v>
      </c>
      <c r="MJM6" s="137">
        <v>167.32</v>
      </c>
      <c r="MJN6" s="181" t="s">
        <v>817</v>
      </c>
      <c r="MJO6" s="545" t="s">
        <v>816</v>
      </c>
      <c r="MJP6" s="545"/>
      <c r="MJQ6" s="545"/>
      <c r="MJR6" s="545"/>
      <c r="MJS6" s="136" t="s">
        <v>168</v>
      </c>
      <c r="MJT6" s="137">
        <v>1</v>
      </c>
      <c r="MJU6" s="137">
        <v>167.32</v>
      </c>
      <c r="MJV6" s="181" t="s">
        <v>817</v>
      </c>
      <c r="MJW6" s="545" t="s">
        <v>816</v>
      </c>
      <c r="MJX6" s="545"/>
      <c r="MJY6" s="545"/>
      <c r="MJZ6" s="545"/>
      <c r="MKA6" s="136" t="s">
        <v>168</v>
      </c>
      <c r="MKB6" s="137">
        <v>1</v>
      </c>
      <c r="MKC6" s="137">
        <v>167.32</v>
      </c>
      <c r="MKD6" s="181" t="s">
        <v>817</v>
      </c>
      <c r="MKE6" s="545" t="s">
        <v>816</v>
      </c>
      <c r="MKF6" s="545"/>
      <c r="MKG6" s="545"/>
      <c r="MKH6" s="545"/>
      <c r="MKI6" s="136" t="s">
        <v>168</v>
      </c>
      <c r="MKJ6" s="137">
        <v>1</v>
      </c>
      <c r="MKK6" s="137">
        <v>167.32</v>
      </c>
      <c r="MKL6" s="181" t="s">
        <v>817</v>
      </c>
      <c r="MKM6" s="545" t="s">
        <v>816</v>
      </c>
      <c r="MKN6" s="545"/>
      <c r="MKO6" s="545"/>
      <c r="MKP6" s="545"/>
      <c r="MKQ6" s="136" t="s">
        <v>168</v>
      </c>
      <c r="MKR6" s="137">
        <v>1</v>
      </c>
      <c r="MKS6" s="137">
        <v>167.32</v>
      </c>
      <c r="MKT6" s="181" t="s">
        <v>817</v>
      </c>
      <c r="MKU6" s="545" t="s">
        <v>816</v>
      </c>
      <c r="MKV6" s="545"/>
      <c r="MKW6" s="545"/>
      <c r="MKX6" s="545"/>
      <c r="MKY6" s="136" t="s">
        <v>168</v>
      </c>
      <c r="MKZ6" s="137">
        <v>1</v>
      </c>
      <c r="MLA6" s="137">
        <v>167.32</v>
      </c>
      <c r="MLB6" s="181" t="s">
        <v>817</v>
      </c>
      <c r="MLC6" s="545" t="s">
        <v>816</v>
      </c>
      <c r="MLD6" s="545"/>
      <c r="MLE6" s="545"/>
      <c r="MLF6" s="545"/>
      <c r="MLG6" s="136" t="s">
        <v>168</v>
      </c>
      <c r="MLH6" s="137">
        <v>1</v>
      </c>
      <c r="MLI6" s="137">
        <v>167.32</v>
      </c>
      <c r="MLJ6" s="181" t="s">
        <v>817</v>
      </c>
      <c r="MLK6" s="545" t="s">
        <v>816</v>
      </c>
      <c r="MLL6" s="545"/>
      <c r="MLM6" s="545"/>
      <c r="MLN6" s="545"/>
      <c r="MLO6" s="136" t="s">
        <v>168</v>
      </c>
      <c r="MLP6" s="137">
        <v>1</v>
      </c>
      <c r="MLQ6" s="137">
        <v>167.32</v>
      </c>
      <c r="MLR6" s="181" t="s">
        <v>817</v>
      </c>
      <c r="MLS6" s="545" t="s">
        <v>816</v>
      </c>
      <c r="MLT6" s="545"/>
      <c r="MLU6" s="545"/>
      <c r="MLV6" s="545"/>
      <c r="MLW6" s="136" t="s">
        <v>168</v>
      </c>
      <c r="MLX6" s="137">
        <v>1</v>
      </c>
      <c r="MLY6" s="137">
        <v>167.32</v>
      </c>
      <c r="MLZ6" s="181" t="s">
        <v>817</v>
      </c>
      <c r="MMA6" s="545" t="s">
        <v>816</v>
      </c>
      <c r="MMB6" s="545"/>
      <c r="MMC6" s="545"/>
      <c r="MMD6" s="545"/>
      <c r="MME6" s="136" t="s">
        <v>168</v>
      </c>
      <c r="MMF6" s="137">
        <v>1</v>
      </c>
      <c r="MMG6" s="137">
        <v>167.32</v>
      </c>
      <c r="MMH6" s="181" t="s">
        <v>817</v>
      </c>
      <c r="MMI6" s="545" t="s">
        <v>816</v>
      </c>
      <c r="MMJ6" s="545"/>
      <c r="MMK6" s="545"/>
      <c r="MML6" s="545"/>
      <c r="MMM6" s="136" t="s">
        <v>168</v>
      </c>
      <c r="MMN6" s="137">
        <v>1</v>
      </c>
      <c r="MMO6" s="137">
        <v>167.32</v>
      </c>
      <c r="MMP6" s="181" t="s">
        <v>817</v>
      </c>
      <c r="MMQ6" s="545" t="s">
        <v>816</v>
      </c>
      <c r="MMR6" s="545"/>
      <c r="MMS6" s="545"/>
      <c r="MMT6" s="545"/>
      <c r="MMU6" s="136" t="s">
        <v>168</v>
      </c>
      <c r="MMV6" s="137">
        <v>1</v>
      </c>
      <c r="MMW6" s="137">
        <v>167.32</v>
      </c>
      <c r="MMX6" s="181" t="s">
        <v>817</v>
      </c>
      <c r="MMY6" s="545" t="s">
        <v>816</v>
      </c>
      <c r="MMZ6" s="545"/>
      <c r="MNA6" s="545"/>
      <c r="MNB6" s="545"/>
      <c r="MNC6" s="136" t="s">
        <v>168</v>
      </c>
      <c r="MND6" s="137">
        <v>1</v>
      </c>
      <c r="MNE6" s="137">
        <v>167.32</v>
      </c>
      <c r="MNF6" s="181" t="s">
        <v>817</v>
      </c>
      <c r="MNG6" s="545" t="s">
        <v>816</v>
      </c>
      <c r="MNH6" s="545"/>
      <c r="MNI6" s="545"/>
      <c r="MNJ6" s="545"/>
      <c r="MNK6" s="136" t="s">
        <v>168</v>
      </c>
      <c r="MNL6" s="137">
        <v>1</v>
      </c>
      <c r="MNM6" s="137">
        <v>167.32</v>
      </c>
      <c r="MNN6" s="181" t="s">
        <v>817</v>
      </c>
      <c r="MNO6" s="545" t="s">
        <v>816</v>
      </c>
      <c r="MNP6" s="545"/>
      <c r="MNQ6" s="545"/>
      <c r="MNR6" s="545"/>
      <c r="MNS6" s="136" t="s">
        <v>168</v>
      </c>
      <c r="MNT6" s="137">
        <v>1</v>
      </c>
      <c r="MNU6" s="137">
        <v>167.32</v>
      </c>
      <c r="MNV6" s="181" t="s">
        <v>817</v>
      </c>
      <c r="MNW6" s="545" t="s">
        <v>816</v>
      </c>
      <c r="MNX6" s="545"/>
      <c r="MNY6" s="545"/>
      <c r="MNZ6" s="545"/>
      <c r="MOA6" s="136" t="s">
        <v>168</v>
      </c>
      <c r="MOB6" s="137">
        <v>1</v>
      </c>
      <c r="MOC6" s="137">
        <v>167.32</v>
      </c>
      <c r="MOD6" s="181" t="s">
        <v>817</v>
      </c>
      <c r="MOE6" s="545" t="s">
        <v>816</v>
      </c>
      <c r="MOF6" s="545"/>
      <c r="MOG6" s="545"/>
      <c r="MOH6" s="545"/>
      <c r="MOI6" s="136" t="s">
        <v>168</v>
      </c>
      <c r="MOJ6" s="137">
        <v>1</v>
      </c>
      <c r="MOK6" s="137">
        <v>167.32</v>
      </c>
      <c r="MOL6" s="181" t="s">
        <v>817</v>
      </c>
      <c r="MOM6" s="545" t="s">
        <v>816</v>
      </c>
      <c r="MON6" s="545"/>
      <c r="MOO6" s="545"/>
      <c r="MOP6" s="545"/>
      <c r="MOQ6" s="136" t="s">
        <v>168</v>
      </c>
      <c r="MOR6" s="137">
        <v>1</v>
      </c>
      <c r="MOS6" s="137">
        <v>167.32</v>
      </c>
      <c r="MOT6" s="181" t="s">
        <v>817</v>
      </c>
      <c r="MOU6" s="545" t="s">
        <v>816</v>
      </c>
      <c r="MOV6" s="545"/>
      <c r="MOW6" s="545"/>
      <c r="MOX6" s="545"/>
      <c r="MOY6" s="136" t="s">
        <v>168</v>
      </c>
      <c r="MOZ6" s="137">
        <v>1</v>
      </c>
      <c r="MPA6" s="137">
        <v>167.32</v>
      </c>
      <c r="MPB6" s="181" t="s">
        <v>817</v>
      </c>
      <c r="MPC6" s="545" t="s">
        <v>816</v>
      </c>
      <c r="MPD6" s="545"/>
      <c r="MPE6" s="545"/>
      <c r="MPF6" s="545"/>
      <c r="MPG6" s="136" t="s">
        <v>168</v>
      </c>
      <c r="MPH6" s="137">
        <v>1</v>
      </c>
      <c r="MPI6" s="137">
        <v>167.32</v>
      </c>
      <c r="MPJ6" s="181" t="s">
        <v>817</v>
      </c>
      <c r="MPK6" s="545" t="s">
        <v>816</v>
      </c>
      <c r="MPL6" s="545"/>
      <c r="MPM6" s="545"/>
      <c r="MPN6" s="545"/>
      <c r="MPO6" s="136" t="s">
        <v>168</v>
      </c>
      <c r="MPP6" s="137">
        <v>1</v>
      </c>
      <c r="MPQ6" s="137">
        <v>167.32</v>
      </c>
      <c r="MPR6" s="181" t="s">
        <v>817</v>
      </c>
      <c r="MPS6" s="545" t="s">
        <v>816</v>
      </c>
      <c r="MPT6" s="545"/>
      <c r="MPU6" s="545"/>
      <c r="MPV6" s="545"/>
      <c r="MPW6" s="136" t="s">
        <v>168</v>
      </c>
      <c r="MPX6" s="137">
        <v>1</v>
      </c>
      <c r="MPY6" s="137">
        <v>167.32</v>
      </c>
      <c r="MPZ6" s="181" t="s">
        <v>817</v>
      </c>
      <c r="MQA6" s="545" t="s">
        <v>816</v>
      </c>
      <c r="MQB6" s="545"/>
      <c r="MQC6" s="545"/>
      <c r="MQD6" s="545"/>
      <c r="MQE6" s="136" t="s">
        <v>168</v>
      </c>
      <c r="MQF6" s="137">
        <v>1</v>
      </c>
      <c r="MQG6" s="137">
        <v>167.32</v>
      </c>
      <c r="MQH6" s="181" t="s">
        <v>817</v>
      </c>
      <c r="MQI6" s="545" t="s">
        <v>816</v>
      </c>
      <c r="MQJ6" s="545"/>
      <c r="MQK6" s="545"/>
      <c r="MQL6" s="545"/>
      <c r="MQM6" s="136" t="s">
        <v>168</v>
      </c>
      <c r="MQN6" s="137">
        <v>1</v>
      </c>
      <c r="MQO6" s="137">
        <v>167.32</v>
      </c>
      <c r="MQP6" s="181" t="s">
        <v>817</v>
      </c>
      <c r="MQQ6" s="545" t="s">
        <v>816</v>
      </c>
      <c r="MQR6" s="545"/>
      <c r="MQS6" s="545"/>
      <c r="MQT6" s="545"/>
      <c r="MQU6" s="136" t="s">
        <v>168</v>
      </c>
      <c r="MQV6" s="137">
        <v>1</v>
      </c>
      <c r="MQW6" s="137">
        <v>167.32</v>
      </c>
      <c r="MQX6" s="181" t="s">
        <v>817</v>
      </c>
      <c r="MQY6" s="545" t="s">
        <v>816</v>
      </c>
      <c r="MQZ6" s="545"/>
      <c r="MRA6" s="545"/>
      <c r="MRB6" s="545"/>
      <c r="MRC6" s="136" t="s">
        <v>168</v>
      </c>
      <c r="MRD6" s="137">
        <v>1</v>
      </c>
      <c r="MRE6" s="137">
        <v>167.32</v>
      </c>
      <c r="MRF6" s="181" t="s">
        <v>817</v>
      </c>
      <c r="MRG6" s="545" t="s">
        <v>816</v>
      </c>
      <c r="MRH6" s="545"/>
      <c r="MRI6" s="545"/>
      <c r="MRJ6" s="545"/>
      <c r="MRK6" s="136" t="s">
        <v>168</v>
      </c>
      <c r="MRL6" s="137">
        <v>1</v>
      </c>
      <c r="MRM6" s="137">
        <v>167.32</v>
      </c>
      <c r="MRN6" s="181" t="s">
        <v>817</v>
      </c>
      <c r="MRO6" s="545" t="s">
        <v>816</v>
      </c>
      <c r="MRP6" s="545"/>
      <c r="MRQ6" s="545"/>
      <c r="MRR6" s="545"/>
      <c r="MRS6" s="136" t="s">
        <v>168</v>
      </c>
      <c r="MRT6" s="137">
        <v>1</v>
      </c>
      <c r="MRU6" s="137">
        <v>167.32</v>
      </c>
      <c r="MRV6" s="181" t="s">
        <v>817</v>
      </c>
      <c r="MRW6" s="545" t="s">
        <v>816</v>
      </c>
      <c r="MRX6" s="545"/>
      <c r="MRY6" s="545"/>
      <c r="MRZ6" s="545"/>
      <c r="MSA6" s="136" t="s">
        <v>168</v>
      </c>
      <c r="MSB6" s="137">
        <v>1</v>
      </c>
      <c r="MSC6" s="137">
        <v>167.32</v>
      </c>
      <c r="MSD6" s="181" t="s">
        <v>817</v>
      </c>
      <c r="MSE6" s="545" t="s">
        <v>816</v>
      </c>
      <c r="MSF6" s="545"/>
      <c r="MSG6" s="545"/>
      <c r="MSH6" s="545"/>
      <c r="MSI6" s="136" t="s">
        <v>168</v>
      </c>
      <c r="MSJ6" s="137">
        <v>1</v>
      </c>
      <c r="MSK6" s="137">
        <v>167.32</v>
      </c>
      <c r="MSL6" s="181" t="s">
        <v>817</v>
      </c>
      <c r="MSM6" s="545" t="s">
        <v>816</v>
      </c>
      <c r="MSN6" s="545"/>
      <c r="MSO6" s="545"/>
      <c r="MSP6" s="545"/>
      <c r="MSQ6" s="136" t="s">
        <v>168</v>
      </c>
      <c r="MSR6" s="137">
        <v>1</v>
      </c>
      <c r="MSS6" s="137">
        <v>167.32</v>
      </c>
      <c r="MST6" s="181" t="s">
        <v>817</v>
      </c>
      <c r="MSU6" s="545" t="s">
        <v>816</v>
      </c>
      <c r="MSV6" s="545"/>
      <c r="MSW6" s="545"/>
      <c r="MSX6" s="545"/>
      <c r="MSY6" s="136" t="s">
        <v>168</v>
      </c>
      <c r="MSZ6" s="137">
        <v>1</v>
      </c>
      <c r="MTA6" s="137">
        <v>167.32</v>
      </c>
      <c r="MTB6" s="181" t="s">
        <v>817</v>
      </c>
      <c r="MTC6" s="545" t="s">
        <v>816</v>
      </c>
      <c r="MTD6" s="545"/>
      <c r="MTE6" s="545"/>
      <c r="MTF6" s="545"/>
      <c r="MTG6" s="136" t="s">
        <v>168</v>
      </c>
      <c r="MTH6" s="137">
        <v>1</v>
      </c>
      <c r="MTI6" s="137">
        <v>167.32</v>
      </c>
      <c r="MTJ6" s="181" t="s">
        <v>817</v>
      </c>
      <c r="MTK6" s="545" t="s">
        <v>816</v>
      </c>
      <c r="MTL6" s="545"/>
      <c r="MTM6" s="545"/>
      <c r="MTN6" s="545"/>
      <c r="MTO6" s="136" t="s">
        <v>168</v>
      </c>
      <c r="MTP6" s="137">
        <v>1</v>
      </c>
      <c r="MTQ6" s="137">
        <v>167.32</v>
      </c>
      <c r="MTR6" s="181" t="s">
        <v>817</v>
      </c>
      <c r="MTS6" s="545" t="s">
        <v>816</v>
      </c>
      <c r="MTT6" s="545"/>
      <c r="MTU6" s="545"/>
      <c r="MTV6" s="545"/>
      <c r="MTW6" s="136" t="s">
        <v>168</v>
      </c>
      <c r="MTX6" s="137">
        <v>1</v>
      </c>
      <c r="MTY6" s="137">
        <v>167.32</v>
      </c>
      <c r="MTZ6" s="181" t="s">
        <v>817</v>
      </c>
      <c r="MUA6" s="545" t="s">
        <v>816</v>
      </c>
      <c r="MUB6" s="545"/>
      <c r="MUC6" s="545"/>
      <c r="MUD6" s="545"/>
      <c r="MUE6" s="136" t="s">
        <v>168</v>
      </c>
      <c r="MUF6" s="137">
        <v>1</v>
      </c>
      <c r="MUG6" s="137">
        <v>167.32</v>
      </c>
      <c r="MUH6" s="181" t="s">
        <v>817</v>
      </c>
      <c r="MUI6" s="545" t="s">
        <v>816</v>
      </c>
      <c r="MUJ6" s="545"/>
      <c r="MUK6" s="545"/>
      <c r="MUL6" s="545"/>
      <c r="MUM6" s="136" t="s">
        <v>168</v>
      </c>
      <c r="MUN6" s="137">
        <v>1</v>
      </c>
      <c r="MUO6" s="137">
        <v>167.32</v>
      </c>
      <c r="MUP6" s="181" t="s">
        <v>817</v>
      </c>
      <c r="MUQ6" s="545" t="s">
        <v>816</v>
      </c>
      <c r="MUR6" s="545"/>
      <c r="MUS6" s="545"/>
      <c r="MUT6" s="545"/>
      <c r="MUU6" s="136" t="s">
        <v>168</v>
      </c>
      <c r="MUV6" s="137">
        <v>1</v>
      </c>
      <c r="MUW6" s="137">
        <v>167.32</v>
      </c>
      <c r="MUX6" s="181" t="s">
        <v>817</v>
      </c>
      <c r="MUY6" s="545" t="s">
        <v>816</v>
      </c>
      <c r="MUZ6" s="545"/>
      <c r="MVA6" s="545"/>
      <c r="MVB6" s="545"/>
      <c r="MVC6" s="136" t="s">
        <v>168</v>
      </c>
      <c r="MVD6" s="137">
        <v>1</v>
      </c>
      <c r="MVE6" s="137">
        <v>167.32</v>
      </c>
      <c r="MVF6" s="181" t="s">
        <v>817</v>
      </c>
      <c r="MVG6" s="545" t="s">
        <v>816</v>
      </c>
      <c r="MVH6" s="545"/>
      <c r="MVI6" s="545"/>
      <c r="MVJ6" s="545"/>
      <c r="MVK6" s="136" t="s">
        <v>168</v>
      </c>
      <c r="MVL6" s="137">
        <v>1</v>
      </c>
      <c r="MVM6" s="137">
        <v>167.32</v>
      </c>
      <c r="MVN6" s="181" t="s">
        <v>817</v>
      </c>
      <c r="MVO6" s="545" t="s">
        <v>816</v>
      </c>
      <c r="MVP6" s="545"/>
      <c r="MVQ6" s="545"/>
      <c r="MVR6" s="545"/>
      <c r="MVS6" s="136" t="s">
        <v>168</v>
      </c>
      <c r="MVT6" s="137">
        <v>1</v>
      </c>
      <c r="MVU6" s="137">
        <v>167.32</v>
      </c>
      <c r="MVV6" s="181" t="s">
        <v>817</v>
      </c>
      <c r="MVW6" s="545" t="s">
        <v>816</v>
      </c>
      <c r="MVX6" s="545"/>
      <c r="MVY6" s="545"/>
      <c r="MVZ6" s="545"/>
      <c r="MWA6" s="136" t="s">
        <v>168</v>
      </c>
      <c r="MWB6" s="137">
        <v>1</v>
      </c>
      <c r="MWC6" s="137">
        <v>167.32</v>
      </c>
      <c r="MWD6" s="181" t="s">
        <v>817</v>
      </c>
      <c r="MWE6" s="545" t="s">
        <v>816</v>
      </c>
      <c r="MWF6" s="545"/>
      <c r="MWG6" s="545"/>
      <c r="MWH6" s="545"/>
      <c r="MWI6" s="136" t="s">
        <v>168</v>
      </c>
      <c r="MWJ6" s="137">
        <v>1</v>
      </c>
      <c r="MWK6" s="137">
        <v>167.32</v>
      </c>
      <c r="MWL6" s="181" t="s">
        <v>817</v>
      </c>
      <c r="MWM6" s="545" t="s">
        <v>816</v>
      </c>
      <c r="MWN6" s="545"/>
      <c r="MWO6" s="545"/>
      <c r="MWP6" s="545"/>
      <c r="MWQ6" s="136" t="s">
        <v>168</v>
      </c>
      <c r="MWR6" s="137">
        <v>1</v>
      </c>
      <c r="MWS6" s="137">
        <v>167.32</v>
      </c>
      <c r="MWT6" s="181" t="s">
        <v>817</v>
      </c>
      <c r="MWU6" s="545" t="s">
        <v>816</v>
      </c>
      <c r="MWV6" s="545"/>
      <c r="MWW6" s="545"/>
      <c r="MWX6" s="545"/>
      <c r="MWY6" s="136" t="s">
        <v>168</v>
      </c>
      <c r="MWZ6" s="137">
        <v>1</v>
      </c>
      <c r="MXA6" s="137">
        <v>167.32</v>
      </c>
      <c r="MXB6" s="181" t="s">
        <v>817</v>
      </c>
      <c r="MXC6" s="545" t="s">
        <v>816</v>
      </c>
      <c r="MXD6" s="545"/>
      <c r="MXE6" s="545"/>
      <c r="MXF6" s="545"/>
      <c r="MXG6" s="136" t="s">
        <v>168</v>
      </c>
      <c r="MXH6" s="137">
        <v>1</v>
      </c>
      <c r="MXI6" s="137">
        <v>167.32</v>
      </c>
      <c r="MXJ6" s="181" t="s">
        <v>817</v>
      </c>
      <c r="MXK6" s="545" t="s">
        <v>816</v>
      </c>
      <c r="MXL6" s="545"/>
      <c r="MXM6" s="545"/>
      <c r="MXN6" s="545"/>
      <c r="MXO6" s="136" t="s">
        <v>168</v>
      </c>
      <c r="MXP6" s="137">
        <v>1</v>
      </c>
      <c r="MXQ6" s="137">
        <v>167.32</v>
      </c>
      <c r="MXR6" s="181" t="s">
        <v>817</v>
      </c>
      <c r="MXS6" s="545" t="s">
        <v>816</v>
      </c>
      <c r="MXT6" s="545"/>
      <c r="MXU6" s="545"/>
      <c r="MXV6" s="545"/>
      <c r="MXW6" s="136" t="s">
        <v>168</v>
      </c>
      <c r="MXX6" s="137">
        <v>1</v>
      </c>
      <c r="MXY6" s="137">
        <v>167.32</v>
      </c>
      <c r="MXZ6" s="181" t="s">
        <v>817</v>
      </c>
      <c r="MYA6" s="545" t="s">
        <v>816</v>
      </c>
      <c r="MYB6" s="545"/>
      <c r="MYC6" s="545"/>
      <c r="MYD6" s="545"/>
      <c r="MYE6" s="136" t="s">
        <v>168</v>
      </c>
      <c r="MYF6" s="137">
        <v>1</v>
      </c>
      <c r="MYG6" s="137">
        <v>167.32</v>
      </c>
      <c r="MYH6" s="181" t="s">
        <v>817</v>
      </c>
      <c r="MYI6" s="545" t="s">
        <v>816</v>
      </c>
      <c r="MYJ6" s="545"/>
      <c r="MYK6" s="545"/>
      <c r="MYL6" s="545"/>
      <c r="MYM6" s="136" t="s">
        <v>168</v>
      </c>
      <c r="MYN6" s="137">
        <v>1</v>
      </c>
      <c r="MYO6" s="137">
        <v>167.32</v>
      </c>
      <c r="MYP6" s="181" t="s">
        <v>817</v>
      </c>
      <c r="MYQ6" s="545" t="s">
        <v>816</v>
      </c>
      <c r="MYR6" s="545"/>
      <c r="MYS6" s="545"/>
      <c r="MYT6" s="545"/>
      <c r="MYU6" s="136" t="s">
        <v>168</v>
      </c>
      <c r="MYV6" s="137">
        <v>1</v>
      </c>
      <c r="MYW6" s="137">
        <v>167.32</v>
      </c>
      <c r="MYX6" s="181" t="s">
        <v>817</v>
      </c>
      <c r="MYY6" s="545" t="s">
        <v>816</v>
      </c>
      <c r="MYZ6" s="545"/>
      <c r="MZA6" s="545"/>
      <c r="MZB6" s="545"/>
      <c r="MZC6" s="136" t="s">
        <v>168</v>
      </c>
      <c r="MZD6" s="137">
        <v>1</v>
      </c>
      <c r="MZE6" s="137">
        <v>167.32</v>
      </c>
      <c r="MZF6" s="181" t="s">
        <v>817</v>
      </c>
      <c r="MZG6" s="545" t="s">
        <v>816</v>
      </c>
      <c r="MZH6" s="545"/>
      <c r="MZI6" s="545"/>
      <c r="MZJ6" s="545"/>
      <c r="MZK6" s="136" t="s">
        <v>168</v>
      </c>
      <c r="MZL6" s="137">
        <v>1</v>
      </c>
      <c r="MZM6" s="137">
        <v>167.32</v>
      </c>
      <c r="MZN6" s="181" t="s">
        <v>817</v>
      </c>
      <c r="MZO6" s="545" t="s">
        <v>816</v>
      </c>
      <c r="MZP6" s="545"/>
      <c r="MZQ6" s="545"/>
      <c r="MZR6" s="545"/>
      <c r="MZS6" s="136" t="s">
        <v>168</v>
      </c>
      <c r="MZT6" s="137">
        <v>1</v>
      </c>
      <c r="MZU6" s="137">
        <v>167.32</v>
      </c>
      <c r="MZV6" s="181" t="s">
        <v>817</v>
      </c>
      <c r="MZW6" s="545" t="s">
        <v>816</v>
      </c>
      <c r="MZX6" s="545"/>
      <c r="MZY6" s="545"/>
      <c r="MZZ6" s="545"/>
      <c r="NAA6" s="136" t="s">
        <v>168</v>
      </c>
      <c r="NAB6" s="137">
        <v>1</v>
      </c>
      <c r="NAC6" s="137">
        <v>167.32</v>
      </c>
      <c r="NAD6" s="181" t="s">
        <v>817</v>
      </c>
      <c r="NAE6" s="545" t="s">
        <v>816</v>
      </c>
      <c r="NAF6" s="545"/>
      <c r="NAG6" s="545"/>
      <c r="NAH6" s="545"/>
      <c r="NAI6" s="136" t="s">
        <v>168</v>
      </c>
      <c r="NAJ6" s="137">
        <v>1</v>
      </c>
      <c r="NAK6" s="137">
        <v>167.32</v>
      </c>
      <c r="NAL6" s="181" t="s">
        <v>817</v>
      </c>
      <c r="NAM6" s="545" t="s">
        <v>816</v>
      </c>
      <c r="NAN6" s="545"/>
      <c r="NAO6" s="545"/>
      <c r="NAP6" s="545"/>
      <c r="NAQ6" s="136" t="s">
        <v>168</v>
      </c>
      <c r="NAR6" s="137">
        <v>1</v>
      </c>
      <c r="NAS6" s="137">
        <v>167.32</v>
      </c>
      <c r="NAT6" s="181" t="s">
        <v>817</v>
      </c>
      <c r="NAU6" s="545" t="s">
        <v>816</v>
      </c>
      <c r="NAV6" s="545"/>
      <c r="NAW6" s="545"/>
      <c r="NAX6" s="545"/>
      <c r="NAY6" s="136" t="s">
        <v>168</v>
      </c>
      <c r="NAZ6" s="137">
        <v>1</v>
      </c>
      <c r="NBA6" s="137">
        <v>167.32</v>
      </c>
      <c r="NBB6" s="181" t="s">
        <v>817</v>
      </c>
      <c r="NBC6" s="545" t="s">
        <v>816</v>
      </c>
      <c r="NBD6" s="545"/>
      <c r="NBE6" s="545"/>
      <c r="NBF6" s="545"/>
      <c r="NBG6" s="136" t="s">
        <v>168</v>
      </c>
      <c r="NBH6" s="137">
        <v>1</v>
      </c>
      <c r="NBI6" s="137">
        <v>167.32</v>
      </c>
      <c r="NBJ6" s="181" t="s">
        <v>817</v>
      </c>
      <c r="NBK6" s="545" t="s">
        <v>816</v>
      </c>
      <c r="NBL6" s="545"/>
      <c r="NBM6" s="545"/>
      <c r="NBN6" s="545"/>
      <c r="NBO6" s="136" t="s">
        <v>168</v>
      </c>
      <c r="NBP6" s="137">
        <v>1</v>
      </c>
      <c r="NBQ6" s="137">
        <v>167.32</v>
      </c>
      <c r="NBR6" s="181" t="s">
        <v>817</v>
      </c>
      <c r="NBS6" s="545" t="s">
        <v>816</v>
      </c>
      <c r="NBT6" s="545"/>
      <c r="NBU6" s="545"/>
      <c r="NBV6" s="545"/>
      <c r="NBW6" s="136" t="s">
        <v>168</v>
      </c>
      <c r="NBX6" s="137">
        <v>1</v>
      </c>
      <c r="NBY6" s="137">
        <v>167.32</v>
      </c>
      <c r="NBZ6" s="181" t="s">
        <v>817</v>
      </c>
      <c r="NCA6" s="545" t="s">
        <v>816</v>
      </c>
      <c r="NCB6" s="545"/>
      <c r="NCC6" s="545"/>
      <c r="NCD6" s="545"/>
      <c r="NCE6" s="136" t="s">
        <v>168</v>
      </c>
      <c r="NCF6" s="137">
        <v>1</v>
      </c>
      <c r="NCG6" s="137">
        <v>167.32</v>
      </c>
      <c r="NCH6" s="181" t="s">
        <v>817</v>
      </c>
      <c r="NCI6" s="545" t="s">
        <v>816</v>
      </c>
      <c r="NCJ6" s="545"/>
      <c r="NCK6" s="545"/>
      <c r="NCL6" s="545"/>
      <c r="NCM6" s="136" t="s">
        <v>168</v>
      </c>
      <c r="NCN6" s="137">
        <v>1</v>
      </c>
      <c r="NCO6" s="137">
        <v>167.32</v>
      </c>
      <c r="NCP6" s="181" t="s">
        <v>817</v>
      </c>
      <c r="NCQ6" s="545" t="s">
        <v>816</v>
      </c>
      <c r="NCR6" s="545"/>
      <c r="NCS6" s="545"/>
      <c r="NCT6" s="545"/>
      <c r="NCU6" s="136" t="s">
        <v>168</v>
      </c>
      <c r="NCV6" s="137">
        <v>1</v>
      </c>
      <c r="NCW6" s="137">
        <v>167.32</v>
      </c>
      <c r="NCX6" s="181" t="s">
        <v>817</v>
      </c>
      <c r="NCY6" s="545" t="s">
        <v>816</v>
      </c>
      <c r="NCZ6" s="545"/>
      <c r="NDA6" s="545"/>
      <c r="NDB6" s="545"/>
      <c r="NDC6" s="136" t="s">
        <v>168</v>
      </c>
      <c r="NDD6" s="137">
        <v>1</v>
      </c>
      <c r="NDE6" s="137">
        <v>167.32</v>
      </c>
      <c r="NDF6" s="181" t="s">
        <v>817</v>
      </c>
      <c r="NDG6" s="545" t="s">
        <v>816</v>
      </c>
      <c r="NDH6" s="545"/>
      <c r="NDI6" s="545"/>
      <c r="NDJ6" s="545"/>
      <c r="NDK6" s="136" t="s">
        <v>168</v>
      </c>
      <c r="NDL6" s="137">
        <v>1</v>
      </c>
      <c r="NDM6" s="137">
        <v>167.32</v>
      </c>
      <c r="NDN6" s="181" t="s">
        <v>817</v>
      </c>
      <c r="NDO6" s="545" t="s">
        <v>816</v>
      </c>
      <c r="NDP6" s="545"/>
      <c r="NDQ6" s="545"/>
      <c r="NDR6" s="545"/>
      <c r="NDS6" s="136" t="s">
        <v>168</v>
      </c>
      <c r="NDT6" s="137">
        <v>1</v>
      </c>
      <c r="NDU6" s="137">
        <v>167.32</v>
      </c>
      <c r="NDV6" s="181" t="s">
        <v>817</v>
      </c>
      <c r="NDW6" s="545" t="s">
        <v>816</v>
      </c>
      <c r="NDX6" s="545"/>
      <c r="NDY6" s="545"/>
      <c r="NDZ6" s="545"/>
      <c r="NEA6" s="136" t="s">
        <v>168</v>
      </c>
      <c r="NEB6" s="137">
        <v>1</v>
      </c>
      <c r="NEC6" s="137">
        <v>167.32</v>
      </c>
      <c r="NED6" s="181" t="s">
        <v>817</v>
      </c>
      <c r="NEE6" s="545" t="s">
        <v>816</v>
      </c>
      <c r="NEF6" s="545"/>
      <c r="NEG6" s="545"/>
      <c r="NEH6" s="545"/>
      <c r="NEI6" s="136" t="s">
        <v>168</v>
      </c>
      <c r="NEJ6" s="137">
        <v>1</v>
      </c>
      <c r="NEK6" s="137">
        <v>167.32</v>
      </c>
      <c r="NEL6" s="181" t="s">
        <v>817</v>
      </c>
      <c r="NEM6" s="545" t="s">
        <v>816</v>
      </c>
      <c r="NEN6" s="545"/>
      <c r="NEO6" s="545"/>
      <c r="NEP6" s="545"/>
      <c r="NEQ6" s="136" t="s">
        <v>168</v>
      </c>
      <c r="NER6" s="137">
        <v>1</v>
      </c>
      <c r="NES6" s="137">
        <v>167.32</v>
      </c>
      <c r="NET6" s="181" t="s">
        <v>817</v>
      </c>
      <c r="NEU6" s="545" t="s">
        <v>816</v>
      </c>
      <c r="NEV6" s="545"/>
      <c r="NEW6" s="545"/>
      <c r="NEX6" s="545"/>
      <c r="NEY6" s="136" t="s">
        <v>168</v>
      </c>
      <c r="NEZ6" s="137">
        <v>1</v>
      </c>
      <c r="NFA6" s="137">
        <v>167.32</v>
      </c>
      <c r="NFB6" s="181" t="s">
        <v>817</v>
      </c>
      <c r="NFC6" s="545" t="s">
        <v>816</v>
      </c>
      <c r="NFD6" s="545"/>
      <c r="NFE6" s="545"/>
      <c r="NFF6" s="545"/>
      <c r="NFG6" s="136" t="s">
        <v>168</v>
      </c>
      <c r="NFH6" s="137">
        <v>1</v>
      </c>
      <c r="NFI6" s="137">
        <v>167.32</v>
      </c>
      <c r="NFJ6" s="181" t="s">
        <v>817</v>
      </c>
      <c r="NFK6" s="545" t="s">
        <v>816</v>
      </c>
      <c r="NFL6" s="545"/>
      <c r="NFM6" s="545"/>
      <c r="NFN6" s="545"/>
      <c r="NFO6" s="136" t="s">
        <v>168</v>
      </c>
      <c r="NFP6" s="137">
        <v>1</v>
      </c>
      <c r="NFQ6" s="137">
        <v>167.32</v>
      </c>
      <c r="NFR6" s="181" t="s">
        <v>817</v>
      </c>
      <c r="NFS6" s="545" t="s">
        <v>816</v>
      </c>
      <c r="NFT6" s="545"/>
      <c r="NFU6" s="545"/>
      <c r="NFV6" s="545"/>
      <c r="NFW6" s="136" t="s">
        <v>168</v>
      </c>
      <c r="NFX6" s="137">
        <v>1</v>
      </c>
      <c r="NFY6" s="137">
        <v>167.32</v>
      </c>
      <c r="NFZ6" s="181" t="s">
        <v>817</v>
      </c>
      <c r="NGA6" s="545" t="s">
        <v>816</v>
      </c>
      <c r="NGB6" s="545"/>
      <c r="NGC6" s="545"/>
      <c r="NGD6" s="545"/>
      <c r="NGE6" s="136" t="s">
        <v>168</v>
      </c>
      <c r="NGF6" s="137">
        <v>1</v>
      </c>
      <c r="NGG6" s="137">
        <v>167.32</v>
      </c>
      <c r="NGH6" s="181" t="s">
        <v>817</v>
      </c>
      <c r="NGI6" s="545" t="s">
        <v>816</v>
      </c>
      <c r="NGJ6" s="545"/>
      <c r="NGK6" s="545"/>
      <c r="NGL6" s="545"/>
      <c r="NGM6" s="136" t="s">
        <v>168</v>
      </c>
      <c r="NGN6" s="137">
        <v>1</v>
      </c>
      <c r="NGO6" s="137">
        <v>167.32</v>
      </c>
      <c r="NGP6" s="181" t="s">
        <v>817</v>
      </c>
      <c r="NGQ6" s="545" t="s">
        <v>816</v>
      </c>
      <c r="NGR6" s="545"/>
      <c r="NGS6" s="545"/>
      <c r="NGT6" s="545"/>
      <c r="NGU6" s="136" t="s">
        <v>168</v>
      </c>
      <c r="NGV6" s="137">
        <v>1</v>
      </c>
      <c r="NGW6" s="137">
        <v>167.32</v>
      </c>
      <c r="NGX6" s="181" t="s">
        <v>817</v>
      </c>
      <c r="NGY6" s="545" t="s">
        <v>816</v>
      </c>
      <c r="NGZ6" s="545"/>
      <c r="NHA6" s="545"/>
      <c r="NHB6" s="545"/>
      <c r="NHC6" s="136" t="s">
        <v>168</v>
      </c>
      <c r="NHD6" s="137">
        <v>1</v>
      </c>
      <c r="NHE6" s="137">
        <v>167.32</v>
      </c>
      <c r="NHF6" s="181" t="s">
        <v>817</v>
      </c>
      <c r="NHG6" s="545" t="s">
        <v>816</v>
      </c>
      <c r="NHH6" s="545"/>
      <c r="NHI6" s="545"/>
      <c r="NHJ6" s="545"/>
      <c r="NHK6" s="136" t="s">
        <v>168</v>
      </c>
      <c r="NHL6" s="137">
        <v>1</v>
      </c>
      <c r="NHM6" s="137">
        <v>167.32</v>
      </c>
      <c r="NHN6" s="181" t="s">
        <v>817</v>
      </c>
      <c r="NHO6" s="545" t="s">
        <v>816</v>
      </c>
      <c r="NHP6" s="545"/>
      <c r="NHQ6" s="545"/>
      <c r="NHR6" s="545"/>
      <c r="NHS6" s="136" t="s">
        <v>168</v>
      </c>
      <c r="NHT6" s="137">
        <v>1</v>
      </c>
      <c r="NHU6" s="137">
        <v>167.32</v>
      </c>
      <c r="NHV6" s="181" t="s">
        <v>817</v>
      </c>
      <c r="NHW6" s="545" t="s">
        <v>816</v>
      </c>
      <c r="NHX6" s="545"/>
      <c r="NHY6" s="545"/>
      <c r="NHZ6" s="545"/>
      <c r="NIA6" s="136" t="s">
        <v>168</v>
      </c>
      <c r="NIB6" s="137">
        <v>1</v>
      </c>
      <c r="NIC6" s="137">
        <v>167.32</v>
      </c>
      <c r="NID6" s="181" t="s">
        <v>817</v>
      </c>
      <c r="NIE6" s="545" t="s">
        <v>816</v>
      </c>
      <c r="NIF6" s="545"/>
      <c r="NIG6" s="545"/>
      <c r="NIH6" s="545"/>
      <c r="NII6" s="136" t="s">
        <v>168</v>
      </c>
      <c r="NIJ6" s="137">
        <v>1</v>
      </c>
      <c r="NIK6" s="137">
        <v>167.32</v>
      </c>
      <c r="NIL6" s="181" t="s">
        <v>817</v>
      </c>
      <c r="NIM6" s="545" t="s">
        <v>816</v>
      </c>
      <c r="NIN6" s="545"/>
      <c r="NIO6" s="545"/>
      <c r="NIP6" s="545"/>
      <c r="NIQ6" s="136" t="s">
        <v>168</v>
      </c>
      <c r="NIR6" s="137">
        <v>1</v>
      </c>
      <c r="NIS6" s="137">
        <v>167.32</v>
      </c>
      <c r="NIT6" s="181" t="s">
        <v>817</v>
      </c>
      <c r="NIU6" s="545" t="s">
        <v>816</v>
      </c>
      <c r="NIV6" s="545"/>
      <c r="NIW6" s="545"/>
      <c r="NIX6" s="545"/>
      <c r="NIY6" s="136" t="s">
        <v>168</v>
      </c>
      <c r="NIZ6" s="137">
        <v>1</v>
      </c>
      <c r="NJA6" s="137">
        <v>167.32</v>
      </c>
      <c r="NJB6" s="181" t="s">
        <v>817</v>
      </c>
      <c r="NJC6" s="545" t="s">
        <v>816</v>
      </c>
      <c r="NJD6" s="545"/>
      <c r="NJE6" s="545"/>
      <c r="NJF6" s="545"/>
      <c r="NJG6" s="136" t="s">
        <v>168</v>
      </c>
      <c r="NJH6" s="137">
        <v>1</v>
      </c>
      <c r="NJI6" s="137">
        <v>167.32</v>
      </c>
      <c r="NJJ6" s="181" t="s">
        <v>817</v>
      </c>
      <c r="NJK6" s="545" t="s">
        <v>816</v>
      </c>
      <c r="NJL6" s="545"/>
      <c r="NJM6" s="545"/>
      <c r="NJN6" s="545"/>
      <c r="NJO6" s="136" t="s">
        <v>168</v>
      </c>
      <c r="NJP6" s="137">
        <v>1</v>
      </c>
      <c r="NJQ6" s="137">
        <v>167.32</v>
      </c>
      <c r="NJR6" s="181" t="s">
        <v>817</v>
      </c>
      <c r="NJS6" s="545" t="s">
        <v>816</v>
      </c>
      <c r="NJT6" s="545"/>
      <c r="NJU6" s="545"/>
      <c r="NJV6" s="545"/>
      <c r="NJW6" s="136" t="s">
        <v>168</v>
      </c>
      <c r="NJX6" s="137">
        <v>1</v>
      </c>
      <c r="NJY6" s="137">
        <v>167.32</v>
      </c>
      <c r="NJZ6" s="181" t="s">
        <v>817</v>
      </c>
      <c r="NKA6" s="545" t="s">
        <v>816</v>
      </c>
      <c r="NKB6" s="545"/>
      <c r="NKC6" s="545"/>
      <c r="NKD6" s="545"/>
      <c r="NKE6" s="136" t="s">
        <v>168</v>
      </c>
      <c r="NKF6" s="137">
        <v>1</v>
      </c>
      <c r="NKG6" s="137">
        <v>167.32</v>
      </c>
      <c r="NKH6" s="181" t="s">
        <v>817</v>
      </c>
      <c r="NKI6" s="545" t="s">
        <v>816</v>
      </c>
      <c r="NKJ6" s="545"/>
      <c r="NKK6" s="545"/>
      <c r="NKL6" s="545"/>
      <c r="NKM6" s="136" t="s">
        <v>168</v>
      </c>
      <c r="NKN6" s="137">
        <v>1</v>
      </c>
      <c r="NKO6" s="137">
        <v>167.32</v>
      </c>
      <c r="NKP6" s="181" t="s">
        <v>817</v>
      </c>
      <c r="NKQ6" s="545" t="s">
        <v>816</v>
      </c>
      <c r="NKR6" s="545"/>
      <c r="NKS6" s="545"/>
      <c r="NKT6" s="545"/>
      <c r="NKU6" s="136" t="s">
        <v>168</v>
      </c>
      <c r="NKV6" s="137">
        <v>1</v>
      </c>
      <c r="NKW6" s="137">
        <v>167.32</v>
      </c>
      <c r="NKX6" s="181" t="s">
        <v>817</v>
      </c>
      <c r="NKY6" s="545" t="s">
        <v>816</v>
      </c>
      <c r="NKZ6" s="545"/>
      <c r="NLA6" s="545"/>
      <c r="NLB6" s="545"/>
      <c r="NLC6" s="136" t="s">
        <v>168</v>
      </c>
      <c r="NLD6" s="137">
        <v>1</v>
      </c>
      <c r="NLE6" s="137">
        <v>167.32</v>
      </c>
      <c r="NLF6" s="181" t="s">
        <v>817</v>
      </c>
      <c r="NLG6" s="545" t="s">
        <v>816</v>
      </c>
      <c r="NLH6" s="545"/>
      <c r="NLI6" s="545"/>
      <c r="NLJ6" s="545"/>
      <c r="NLK6" s="136" t="s">
        <v>168</v>
      </c>
      <c r="NLL6" s="137">
        <v>1</v>
      </c>
      <c r="NLM6" s="137">
        <v>167.32</v>
      </c>
      <c r="NLN6" s="181" t="s">
        <v>817</v>
      </c>
      <c r="NLO6" s="545" t="s">
        <v>816</v>
      </c>
      <c r="NLP6" s="545"/>
      <c r="NLQ6" s="545"/>
      <c r="NLR6" s="545"/>
      <c r="NLS6" s="136" t="s">
        <v>168</v>
      </c>
      <c r="NLT6" s="137">
        <v>1</v>
      </c>
      <c r="NLU6" s="137">
        <v>167.32</v>
      </c>
      <c r="NLV6" s="181" t="s">
        <v>817</v>
      </c>
      <c r="NLW6" s="545" t="s">
        <v>816</v>
      </c>
      <c r="NLX6" s="545"/>
      <c r="NLY6" s="545"/>
      <c r="NLZ6" s="545"/>
      <c r="NMA6" s="136" t="s">
        <v>168</v>
      </c>
      <c r="NMB6" s="137">
        <v>1</v>
      </c>
      <c r="NMC6" s="137">
        <v>167.32</v>
      </c>
      <c r="NMD6" s="181" t="s">
        <v>817</v>
      </c>
      <c r="NME6" s="545" t="s">
        <v>816</v>
      </c>
      <c r="NMF6" s="545"/>
      <c r="NMG6" s="545"/>
      <c r="NMH6" s="545"/>
      <c r="NMI6" s="136" t="s">
        <v>168</v>
      </c>
      <c r="NMJ6" s="137">
        <v>1</v>
      </c>
      <c r="NMK6" s="137">
        <v>167.32</v>
      </c>
      <c r="NML6" s="181" t="s">
        <v>817</v>
      </c>
      <c r="NMM6" s="545" t="s">
        <v>816</v>
      </c>
      <c r="NMN6" s="545"/>
      <c r="NMO6" s="545"/>
      <c r="NMP6" s="545"/>
      <c r="NMQ6" s="136" t="s">
        <v>168</v>
      </c>
      <c r="NMR6" s="137">
        <v>1</v>
      </c>
      <c r="NMS6" s="137">
        <v>167.32</v>
      </c>
      <c r="NMT6" s="181" t="s">
        <v>817</v>
      </c>
      <c r="NMU6" s="545" t="s">
        <v>816</v>
      </c>
      <c r="NMV6" s="545"/>
      <c r="NMW6" s="545"/>
      <c r="NMX6" s="545"/>
      <c r="NMY6" s="136" t="s">
        <v>168</v>
      </c>
      <c r="NMZ6" s="137">
        <v>1</v>
      </c>
      <c r="NNA6" s="137">
        <v>167.32</v>
      </c>
      <c r="NNB6" s="181" t="s">
        <v>817</v>
      </c>
      <c r="NNC6" s="545" t="s">
        <v>816</v>
      </c>
      <c r="NND6" s="545"/>
      <c r="NNE6" s="545"/>
      <c r="NNF6" s="545"/>
      <c r="NNG6" s="136" t="s">
        <v>168</v>
      </c>
      <c r="NNH6" s="137">
        <v>1</v>
      </c>
      <c r="NNI6" s="137">
        <v>167.32</v>
      </c>
      <c r="NNJ6" s="181" t="s">
        <v>817</v>
      </c>
      <c r="NNK6" s="545" t="s">
        <v>816</v>
      </c>
      <c r="NNL6" s="545"/>
      <c r="NNM6" s="545"/>
      <c r="NNN6" s="545"/>
      <c r="NNO6" s="136" t="s">
        <v>168</v>
      </c>
      <c r="NNP6" s="137">
        <v>1</v>
      </c>
      <c r="NNQ6" s="137">
        <v>167.32</v>
      </c>
      <c r="NNR6" s="181" t="s">
        <v>817</v>
      </c>
      <c r="NNS6" s="545" t="s">
        <v>816</v>
      </c>
      <c r="NNT6" s="545"/>
      <c r="NNU6" s="545"/>
      <c r="NNV6" s="545"/>
      <c r="NNW6" s="136" t="s">
        <v>168</v>
      </c>
      <c r="NNX6" s="137">
        <v>1</v>
      </c>
      <c r="NNY6" s="137">
        <v>167.32</v>
      </c>
      <c r="NNZ6" s="181" t="s">
        <v>817</v>
      </c>
      <c r="NOA6" s="545" t="s">
        <v>816</v>
      </c>
      <c r="NOB6" s="545"/>
      <c r="NOC6" s="545"/>
      <c r="NOD6" s="545"/>
      <c r="NOE6" s="136" t="s">
        <v>168</v>
      </c>
      <c r="NOF6" s="137">
        <v>1</v>
      </c>
      <c r="NOG6" s="137">
        <v>167.32</v>
      </c>
      <c r="NOH6" s="181" t="s">
        <v>817</v>
      </c>
      <c r="NOI6" s="545" t="s">
        <v>816</v>
      </c>
      <c r="NOJ6" s="545"/>
      <c r="NOK6" s="545"/>
      <c r="NOL6" s="545"/>
      <c r="NOM6" s="136" t="s">
        <v>168</v>
      </c>
      <c r="NON6" s="137">
        <v>1</v>
      </c>
      <c r="NOO6" s="137">
        <v>167.32</v>
      </c>
      <c r="NOP6" s="181" t="s">
        <v>817</v>
      </c>
      <c r="NOQ6" s="545" t="s">
        <v>816</v>
      </c>
      <c r="NOR6" s="545"/>
      <c r="NOS6" s="545"/>
      <c r="NOT6" s="545"/>
      <c r="NOU6" s="136" t="s">
        <v>168</v>
      </c>
      <c r="NOV6" s="137">
        <v>1</v>
      </c>
      <c r="NOW6" s="137">
        <v>167.32</v>
      </c>
      <c r="NOX6" s="181" t="s">
        <v>817</v>
      </c>
      <c r="NOY6" s="545" t="s">
        <v>816</v>
      </c>
      <c r="NOZ6" s="545"/>
      <c r="NPA6" s="545"/>
      <c r="NPB6" s="545"/>
      <c r="NPC6" s="136" t="s">
        <v>168</v>
      </c>
      <c r="NPD6" s="137">
        <v>1</v>
      </c>
      <c r="NPE6" s="137">
        <v>167.32</v>
      </c>
      <c r="NPF6" s="181" t="s">
        <v>817</v>
      </c>
      <c r="NPG6" s="545" t="s">
        <v>816</v>
      </c>
      <c r="NPH6" s="545"/>
      <c r="NPI6" s="545"/>
      <c r="NPJ6" s="545"/>
      <c r="NPK6" s="136" t="s">
        <v>168</v>
      </c>
      <c r="NPL6" s="137">
        <v>1</v>
      </c>
      <c r="NPM6" s="137">
        <v>167.32</v>
      </c>
      <c r="NPN6" s="181" t="s">
        <v>817</v>
      </c>
      <c r="NPO6" s="545" t="s">
        <v>816</v>
      </c>
      <c r="NPP6" s="545"/>
      <c r="NPQ6" s="545"/>
      <c r="NPR6" s="545"/>
      <c r="NPS6" s="136" t="s">
        <v>168</v>
      </c>
      <c r="NPT6" s="137">
        <v>1</v>
      </c>
      <c r="NPU6" s="137">
        <v>167.32</v>
      </c>
      <c r="NPV6" s="181" t="s">
        <v>817</v>
      </c>
      <c r="NPW6" s="545" t="s">
        <v>816</v>
      </c>
      <c r="NPX6" s="545"/>
      <c r="NPY6" s="545"/>
      <c r="NPZ6" s="545"/>
      <c r="NQA6" s="136" t="s">
        <v>168</v>
      </c>
      <c r="NQB6" s="137">
        <v>1</v>
      </c>
      <c r="NQC6" s="137">
        <v>167.32</v>
      </c>
      <c r="NQD6" s="181" t="s">
        <v>817</v>
      </c>
      <c r="NQE6" s="545" t="s">
        <v>816</v>
      </c>
      <c r="NQF6" s="545"/>
      <c r="NQG6" s="545"/>
      <c r="NQH6" s="545"/>
      <c r="NQI6" s="136" t="s">
        <v>168</v>
      </c>
      <c r="NQJ6" s="137">
        <v>1</v>
      </c>
      <c r="NQK6" s="137">
        <v>167.32</v>
      </c>
      <c r="NQL6" s="181" t="s">
        <v>817</v>
      </c>
      <c r="NQM6" s="545" t="s">
        <v>816</v>
      </c>
      <c r="NQN6" s="545"/>
      <c r="NQO6" s="545"/>
      <c r="NQP6" s="545"/>
      <c r="NQQ6" s="136" t="s">
        <v>168</v>
      </c>
      <c r="NQR6" s="137">
        <v>1</v>
      </c>
      <c r="NQS6" s="137">
        <v>167.32</v>
      </c>
      <c r="NQT6" s="181" t="s">
        <v>817</v>
      </c>
      <c r="NQU6" s="545" t="s">
        <v>816</v>
      </c>
      <c r="NQV6" s="545"/>
      <c r="NQW6" s="545"/>
      <c r="NQX6" s="545"/>
      <c r="NQY6" s="136" t="s">
        <v>168</v>
      </c>
      <c r="NQZ6" s="137">
        <v>1</v>
      </c>
      <c r="NRA6" s="137">
        <v>167.32</v>
      </c>
      <c r="NRB6" s="181" t="s">
        <v>817</v>
      </c>
      <c r="NRC6" s="545" t="s">
        <v>816</v>
      </c>
      <c r="NRD6" s="545"/>
      <c r="NRE6" s="545"/>
      <c r="NRF6" s="545"/>
      <c r="NRG6" s="136" t="s">
        <v>168</v>
      </c>
      <c r="NRH6" s="137">
        <v>1</v>
      </c>
      <c r="NRI6" s="137">
        <v>167.32</v>
      </c>
      <c r="NRJ6" s="181" t="s">
        <v>817</v>
      </c>
      <c r="NRK6" s="545" t="s">
        <v>816</v>
      </c>
      <c r="NRL6" s="545"/>
      <c r="NRM6" s="545"/>
      <c r="NRN6" s="545"/>
      <c r="NRO6" s="136" t="s">
        <v>168</v>
      </c>
      <c r="NRP6" s="137">
        <v>1</v>
      </c>
      <c r="NRQ6" s="137">
        <v>167.32</v>
      </c>
      <c r="NRR6" s="181" t="s">
        <v>817</v>
      </c>
      <c r="NRS6" s="545" t="s">
        <v>816</v>
      </c>
      <c r="NRT6" s="545"/>
      <c r="NRU6" s="545"/>
      <c r="NRV6" s="545"/>
      <c r="NRW6" s="136" t="s">
        <v>168</v>
      </c>
      <c r="NRX6" s="137">
        <v>1</v>
      </c>
      <c r="NRY6" s="137">
        <v>167.32</v>
      </c>
      <c r="NRZ6" s="181" t="s">
        <v>817</v>
      </c>
      <c r="NSA6" s="545" t="s">
        <v>816</v>
      </c>
      <c r="NSB6" s="545"/>
      <c r="NSC6" s="545"/>
      <c r="NSD6" s="545"/>
      <c r="NSE6" s="136" t="s">
        <v>168</v>
      </c>
      <c r="NSF6" s="137">
        <v>1</v>
      </c>
      <c r="NSG6" s="137">
        <v>167.32</v>
      </c>
      <c r="NSH6" s="181" t="s">
        <v>817</v>
      </c>
      <c r="NSI6" s="545" t="s">
        <v>816</v>
      </c>
      <c r="NSJ6" s="545"/>
      <c r="NSK6" s="545"/>
      <c r="NSL6" s="545"/>
      <c r="NSM6" s="136" t="s">
        <v>168</v>
      </c>
      <c r="NSN6" s="137">
        <v>1</v>
      </c>
      <c r="NSO6" s="137">
        <v>167.32</v>
      </c>
      <c r="NSP6" s="181" t="s">
        <v>817</v>
      </c>
      <c r="NSQ6" s="545" t="s">
        <v>816</v>
      </c>
      <c r="NSR6" s="545"/>
      <c r="NSS6" s="545"/>
      <c r="NST6" s="545"/>
      <c r="NSU6" s="136" t="s">
        <v>168</v>
      </c>
      <c r="NSV6" s="137">
        <v>1</v>
      </c>
      <c r="NSW6" s="137">
        <v>167.32</v>
      </c>
      <c r="NSX6" s="181" t="s">
        <v>817</v>
      </c>
      <c r="NSY6" s="545" t="s">
        <v>816</v>
      </c>
      <c r="NSZ6" s="545"/>
      <c r="NTA6" s="545"/>
      <c r="NTB6" s="545"/>
      <c r="NTC6" s="136" t="s">
        <v>168</v>
      </c>
      <c r="NTD6" s="137">
        <v>1</v>
      </c>
      <c r="NTE6" s="137">
        <v>167.32</v>
      </c>
      <c r="NTF6" s="181" t="s">
        <v>817</v>
      </c>
      <c r="NTG6" s="545" t="s">
        <v>816</v>
      </c>
      <c r="NTH6" s="545"/>
      <c r="NTI6" s="545"/>
      <c r="NTJ6" s="545"/>
      <c r="NTK6" s="136" t="s">
        <v>168</v>
      </c>
      <c r="NTL6" s="137">
        <v>1</v>
      </c>
      <c r="NTM6" s="137">
        <v>167.32</v>
      </c>
      <c r="NTN6" s="181" t="s">
        <v>817</v>
      </c>
      <c r="NTO6" s="545" t="s">
        <v>816</v>
      </c>
      <c r="NTP6" s="545"/>
      <c r="NTQ6" s="545"/>
      <c r="NTR6" s="545"/>
      <c r="NTS6" s="136" t="s">
        <v>168</v>
      </c>
      <c r="NTT6" s="137">
        <v>1</v>
      </c>
      <c r="NTU6" s="137">
        <v>167.32</v>
      </c>
      <c r="NTV6" s="181" t="s">
        <v>817</v>
      </c>
      <c r="NTW6" s="545" t="s">
        <v>816</v>
      </c>
      <c r="NTX6" s="545"/>
      <c r="NTY6" s="545"/>
      <c r="NTZ6" s="545"/>
      <c r="NUA6" s="136" t="s">
        <v>168</v>
      </c>
      <c r="NUB6" s="137">
        <v>1</v>
      </c>
      <c r="NUC6" s="137">
        <v>167.32</v>
      </c>
      <c r="NUD6" s="181" t="s">
        <v>817</v>
      </c>
      <c r="NUE6" s="545" t="s">
        <v>816</v>
      </c>
      <c r="NUF6" s="545"/>
      <c r="NUG6" s="545"/>
      <c r="NUH6" s="545"/>
      <c r="NUI6" s="136" t="s">
        <v>168</v>
      </c>
      <c r="NUJ6" s="137">
        <v>1</v>
      </c>
      <c r="NUK6" s="137">
        <v>167.32</v>
      </c>
      <c r="NUL6" s="181" t="s">
        <v>817</v>
      </c>
      <c r="NUM6" s="545" t="s">
        <v>816</v>
      </c>
      <c r="NUN6" s="545"/>
      <c r="NUO6" s="545"/>
      <c r="NUP6" s="545"/>
      <c r="NUQ6" s="136" t="s">
        <v>168</v>
      </c>
      <c r="NUR6" s="137">
        <v>1</v>
      </c>
      <c r="NUS6" s="137">
        <v>167.32</v>
      </c>
      <c r="NUT6" s="181" t="s">
        <v>817</v>
      </c>
      <c r="NUU6" s="545" t="s">
        <v>816</v>
      </c>
      <c r="NUV6" s="545"/>
      <c r="NUW6" s="545"/>
      <c r="NUX6" s="545"/>
      <c r="NUY6" s="136" t="s">
        <v>168</v>
      </c>
      <c r="NUZ6" s="137">
        <v>1</v>
      </c>
      <c r="NVA6" s="137">
        <v>167.32</v>
      </c>
      <c r="NVB6" s="181" t="s">
        <v>817</v>
      </c>
      <c r="NVC6" s="545" t="s">
        <v>816</v>
      </c>
      <c r="NVD6" s="545"/>
      <c r="NVE6" s="545"/>
      <c r="NVF6" s="545"/>
      <c r="NVG6" s="136" t="s">
        <v>168</v>
      </c>
      <c r="NVH6" s="137">
        <v>1</v>
      </c>
      <c r="NVI6" s="137">
        <v>167.32</v>
      </c>
      <c r="NVJ6" s="181" t="s">
        <v>817</v>
      </c>
      <c r="NVK6" s="545" t="s">
        <v>816</v>
      </c>
      <c r="NVL6" s="545"/>
      <c r="NVM6" s="545"/>
      <c r="NVN6" s="545"/>
      <c r="NVO6" s="136" t="s">
        <v>168</v>
      </c>
      <c r="NVP6" s="137">
        <v>1</v>
      </c>
      <c r="NVQ6" s="137">
        <v>167.32</v>
      </c>
      <c r="NVR6" s="181" t="s">
        <v>817</v>
      </c>
      <c r="NVS6" s="545" t="s">
        <v>816</v>
      </c>
      <c r="NVT6" s="545"/>
      <c r="NVU6" s="545"/>
      <c r="NVV6" s="545"/>
      <c r="NVW6" s="136" t="s">
        <v>168</v>
      </c>
      <c r="NVX6" s="137">
        <v>1</v>
      </c>
      <c r="NVY6" s="137">
        <v>167.32</v>
      </c>
      <c r="NVZ6" s="181" t="s">
        <v>817</v>
      </c>
      <c r="NWA6" s="545" t="s">
        <v>816</v>
      </c>
      <c r="NWB6" s="545"/>
      <c r="NWC6" s="545"/>
      <c r="NWD6" s="545"/>
      <c r="NWE6" s="136" t="s">
        <v>168</v>
      </c>
      <c r="NWF6" s="137">
        <v>1</v>
      </c>
      <c r="NWG6" s="137">
        <v>167.32</v>
      </c>
      <c r="NWH6" s="181" t="s">
        <v>817</v>
      </c>
      <c r="NWI6" s="545" t="s">
        <v>816</v>
      </c>
      <c r="NWJ6" s="545"/>
      <c r="NWK6" s="545"/>
      <c r="NWL6" s="545"/>
      <c r="NWM6" s="136" t="s">
        <v>168</v>
      </c>
      <c r="NWN6" s="137">
        <v>1</v>
      </c>
      <c r="NWO6" s="137">
        <v>167.32</v>
      </c>
      <c r="NWP6" s="181" t="s">
        <v>817</v>
      </c>
      <c r="NWQ6" s="545" t="s">
        <v>816</v>
      </c>
      <c r="NWR6" s="545"/>
      <c r="NWS6" s="545"/>
      <c r="NWT6" s="545"/>
      <c r="NWU6" s="136" t="s">
        <v>168</v>
      </c>
      <c r="NWV6" s="137">
        <v>1</v>
      </c>
      <c r="NWW6" s="137">
        <v>167.32</v>
      </c>
      <c r="NWX6" s="181" t="s">
        <v>817</v>
      </c>
      <c r="NWY6" s="545" t="s">
        <v>816</v>
      </c>
      <c r="NWZ6" s="545"/>
      <c r="NXA6" s="545"/>
      <c r="NXB6" s="545"/>
      <c r="NXC6" s="136" t="s">
        <v>168</v>
      </c>
      <c r="NXD6" s="137">
        <v>1</v>
      </c>
      <c r="NXE6" s="137">
        <v>167.32</v>
      </c>
      <c r="NXF6" s="181" t="s">
        <v>817</v>
      </c>
      <c r="NXG6" s="545" t="s">
        <v>816</v>
      </c>
      <c r="NXH6" s="545"/>
      <c r="NXI6" s="545"/>
      <c r="NXJ6" s="545"/>
      <c r="NXK6" s="136" t="s">
        <v>168</v>
      </c>
      <c r="NXL6" s="137">
        <v>1</v>
      </c>
      <c r="NXM6" s="137">
        <v>167.32</v>
      </c>
      <c r="NXN6" s="181" t="s">
        <v>817</v>
      </c>
      <c r="NXO6" s="545" t="s">
        <v>816</v>
      </c>
      <c r="NXP6" s="545"/>
      <c r="NXQ6" s="545"/>
      <c r="NXR6" s="545"/>
      <c r="NXS6" s="136" t="s">
        <v>168</v>
      </c>
      <c r="NXT6" s="137">
        <v>1</v>
      </c>
      <c r="NXU6" s="137">
        <v>167.32</v>
      </c>
      <c r="NXV6" s="181" t="s">
        <v>817</v>
      </c>
      <c r="NXW6" s="545" t="s">
        <v>816</v>
      </c>
      <c r="NXX6" s="545"/>
      <c r="NXY6" s="545"/>
      <c r="NXZ6" s="545"/>
      <c r="NYA6" s="136" t="s">
        <v>168</v>
      </c>
      <c r="NYB6" s="137">
        <v>1</v>
      </c>
      <c r="NYC6" s="137">
        <v>167.32</v>
      </c>
      <c r="NYD6" s="181" t="s">
        <v>817</v>
      </c>
      <c r="NYE6" s="545" t="s">
        <v>816</v>
      </c>
      <c r="NYF6" s="545"/>
      <c r="NYG6" s="545"/>
      <c r="NYH6" s="545"/>
      <c r="NYI6" s="136" t="s">
        <v>168</v>
      </c>
      <c r="NYJ6" s="137">
        <v>1</v>
      </c>
      <c r="NYK6" s="137">
        <v>167.32</v>
      </c>
      <c r="NYL6" s="181" t="s">
        <v>817</v>
      </c>
      <c r="NYM6" s="545" t="s">
        <v>816</v>
      </c>
      <c r="NYN6" s="545"/>
      <c r="NYO6" s="545"/>
      <c r="NYP6" s="545"/>
      <c r="NYQ6" s="136" t="s">
        <v>168</v>
      </c>
      <c r="NYR6" s="137">
        <v>1</v>
      </c>
      <c r="NYS6" s="137">
        <v>167.32</v>
      </c>
      <c r="NYT6" s="181" t="s">
        <v>817</v>
      </c>
      <c r="NYU6" s="545" t="s">
        <v>816</v>
      </c>
      <c r="NYV6" s="545"/>
      <c r="NYW6" s="545"/>
      <c r="NYX6" s="545"/>
      <c r="NYY6" s="136" t="s">
        <v>168</v>
      </c>
      <c r="NYZ6" s="137">
        <v>1</v>
      </c>
      <c r="NZA6" s="137">
        <v>167.32</v>
      </c>
      <c r="NZB6" s="181" t="s">
        <v>817</v>
      </c>
      <c r="NZC6" s="545" t="s">
        <v>816</v>
      </c>
      <c r="NZD6" s="545"/>
      <c r="NZE6" s="545"/>
      <c r="NZF6" s="545"/>
      <c r="NZG6" s="136" t="s">
        <v>168</v>
      </c>
      <c r="NZH6" s="137">
        <v>1</v>
      </c>
      <c r="NZI6" s="137">
        <v>167.32</v>
      </c>
      <c r="NZJ6" s="181" t="s">
        <v>817</v>
      </c>
      <c r="NZK6" s="545" t="s">
        <v>816</v>
      </c>
      <c r="NZL6" s="545"/>
      <c r="NZM6" s="545"/>
      <c r="NZN6" s="545"/>
      <c r="NZO6" s="136" t="s">
        <v>168</v>
      </c>
      <c r="NZP6" s="137">
        <v>1</v>
      </c>
      <c r="NZQ6" s="137">
        <v>167.32</v>
      </c>
      <c r="NZR6" s="181" t="s">
        <v>817</v>
      </c>
      <c r="NZS6" s="545" t="s">
        <v>816</v>
      </c>
      <c r="NZT6" s="545"/>
      <c r="NZU6" s="545"/>
      <c r="NZV6" s="545"/>
      <c r="NZW6" s="136" t="s">
        <v>168</v>
      </c>
      <c r="NZX6" s="137">
        <v>1</v>
      </c>
      <c r="NZY6" s="137">
        <v>167.32</v>
      </c>
      <c r="NZZ6" s="181" t="s">
        <v>817</v>
      </c>
      <c r="OAA6" s="545" t="s">
        <v>816</v>
      </c>
      <c r="OAB6" s="545"/>
      <c r="OAC6" s="545"/>
      <c r="OAD6" s="545"/>
      <c r="OAE6" s="136" t="s">
        <v>168</v>
      </c>
      <c r="OAF6" s="137">
        <v>1</v>
      </c>
      <c r="OAG6" s="137">
        <v>167.32</v>
      </c>
      <c r="OAH6" s="181" t="s">
        <v>817</v>
      </c>
      <c r="OAI6" s="545" t="s">
        <v>816</v>
      </c>
      <c r="OAJ6" s="545"/>
      <c r="OAK6" s="545"/>
      <c r="OAL6" s="545"/>
      <c r="OAM6" s="136" t="s">
        <v>168</v>
      </c>
      <c r="OAN6" s="137">
        <v>1</v>
      </c>
      <c r="OAO6" s="137">
        <v>167.32</v>
      </c>
      <c r="OAP6" s="181" t="s">
        <v>817</v>
      </c>
      <c r="OAQ6" s="545" t="s">
        <v>816</v>
      </c>
      <c r="OAR6" s="545"/>
      <c r="OAS6" s="545"/>
      <c r="OAT6" s="545"/>
      <c r="OAU6" s="136" t="s">
        <v>168</v>
      </c>
      <c r="OAV6" s="137">
        <v>1</v>
      </c>
      <c r="OAW6" s="137">
        <v>167.32</v>
      </c>
      <c r="OAX6" s="181" t="s">
        <v>817</v>
      </c>
      <c r="OAY6" s="545" t="s">
        <v>816</v>
      </c>
      <c r="OAZ6" s="545"/>
      <c r="OBA6" s="545"/>
      <c r="OBB6" s="545"/>
      <c r="OBC6" s="136" t="s">
        <v>168</v>
      </c>
      <c r="OBD6" s="137">
        <v>1</v>
      </c>
      <c r="OBE6" s="137">
        <v>167.32</v>
      </c>
      <c r="OBF6" s="181" t="s">
        <v>817</v>
      </c>
      <c r="OBG6" s="545" t="s">
        <v>816</v>
      </c>
      <c r="OBH6" s="545"/>
      <c r="OBI6" s="545"/>
      <c r="OBJ6" s="545"/>
      <c r="OBK6" s="136" t="s">
        <v>168</v>
      </c>
      <c r="OBL6" s="137">
        <v>1</v>
      </c>
      <c r="OBM6" s="137">
        <v>167.32</v>
      </c>
      <c r="OBN6" s="181" t="s">
        <v>817</v>
      </c>
      <c r="OBO6" s="545" t="s">
        <v>816</v>
      </c>
      <c r="OBP6" s="545"/>
      <c r="OBQ6" s="545"/>
      <c r="OBR6" s="545"/>
      <c r="OBS6" s="136" t="s">
        <v>168</v>
      </c>
      <c r="OBT6" s="137">
        <v>1</v>
      </c>
      <c r="OBU6" s="137">
        <v>167.32</v>
      </c>
      <c r="OBV6" s="181" t="s">
        <v>817</v>
      </c>
      <c r="OBW6" s="545" t="s">
        <v>816</v>
      </c>
      <c r="OBX6" s="545"/>
      <c r="OBY6" s="545"/>
      <c r="OBZ6" s="545"/>
      <c r="OCA6" s="136" t="s">
        <v>168</v>
      </c>
      <c r="OCB6" s="137">
        <v>1</v>
      </c>
      <c r="OCC6" s="137">
        <v>167.32</v>
      </c>
      <c r="OCD6" s="181" t="s">
        <v>817</v>
      </c>
      <c r="OCE6" s="545" t="s">
        <v>816</v>
      </c>
      <c r="OCF6" s="545"/>
      <c r="OCG6" s="545"/>
      <c r="OCH6" s="545"/>
      <c r="OCI6" s="136" t="s">
        <v>168</v>
      </c>
      <c r="OCJ6" s="137">
        <v>1</v>
      </c>
      <c r="OCK6" s="137">
        <v>167.32</v>
      </c>
      <c r="OCL6" s="181" t="s">
        <v>817</v>
      </c>
      <c r="OCM6" s="545" t="s">
        <v>816</v>
      </c>
      <c r="OCN6" s="545"/>
      <c r="OCO6" s="545"/>
      <c r="OCP6" s="545"/>
      <c r="OCQ6" s="136" t="s">
        <v>168</v>
      </c>
      <c r="OCR6" s="137">
        <v>1</v>
      </c>
      <c r="OCS6" s="137">
        <v>167.32</v>
      </c>
      <c r="OCT6" s="181" t="s">
        <v>817</v>
      </c>
      <c r="OCU6" s="545" t="s">
        <v>816</v>
      </c>
      <c r="OCV6" s="545"/>
      <c r="OCW6" s="545"/>
      <c r="OCX6" s="545"/>
      <c r="OCY6" s="136" t="s">
        <v>168</v>
      </c>
      <c r="OCZ6" s="137">
        <v>1</v>
      </c>
      <c r="ODA6" s="137">
        <v>167.32</v>
      </c>
      <c r="ODB6" s="181" t="s">
        <v>817</v>
      </c>
      <c r="ODC6" s="545" t="s">
        <v>816</v>
      </c>
      <c r="ODD6" s="545"/>
      <c r="ODE6" s="545"/>
      <c r="ODF6" s="545"/>
      <c r="ODG6" s="136" t="s">
        <v>168</v>
      </c>
      <c r="ODH6" s="137">
        <v>1</v>
      </c>
      <c r="ODI6" s="137">
        <v>167.32</v>
      </c>
      <c r="ODJ6" s="181" t="s">
        <v>817</v>
      </c>
      <c r="ODK6" s="545" t="s">
        <v>816</v>
      </c>
      <c r="ODL6" s="545"/>
      <c r="ODM6" s="545"/>
      <c r="ODN6" s="545"/>
      <c r="ODO6" s="136" t="s">
        <v>168</v>
      </c>
      <c r="ODP6" s="137">
        <v>1</v>
      </c>
      <c r="ODQ6" s="137">
        <v>167.32</v>
      </c>
      <c r="ODR6" s="181" t="s">
        <v>817</v>
      </c>
      <c r="ODS6" s="545" t="s">
        <v>816</v>
      </c>
      <c r="ODT6" s="545"/>
      <c r="ODU6" s="545"/>
      <c r="ODV6" s="545"/>
      <c r="ODW6" s="136" t="s">
        <v>168</v>
      </c>
      <c r="ODX6" s="137">
        <v>1</v>
      </c>
      <c r="ODY6" s="137">
        <v>167.32</v>
      </c>
      <c r="ODZ6" s="181" t="s">
        <v>817</v>
      </c>
      <c r="OEA6" s="545" t="s">
        <v>816</v>
      </c>
      <c r="OEB6" s="545"/>
      <c r="OEC6" s="545"/>
      <c r="OED6" s="545"/>
      <c r="OEE6" s="136" t="s">
        <v>168</v>
      </c>
      <c r="OEF6" s="137">
        <v>1</v>
      </c>
      <c r="OEG6" s="137">
        <v>167.32</v>
      </c>
      <c r="OEH6" s="181" t="s">
        <v>817</v>
      </c>
      <c r="OEI6" s="545" t="s">
        <v>816</v>
      </c>
      <c r="OEJ6" s="545"/>
      <c r="OEK6" s="545"/>
      <c r="OEL6" s="545"/>
      <c r="OEM6" s="136" t="s">
        <v>168</v>
      </c>
      <c r="OEN6" s="137">
        <v>1</v>
      </c>
      <c r="OEO6" s="137">
        <v>167.32</v>
      </c>
      <c r="OEP6" s="181" t="s">
        <v>817</v>
      </c>
      <c r="OEQ6" s="545" t="s">
        <v>816</v>
      </c>
      <c r="OER6" s="545"/>
      <c r="OES6" s="545"/>
      <c r="OET6" s="545"/>
      <c r="OEU6" s="136" t="s">
        <v>168</v>
      </c>
      <c r="OEV6" s="137">
        <v>1</v>
      </c>
      <c r="OEW6" s="137">
        <v>167.32</v>
      </c>
      <c r="OEX6" s="181" t="s">
        <v>817</v>
      </c>
      <c r="OEY6" s="545" t="s">
        <v>816</v>
      </c>
      <c r="OEZ6" s="545"/>
      <c r="OFA6" s="545"/>
      <c r="OFB6" s="545"/>
      <c r="OFC6" s="136" t="s">
        <v>168</v>
      </c>
      <c r="OFD6" s="137">
        <v>1</v>
      </c>
      <c r="OFE6" s="137">
        <v>167.32</v>
      </c>
      <c r="OFF6" s="181" t="s">
        <v>817</v>
      </c>
      <c r="OFG6" s="545" t="s">
        <v>816</v>
      </c>
      <c r="OFH6" s="545"/>
      <c r="OFI6" s="545"/>
      <c r="OFJ6" s="545"/>
      <c r="OFK6" s="136" t="s">
        <v>168</v>
      </c>
      <c r="OFL6" s="137">
        <v>1</v>
      </c>
      <c r="OFM6" s="137">
        <v>167.32</v>
      </c>
      <c r="OFN6" s="181" t="s">
        <v>817</v>
      </c>
      <c r="OFO6" s="545" t="s">
        <v>816</v>
      </c>
      <c r="OFP6" s="545"/>
      <c r="OFQ6" s="545"/>
      <c r="OFR6" s="545"/>
      <c r="OFS6" s="136" t="s">
        <v>168</v>
      </c>
      <c r="OFT6" s="137">
        <v>1</v>
      </c>
      <c r="OFU6" s="137">
        <v>167.32</v>
      </c>
      <c r="OFV6" s="181" t="s">
        <v>817</v>
      </c>
      <c r="OFW6" s="545" t="s">
        <v>816</v>
      </c>
      <c r="OFX6" s="545"/>
      <c r="OFY6" s="545"/>
      <c r="OFZ6" s="545"/>
      <c r="OGA6" s="136" t="s">
        <v>168</v>
      </c>
      <c r="OGB6" s="137">
        <v>1</v>
      </c>
      <c r="OGC6" s="137">
        <v>167.32</v>
      </c>
      <c r="OGD6" s="181" t="s">
        <v>817</v>
      </c>
      <c r="OGE6" s="545" t="s">
        <v>816</v>
      </c>
      <c r="OGF6" s="545"/>
      <c r="OGG6" s="545"/>
      <c r="OGH6" s="545"/>
      <c r="OGI6" s="136" t="s">
        <v>168</v>
      </c>
      <c r="OGJ6" s="137">
        <v>1</v>
      </c>
      <c r="OGK6" s="137">
        <v>167.32</v>
      </c>
      <c r="OGL6" s="181" t="s">
        <v>817</v>
      </c>
      <c r="OGM6" s="545" t="s">
        <v>816</v>
      </c>
      <c r="OGN6" s="545"/>
      <c r="OGO6" s="545"/>
      <c r="OGP6" s="545"/>
      <c r="OGQ6" s="136" t="s">
        <v>168</v>
      </c>
      <c r="OGR6" s="137">
        <v>1</v>
      </c>
      <c r="OGS6" s="137">
        <v>167.32</v>
      </c>
      <c r="OGT6" s="181" t="s">
        <v>817</v>
      </c>
      <c r="OGU6" s="545" t="s">
        <v>816</v>
      </c>
      <c r="OGV6" s="545"/>
      <c r="OGW6" s="545"/>
      <c r="OGX6" s="545"/>
      <c r="OGY6" s="136" t="s">
        <v>168</v>
      </c>
      <c r="OGZ6" s="137">
        <v>1</v>
      </c>
      <c r="OHA6" s="137">
        <v>167.32</v>
      </c>
      <c r="OHB6" s="181" t="s">
        <v>817</v>
      </c>
      <c r="OHC6" s="545" t="s">
        <v>816</v>
      </c>
      <c r="OHD6" s="545"/>
      <c r="OHE6" s="545"/>
      <c r="OHF6" s="545"/>
      <c r="OHG6" s="136" t="s">
        <v>168</v>
      </c>
      <c r="OHH6" s="137">
        <v>1</v>
      </c>
      <c r="OHI6" s="137">
        <v>167.32</v>
      </c>
      <c r="OHJ6" s="181" t="s">
        <v>817</v>
      </c>
      <c r="OHK6" s="545" t="s">
        <v>816</v>
      </c>
      <c r="OHL6" s="545"/>
      <c r="OHM6" s="545"/>
      <c r="OHN6" s="545"/>
      <c r="OHO6" s="136" t="s">
        <v>168</v>
      </c>
      <c r="OHP6" s="137">
        <v>1</v>
      </c>
      <c r="OHQ6" s="137">
        <v>167.32</v>
      </c>
      <c r="OHR6" s="181" t="s">
        <v>817</v>
      </c>
      <c r="OHS6" s="545" t="s">
        <v>816</v>
      </c>
      <c r="OHT6" s="545"/>
      <c r="OHU6" s="545"/>
      <c r="OHV6" s="545"/>
      <c r="OHW6" s="136" t="s">
        <v>168</v>
      </c>
      <c r="OHX6" s="137">
        <v>1</v>
      </c>
      <c r="OHY6" s="137">
        <v>167.32</v>
      </c>
      <c r="OHZ6" s="181" t="s">
        <v>817</v>
      </c>
      <c r="OIA6" s="545" t="s">
        <v>816</v>
      </c>
      <c r="OIB6" s="545"/>
      <c r="OIC6" s="545"/>
      <c r="OID6" s="545"/>
      <c r="OIE6" s="136" t="s">
        <v>168</v>
      </c>
      <c r="OIF6" s="137">
        <v>1</v>
      </c>
      <c r="OIG6" s="137">
        <v>167.32</v>
      </c>
      <c r="OIH6" s="181" t="s">
        <v>817</v>
      </c>
      <c r="OII6" s="545" t="s">
        <v>816</v>
      </c>
      <c r="OIJ6" s="545"/>
      <c r="OIK6" s="545"/>
      <c r="OIL6" s="545"/>
      <c r="OIM6" s="136" t="s">
        <v>168</v>
      </c>
      <c r="OIN6" s="137">
        <v>1</v>
      </c>
      <c r="OIO6" s="137">
        <v>167.32</v>
      </c>
      <c r="OIP6" s="181" t="s">
        <v>817</v>
      </c>
      <c r="OIQ6" s="545" t="s">
        <v>816</v>
      </c>
      <c r="OIR6" s="545"/>
      <c r="OIS6" s="545"/>
      <c r="OIT6" s="545"/>
      <c r="OIU6" s="136" t="s">
        <v>168</v>
      </c>
      <c r="OIV6" s="137">
        <v>1</v>
      </c>
      <c r="OIW6" s="137">
        <v>167.32</v>
      </c>
      <c r="OIX6" s="181" t="s">
        <v>817</v>
      </c>
      <c r="OIY6" s="545" t="s">
        <v>816</v>
      </c>
      <c r="OIZ6" s="545"/>
      <c r="OJA6" s="545"/>
      <c r="OJB6" s="545"/>
      <c r="OJC6" s="136" t="s">
        <v>168</v>
      </c>
      <c r="OJD6" s="137">
        <v>1</v>
      </c>
      <c r="OJE6" s="137">
        <v>167.32</v>
      </c>
      <c r="OJF6" s="181" t="s">
        <v>817</v>
      </c>
      <c r="OJG6" s="545" t="s">
        <v>816</v>
      </c>
      <c r="OJH6" s="545"/>
      <c r="OJI6" s="545"/>
      <c r="OJJ6" s="545"/>
      <c r="OJK6" s="136" t="s">
        <v>168</v>
      </c>
      <c r="OJL6" s="137">
        <v>1</v>
      </c>
      <c r="OJM6" s="137">
        <v>167.32</v>
      </c>
      <c r="OJN6" s="181" t="s">
        <v>817</v>
      </c>
      <c r="OJO6" s="545" t="s">
        <v>816</v>
      </c>
      <c r="OJP6" s="545"/>
      <c r="OJQ6" s="545"/>
      <c r="OJR6" s="545"/>
      <c r="OJS6" s="136" t="s">
        <v>168</v>
      </c>
      <c r="OJT6" s="137">
        <v>1</v>
      </c>
      <c r="OJU6" s="137">
        <v>167.32</v>
      </c>
      <c r="OJV6" s="181" t="s">
        <v>817</v>
      </c>
      <c r="OJW6" s="545" t="s">
        <v>816</v>
      </c>
      <c r="OJX6" s="545"/>
      <c r="OJY6" s="545"/>
      <c r="OJZ6" s="545"/>
      <c r="OKA6" s="136" t="s">
        <v>168</v>
      </c>
      <c r="OKB6" s="137">
        <v>1</v>
      </c>
      <c r="OKC6" s="137">
        <v>167.32</v>
      </c>
      <c r="OKD6" s="181" t="s">
        <v>817</v>
      </c>
      <c r="OKE6" s="545" t="s">
        <v>816</v>
      </c>
      <c r="OKF6" s="545"/>
      <c r="OKG6" s="545"/>
      <c r="OKH6" s="545"/>
      <c r="OKI6" s="136" t="s">
        <v>168</v>
      </c>
      <c r="OKJ6" s="137">
        <v>1</v>
      </c>
      <c r="OKK6" s="137">
        <v>167.32</v>
      </c>
      <c r="OKL6" s="181" t="s">
        <v>817</v>
      </c>
      <c r="OKM6" s="545" t="s">
        <v>816</v>
      </c>
      <c r="OKN6" s="545"/>
      <c r="OKO6" s="545"/>
      <c r="OKP6" s="545"/>
      <c r="OKQ6" s="136" t="s">
        <v>168</v>
      </c>
      <c r="OKR6" s="137">
        <v>1</v>
      </c>
      <c r="OKS6" s="137">
        <v>167.32</v>
      </c>
      <c r="OKT6" s="181" t="s">
        <v>817</v>
      </c>
      <c r="OKU6" s="545" t="s">
        <v>816</v>
      </c>
      <c r="OKV6" s="545"/>
      <c r="OKW6" s="545"/>
      <c r="OKX6" s="545"/>
      <c r="OKY6" s="136" t="s">
        <v>168</v>
      </c>
      <c r="OKZ6" s="137">
        <v>1</v>
      </c>
      <c r="OLA6" s="137">
        <v>167.32</v>
      </c>
      <c r="OLB6" s="181" t="s">
        <v>817</v>
      </c>
      <c r="OLC6" s="545" t="s">
        <v>816</v>
      </c>
      <c r="OLD6" s="545"/>
      <c r="OLE6" s="545"/>
      <c r="OLF6" s="545"/>
      <c r="OLG6" s="136" t="s">
        <v>168</v>
      </c>
      <c r="OLH6" s="137">
        <v>1</v>
      </c>
      <c r="OLI6" s="137">
        <v>167.32</v>
      </c>
      <c r="OLJ6" s="181" t="s">
        <v>817</v>
      </c>
      <c r="OLK6" s="545" t="s">
        <v>816</v>
      </c>
      <c r="OLL6" s="545"/>
      <c r="OLM6" s="545"/>
      <c r="OLN6" s="545"/>
      <c r="OLO6" s="136" t="s">
        <v>168</v>
      </c>
      <c r="OLP6" s="137">
        <v>1</v>
      </c>
      <c r="OLQ6" s="137">
        <v>167.32</v>
      </c>
      <c r="OLR6" s="181" t="s">
        <v>817</v>
      </c>
      <c r="OLS6" s="545" t="s">
        <v>816</v>
      </c>
      <c r="OLT6" s="545"/>
      <c r="OLU6" s="545"/>
      <c r="OLV6" s="545"/>
      <c r="OLW6" s="136" t="s">
        <v>168</v>
      </c>
      <c r="OLX6" s="137">
        <v>1</v>
      </c>
      <c r="OLY6" s="137">
        <v>167.32</v>
      </c>
      <c r="OLZ6" s="181" t="s">
        <v>817</v>
      </c>
      <c r="OMA6" s="545" t="s">
        <v>816</v>
      </c>
      <c r="OMB6" s="545"/>
      <c r="OMC6" s="545"/>
      <c r="OMD6" s="545"/>
      <c r="OME6" s="136" t="s">
        <v>168</v>
      </c>
      <c r="OMF6" s="137">
        <v>1</v>
      </c>
      <c r="OMG6" s="137">
        <v>167.32</v>
      </c>
      <c r="OMH6" s="181" t="s">
        <v>817</v>
      </c>
      <c r="OMI6" s="545" t="s">
        <v>816</v>
      </c>
      <c r="OMJ6" s="545"/>
      <c r="OMK6" s="545"/>
      <c r="OML6" s="545"/>
      <c r="OMM6" s="136" t="s">
        <v>168</v>
      </c>
      <c r="OMN6" s="137">
        <v>1</v>
      </c>
      <c r="OMO6" s="137">
        <v>167.32</v>
      </c>
      <c r="OMP6" s="181" t="s">
        <v>817</v>
      </c>
      <c r="OMQ6" s="545" t="s">
        <v>816</v>
      </c>
      <c r="OMR6" s="545"/>
      <c r="OMS6" s="545"/>
      <c r="OMT6" s="545"/>
      <c r="OMU6" s="136" t="s">
        <v>168</v>
      </c>
      <c r="OMV6" s="137">
        <v>1</v>
      </c>
      <c r="OMW6" s="137">
        <v>167.32</v>
      </c>
      <c r="OMX6" s="181" t="s">
        <v>817</v>
      </c>
      <c r="OMY6" s="545" t="s">
        <v>816</v>
      </c>
      <c r="OMZ6" s="545"/>
      <c r="ONA6" s="545"/>
      <c r="ONB6" s="545"/>
      <c r="ONC6" s="136" t="s">
        <v>168</v>
      </c>
      <c r="OND6" s="137">
        <v>1</v>
      </c>
      <c r="ONE6" s="137">
        <v>167.32</v>
      </c>
      <c r="ONF6" s="181" t="s">
        <v>817</v>
      </c>
      <c r="ONG6" s="545" t="s">
        <v>816</v>
      </c>
      <c r="ONH6" s="545"/>
      <c r="ONI6" s="545"/>
      <c r="ONJ6" s="545"/>
      <c r="ONK6" s="136" t="s">
        <v>168</v>
      </c>
      <c r="ONL6" s="137">
        <v>1</v>
      </c>
      <c r="ONM6" s="137">
        <v>167.32</v>
      </c>
      <c r="ONN6" s="181" t="s">
        <v>817</v>
      </c>
      <c r="ONO6" s="545" t="s">
        <v>816</v>
      </c>
      <c r="ONP6" s="545"/>
      <c r="ONQ6" s="545"/>
      <c r="ONR6" s="545"/>
      <c r="ONS6" s="136" t="s">
        <v>168</v>
      </c>
      <c r="ONT6" s="137">
        <v>1</v>
      </c>
      <c r="ONU6" s="137">
        <v>167.32</v>
      </c>
      <c r="ONV6" s="181" t="s">
        <v>817</v>
      </c>
      <c r="ONW6" s="545" t="s">
        <v>816</v>
      </c>
      <c r="ONX6" s="545"/>
      <c r="ONY6" s="545"/>
      <c r="ONZ6" s="545"/>
      <c r="OOA6" s="136" t="s">
        <v>168</v>
      </c>
      <c r="OOB6" s="137">
        <v>1</v>
      </c>
      <c r="OOC6" s="137">
        <v>167.32</v>
      </c>
      <c r="OOD6" s="181" t="s">
        <v>817</v>
      </c>
      <c r="OOE6" s="545" t="s">
        <v>816</v>
      </c>
      <c r="OOF6" s="545"/>
      <c r="OOG6" s="545"/>
      <c r="OOH6" s="545"/>
      <c r="OOI6" s="136" t="s">
        <v>168</v>
      </c>
      <c r="OOJ6" s="137">
        <v>1</v>
      </c>
      <c r="OOK6" s="137">
        <v>167.32</v>
      </c>
      <c r="OOL6" s="181" t="s">
        <v>817</v>
      </c>
      <c r="OOM6" s="545" t="s">
        <v>816</v>
      </c>
      <c r="OON6" s="545"/>
      <c r="OOO6" s="545"/>
      <c r="OOP6" s="545"/>
      <c r="OOQ6" s="136" t="s">
        <v>168</v>
      </c>
      <c r="OOR6" s="137">
        <v>1</v>
      </c>
      <c r="OOS6" s="137">
        <v>167.32</v>
      </c>
      <c r="OOT6" s="181" t="s">
        <v>817</v>
      </c>
      <c r="OOU6" s="545" t="s">
        <v>816</v>
      </c>
      <c r="OOV6" s="545"/>
      <c r="OOW6" s="545"/>
      <c r="OOX6" s="545"/>
      <c r="OOY6" s="136" t="s">
        <v>168</v>
      </c>
      <c r="OOZ6" s="137">
        <v>1</v>
      </c>
      <c r="OPA6" s="137">
        <v>167.32</v>
      </c>
      <c r="OPB6" s="181" t="s">
        <v>817</v>
      </c>
      <c r="OPC6" s="545" t="s">
        <v>816</v>
      </c>
      <c r="OPD6" s="545"/>
      <c r="OPE6" s="545"/>
      <c r="OPF6" s="545"/>
      <c r="OPG6" s="136" t="s">
        <v>168</v>
      </c>
      <c r="OPH6" s="137">
        <v>1</v>
      </c>
      <c r="OPI6" s="137">
        <v>167.32</v>
      </c>
      <c r="OPJ6" s="181" t="s">
        <v>817</v>
      </c>
      <c r="OPK6" s="545" t="s">
        <v>816</v>
      </c>
      <c r="OPL6" s="545"/>
      <c r="OPM6" s="545"/>
      <c r="OPN6" s="545"/>
      <c r="OPO6" s="136" t="s">
        <v>168</v>
      </c>
      <c r="OPP6" s="137">
        <v>1</v>
      </c>
      <c r="OPQ6" s="137">
        <v>167.32</v>
      </c>
      <c r="OPR6" s="181" t="s">
        <v>817</v>
      </c>
      <c r="OPS6" s="545" t="s">
        <v>816</v>
      </c>
      <c r="OPT6" s="545"/>
      <c r="OPU6" s="545"/>
      <c r="OPV6" s="545"/>
      <c r="OPW6" s="136" t="s">
        <v>168</v>
      </c>
      <c r="OPX6" s="137">
        <v>1</v>
      </c>
      <c r="OPY6" s="137">
        <v>167.32</v>
      </c>
      <c r="OPZ6" s="181" t="s">
        <v>817</v>
      </c>
      <c r="OQA6" s="545" t="s">
        <v>816</v>
      </c>
      <c r="OQB6" s="545"/>
      <c r="OQC6" s="545"/>
      <c r="OQD6" s="545"/>
      <c r="OQE6" s="136" t="s">
        <v>168</v>
      </c>
      <c r="OQF6" s="137">
        <v>1</v>
      </c>
      <c r="OQG6" s="137">
        <v>167.32</v>
      </c>
      <c r="OQH6" s="181" t="s">
        <v>817</v>
      </c>
      <c r="OQI6" s="545" t="s">
        <v>816</v>
      </c>
      <c r="OQJ6" s="545"/>
      <c r="OQK6" s="545"/>
      <c r="OQL6" s="545"/>
      <c r="OQM6" s="136" t="s">
        <v>168</v>
      </c>
      <c r="OQN6" s="137">
        <v>1</v>
      </c>
      <c r="OQO6" s="137">
        <v>167.32</v>
      </c>
      <c r="OQP6" s="181" t="s">
        <v>817</v>
      </c>
      <c r="OQQ6" s="545" t="s">
        <v>816</v>
      </c>
      <c r="OQR6" s="545"/>
      <c r="OQS6" s="545"/>
      <c r="OQT6" s="545"/>
      <c r="OQU6" s="136" t="s">
        <v>168</v>
      </c>
      <c r="OQV6" s="137">
        <v>1</v>
      </c>
      <c r="OQW6" s="137">
        <v>167.32</v>
      </c>
      <c r="OQX6" s="181" t="s">
        <v>817</v>
      </c>
      <c r="OQY6" s="545" t="s">
        <v>816</v>
      </c>
      <c r="OQZ6" s="545"/>
      <c r="ORA6" s="545"/>
      <c r="ORB6" s="545"/>
      <c r="ORC6" s="136" t="s">
        <v>168</v>
      </c>
      <c r="ORD6" s="137">
        <v>1</v>
      </c>
      <c r="ORE6" s="137">
        <v>167.32</v>
      </c>
      <c r="ORF6" s="181" t="s">
        <v>817</v>
      </c>
      <c r="ORG6" s="545" t="s">
        <v>816</v>
      </c>
      <c r="ORH6" s="545"/>
      <c r="ORI6" s="545"/>
      <c r="ORJ6" s="545"/>
      <c r="ORK6" s="136" t="s">
        <v>168</v>
      </c>
      <c r="ORL6" s="137">
        <v>1</v>
      </c>
      <c r="ORM6" s="137">
        <v>167.32</v>
      </c>
      <c r="ORN6" s="181" t="s">
        <v>817</v>
      </c>
      <c r="ORO6" s="545" t="s">
        <v>816</v>
      </c>
      <c r="ORP6" s="545"/>
      <c r="ORQ6" s="545"/>
      <c r="ORR6" s="545"/>
      <c r="ORS6" s="136" t="s">
        <v>168</v>
      </c>
      <c r="ORT6" s="137">
        <v>1</v>
      </c>
      <c r="ORU6" s="137">
        <v>167.32</v>
      </c>
      <c r="ORV6" s="181" t="s">
        <v>817</v>
      </c>
      <c r="ORW6" s="545" t="s">
        <v>816</v>
      </c>
      <c r="ORX6" s="545"/>
      <c r="ORY6" s="545"/>
      <c r="ORZ6" s="545"/>
      <c r="OSA6" s="136" t="s">
        <v>168</v>
      </c>
      <c r="OSB6" s="137">
        <v>1</v>
      </c>
      <c r="OSC6" s="137">
        <v>167.32</v>
      </c>
      <c r="OSD6" s="181" t="s">
        <v>817</v>
      </c>
      <c r="OSE6" s="545" t="s">
        <v>816</v>
      </c>
      <c r="OSF6" s="545"/>
      <c r="OSG6" s="545"/>
      <c r="OSH6" s="545"/>
      <c r="OSI6" s="136" t="s">
        <v>168</v>
      </c>
      <c r="OSJ6" s="137">
        <v>1</v>
      </c>
      <c r="OSK6" s="137">
        <v>167.32</v>
      </c>
      <c r="OSL6" s="181" t="s">
        <v>817</v>
      </c>
      <c r="OSM6" s="545" t="s">
        <v>816</v>
      </c>
      <c r="OSN6" s="545"/>
      <c r="OSO6" s="545"/>
      <c r="OSP6" s="545"/>
      <c r="OSQ6" s="136" t="s">
        <v>168</v>
      </c>
      <c r="OSR6" s="137">
        <v>1</v>
      </c>
      <c r="OSS6" s="137">
        <v>167.32</v>
      </c>
      <c r="OST6" s="181" t="s">
        <v>817</v>
      </c>
      <c r="OSU6" s="545" t="s">
        <v>816</v>
      </c>
      <c r="OSV6" s="545"/>
      <c r="OSW6" s="545"/>
      <c r="OSX6" s="545"/>
      <c r="OSY6" s="136" t="s">
        <v>168</v>
      </c>
      <c r="OSZ6" s="137">
        <v>1</v>
      </c>
      <c r="OTA6" s="137">
        <v>167.32</v>
      </c>
      <c r="OTB6" s="181" t="s">
        <v>817</v>
      </c>
      <c r="OTC6" s="545" t="s">
        <v>816</v>
      </c>
      <c r="OTD6" s="545"/>
      <c r="OTE6" s="545"/>
      <c r="OTF6" s="545"/>
      <c r="OTG6" s="136" t="s">
        <v>168</v>
      </c>
      <c r="OTH6" s="137">
        <v>1</v>
      </c>
      <c r="OTI6" s="137">
        <v>167.32</v>
      </c>
      <c r="OTJ6" s="181" t="s">
        <v>817</v>
      </c>
      <c r="OTK6" s="545" t="s">
        <v>816</v>
      </c>
      <c r="OTL6" s="545"/>
      <c r="OTM6" s="545"/>
      <c r="OTN6" s="545"/>
      <c r="OTO6" s="136" t="s">
        <v>168</v>
      </c>
      <c r="OTP6" s="137">
        <v>1</v>
      </c>
      <c r="OTQ6" s="137">
        <v>167.32</v>
      </c>
      <c r="OTR6" s="181" t="s">
        <v>817</v>
      </c>
      <c r="OTS6" s="545" t="s">
        <v>816</v>
      </c>
      <c r="OTT6" s="545"/>
      <c r="OTU6" s="545"/>
      <c r="OTV6" s="545"/>
      <c r="OTW6" s="136" t="s">
        <v>168</v>
      </c>
      <c r="OTX6" s="137">
        <v>1</v>
      </c>
      <c r="OTY6" s="137">
        <v>167.32</v>
      </c>
      <c r="OTZ6" s="181" t="s">
        <v>817</v>
      </c>
      <c r="OUA6" s="545" t="s">
        <v>816</v>
      </c>
      <c r="OUB6" s="545"/>
      <c r="OUC6" s="545"/>
      <c r="OUD6" s="545"/>
      <c r="OUE6" s="136" t="s">
        <v>168</v>
      </c>
      <c r="OUF6" s="137">
        <v>1</v>
      </c>
      <c r="OUG6" s="137">
        <v>167.32</v>
      </c>
      <c r="OUH6" s="181" t="s">
        <v>817</v>
      </c>
      <c r="OUI6" s="545" t="s">
        <v>816</v>
      </c>
      <c r="OUJ6" s="545"/>
      <c r="OUK6" s="545"/>
      <c r="OUL6" s="545"/>
      <c r="OUM6" s="136" t="s">
        <v>168</v>
      </c>
      <c r="OUN6" s="137">
        <v>1</v>
      </c>
      <c r="OUO6" s="137">
        <v>167.32</v>
      </c>
      <c r="OUP6" s="181" t="s">
        <v>817</v>
      </c>
      <c r="OUQ6" s="545" t="s">
        <v>816</v>
      </c>
      <c r="OUR6" s="545"/>
      <c r="OUS6" s="545"/>
      <c r="OUT6" s="545"/>
      <c r="OUU6" s="136" t="s">
        <v>168</v>
      </c>
      <c r="OUV6" s="137">
        <v>1</v>
      </c>
      <c r="OUW6" s="137">
        <v>167.32</v>
      </c>
      <c r="OUX6" s="181" t="s">
        <v>817</v>
      </c>
      <c r="OUY6" s="545" t="s">
        <v>816</v>
      </c>
      <c r="OUZ6" s="545"/>
      <c r="OVA6" s="545"/>
      <c r="OVB6" s="545"/>
      <c r="OVC6" s="136" t="s">
        <v>168</v>
      </c>
      <c r="OVD6" s="137">
        <v>1</v>
      </c>
      <c r="OVE6" s="137">
        <v>167.32</v>
      </c>
      <c r="OVF6" s="181" t="s">
        <v>817</v>
      </c>
      <c r="OVG6" s="545" t="s">
        <v>816</v>
      </c>
      <c r="OVH6" s="545"/>
      <c r="OVI6" s="545"/>
      <c r="OVJ6" s="545"/>
      <c r="OVK6" s="136" t="s">
        <v>168</v>
      </c>
      <c r="OVL6" s="137">
        <v>1</v>
      </c>
      <c r="OVM6" s="137">
        <v>167.32</v>
      </c>
      <c r="OVN6" s="181" t="s">
        <v>817</v>
      </c>
      <c r="OVO6" s="545" t="s">
        <v>816</v>
      </c>
      <c r="OVP6" s="545"/>
      <c r="OVQ6" s="545"/>
      <c r="OVR6" s="545"/>
      <c r="OVS6" s="136" t="s">
        <v>168</v>
      </c>
      <c r="OVT6" s="137">
        <v>1</v>
      </c>
      <c r="OVU6" s="137">
        <v>167.32</v>
      </c>
      <c r="OVV6" s="181" t="s">
        <v>817</v>
      </c>
      <c r="OVW6" s="545" t="s">
        <v>816</v>
      </c>
      <c r="OVX6" s="545"/>
      <c r="OVY6" s="545"/>
      <c r="OVZ6" s="545"/>
      <c r="OWA6" s="136" t="s">
        <v>168</v>
      </c>
      <c r="OWB6" s="137">
        <v>1</v>
      </c>
      <c r="OWC6" s="137">
        <v>167.32</v>
      </c>
      <c r="OWD6" s="181" t="s">
        <v>817</v>
      </c>
      <c r="OWE6" s="545" t="s">
        <v>816</v>
      </c>
      <c r="OWF6" s="545"/>
      <c r="OWG6" s="545"/>
      <c r="OWH6" s="545"/>
      <c r="OWI6" s="136" t="s">
        <v>168</v>
      </c>
      <c r="OWJ6" s="137">
        <v>1</v>
      </c>
      <c r="OWK6" s="137">
        <v>167.32</v>
      </c>
      <c r="OWL6" s="181" t="s">
        <v>817</v>
      </c>
      <c r="OWM6" s="545" t="s">
        <v>816</v>
      </c>
      <c r="OWN6" s="545"/>
      <c r="OWO6" s="545"/>
      <c r="OWP6" s="545"/>
      <c r="OWQ6" s="136" t="s">
        <v>168</v>
      </c>
      <c r="OWR6" s="137">
        <v>1</v>
      </c>
      <c r="OWS6" s="137">
        <v>167.32</v>
      </c>
      <c r="OWT6" s="181" t="s">
        <v>817</v>
      </c>
      <c r="OWU6" s="545" t="s">
        <v>816</v>
      </c>
      <c r="OWV6" s="545"/>
      <c r="OWW6" s="545"/>
      <c r="OWX6" s="545"/>
      <c r="OWY6" s="136" t="s">
        <v>168</v>
      </c>
      <c r="OWZ6" s="137">
        <v>1</v>
      </c>
      <c r="OXA6" s="137">
        <v>167.32</v>
      </c>
      <c r="OXB6" s="181" t="s">
        <v>817</v>
      </c>
      <c r="OXC6" s="545" t="s">
        <v>816</v>
      </c>
      <c r="OXD6" s="545"/>
      <c r="OXE6" s="545"/>
      <c r="OXF6" s="545"/>
      <c r="OXG6" s="136" t="s">
        <v>168</v>
      </c>
      <c r="OXH6" s="137">
        <v>1</v>
      </c>
      <c r="OXI6" s="137">
        <v>167.32</v>
      </c>
      <c r="OXJ6" s="181" t="s">
        <v>817</v>
      </c>
      <c r="OXK6" s="545" t="s">
        <v>816</v>
      </c>
      <c r="OXL6" s="545"/>
      <c r="OXM6" s="545"/>
      <c r="OXN6" s="545"/>
      <c r="OXO6" s="136" t="s">
        <v>168</v>
      </c>
      <c r="OXP6" s="137">
        <v>1</v>
      </c>
      <c r="OXQ6" s="137">
        <v>167.32</v>
      </c>
      <c r="OXR6" s="181" t="s">
        <v>817</v>
      </c>
      <c r="OXS6" s="545" t="s">
        <v>816</v>
      </c>
      <c r="OXT6" s="545"/>
      <c r="OXU6" s="545"/>
      <c r="OXV6" s="545"/>
      <c r="OXW6" s="136" t="s">
        <v>168</v>
      </c>
      <c r="OXX6" s="137">
        <v>1</v>
      </c>
      <c r="OXY6" s="137">
        <v>167.32</v>
      </c>
      <c r="OXZ6" s="181" t="s">
        <v>817</v>
      </c>
      <c r="OYA6" s="545" t="s">
        <v>816</v>
      </c>
      <c r="OYB6" s="545"/>
      <c r="OYC6" s="545"/>
      <c r="OYD6" s="545"/>
      <c r="OYE6" s="136" t="s">
        <v>168</v>
      </c>
      <c r="OYF6" s="137">
        <v>1</v>
      </c>
      <c r="OYG6" s="137">
        <v>167.32</v>
      </c>
      <c r="OYH6" s="181" t="s">
        <v>817</v>
      </c>
      <c r="OYI6" s="545" t="s">
        <v>816</v>
      </c>
      <c r="OYJ6" s="545"/>
      <c r="OYK6" s="545"/>
      <c r="OYL6" s="545"/>
      <c r="OYM6" s="136" t="s">
        <v>168</v>
      </c>
      <c r="OYN6" s="137">
        <v>1</v>
      </c>
      <c r="OYO6" s="137">
        <v>167.32</v>
      </c>
      <c r="OYP6" s="181" t="s">
        <v>817</v>
      </c>
      <c r="OYQ6" s="545" t="s">
        <v>816</v>
      </c>
      <c r="OYR6" s="545"/>
      <c r="OYS6" s="545"/>
      <c r="OYT6" s="545"/>
      <c r="OYU6" s="136" t="s">
        <v>168</v>
      </c>
      <c r="OYV6" s="137">
        <v>1</v>
      </c>
      <c r="OYW6" s="137">
        <v>167.32</v>
      </c>
      <c r="OYX6" s="181" t="s">
        <v>817</v>
      </c>
      <c r="OYY6" s="545" t="s">
        <v>816</v>
      </c>
      <c r="OYZ6" s="545"/>
      <c r="OZA6" s="545"/>
      <c r="OZB6" s="545"/>
      <c r="OZC6" s="136" t="s">
        <v>168</v>
      </c>
      <c r="OZD6" s="137">
        <v>1</v>
      </c>
      <c r="OZE6" s="137">
        <v>167.32</v>
      </c>
      <c r="OZF6" s="181" t="s">
        <v>817</v>
      </c>
      <c r="OZG6" s="545" t="s">
        <v>816</v>
      </c>
      <c r="OZH6" s="545"/>
      <c r="OZI6" s="545"/>
      <c r="OZJ6" s="545"/>
      <c r="OZK6" s="136" t="s">
        <v>168</v>
      </c>
      <c r="OZL6" s="137">
        <v>1</v>
      </c>
      <c r="OZM6" s="137">
        <v>167.32</v>
      </c>
      <c r="OZN6" s="181" t="s">
        <v>817</v>
      </c>
      <c r="OZO6" s="545" t="s">
        <v>816</v>
      </c>
      <c r="OZP6" s="545"/>
      <c r="OZQ6" s="545"/>
      <c r="OZR6" s="545"/>
      <c r="OZS6" s="136" t="s">
        <v>168</v>
      </c>
      <c r="OZT6" s="137">
        <v>1</v>
      </c>
      <c r="OZU6" s="137">
        <v>167.32</v>
      </c>
      <c r="OZV6" s="181" t="s">
        <v>817</v>
      </c>
      <c r="OZW6" s="545" t="s">
        <v>816</v>
      </c>
      <c r="OZX6" s="545"/>
      <c r="OZY6" s="545"/>
      <c r="OZZ6" s="545"/>
      <c r="PAA6" s="136" t="s">
        <v>168</v>
      </c>
      <c r="PAB6" s="137">
        <v>1</v>
      </c>
      <c r="PAC6" s="137">
        <v>167.32</v>
      </c>
      <c r="PAD6" s="181" t="s">
        <v>817</v>
      </c>
      <c r="PAE6" s="545" t="s">
        <v>816</v>
      </c>
      <c r="PAF6" s="545"/>
      <c r="PAG6" s="545"/>
      <c r="PAH6" s="545"/>
      <c r="PAI6" s="136" t="s">
        <v>168</v>
      </c>
      <c r="PAJ6" s="137">
        <v>1</v>
      </c>
      <c r="PAK6" s="137">
        <v>167.32</v>
      </c>
      <c r="PAL6" s="181" t="s">
        <v>817</v>
      </c>
      <c r="PAM6" s="545" t="s">
        <v>816</v>
      </c>
      <c r="PAN6" s="545"/>
      <c r="PAO6" s="545"/>
      <c r="PAP6" s="545"/>
      <c r="PAQ6" s="136" t="s">
        <v>168</v>
      </c>
      <c r="PAR6" s="137">
        <v>1</v>
      </c>
      <c r="PAS6" s="137">
        <v>167.32</v>
      </c>
      <c r="PAT6" s="181" t="s">
        <v>817</v>
      </c>
      <c r="PAU6" s="545" t="s">
        <v>816</v>
      </c>
      <c r="PAV6" s="545"/>
      <c r="PAW6" s="545"/>
      <c r="PAX6" s="545"/>
      <c r="PAY6" s="136" t="s">
        <v>168</v>
      </c>
      <c r="PAZ6" s="137">
        <v>1</v>
      </c>
      <c r="PBA6" s="137">
        <v>167.32</v>
      </c>
      <c r="PBB6" s="181" t="s">
        <v>817</v>
      </c>
      <c r="PBC6" s="545" t="s">
        <v>816</v>
      </c>
      <c r="PBD6" s="545"/>
      <c r="PBE6" s="545"/>
      <c r="PBF6" s="545"/>
      <c r="PBG6" s="136" t="s">
        <v>168</v>
      </c>
      <c r="PBH6" s="137">
        <v>1</v>
      </c>
      <c r="PBI6" s="137">
        <v>167.32</v>
      </c>
      <c r="PBJ6" s="181" t="s">
        <v>817</v>
      </c>
      <c r="PBK6" s="545" t="s">
        <v>816</v>
      </c>
      <c r="PBL6" s="545"/>
      <c r="PBM6" s="545"/>
      <c r="PBN6" s="545"/>
      <c r="PBO6" s="136" t="s">
        <v>168</v>
      </c>
      <c r="PBP6" s="137">
        <v>1</v>
      </c>
      <c r="PBQ6" s="137">
        <v>167.32</v>
      </c>
      <c r="PBR6" s="181" t="s">
        <v>817</v>
      </c>
      <c r="PBS6" s="545" t="s">
        <v>816</v>
      </c>
      <c r="PBT6" s="545"/>
      <c r="PBU6" s="545"/>
      <c r="PBV6" s="545"/>
      <c r="PBW6" s="136" t="s">
        <v>168</v>
      </c>
      <c r="PBX6" s="137">
        <v>1</v>
      </c>
      <c r="PBY6" s="137">
        <v>167.32</v>
      </c>
      <c r="PBZ6" s="181" t="s">
        <v>817</v>
      </c>
      <c r="PCA6" s="545" t="s">
        <v>816</v>
      </c>
      <c r="PCB6" s="545"/>
      <c r="PCC6" s="545"/>
      <c r="PCD6" s="545"/>
      <c r="PCE6" s="136" t="s">
        <v>168</v>
      </c>
      <c r="PCF6" s="137">
        <v>1</v>
      </c>
      <c r="PCG6" s="137">
        <v>167.32</v>
      </c>
      <c r="PCH6" s="181" t="s">
        <v>817</v>
      </c>
      <c r="PCI6" s="545" t="s">
        <v>816</v>
      </c>
      <c r="PCJ6" s="545"/>
      <c r="PCK6" s="545"/>
      <c r="PCL6" s="545"/>
      <c r="PCM6" s="136" t="s">
        <v>168</v>
      </c>
      <c r="PCN6" s="137">
        <v>1</v>
      </c>
      <c r="PCO6" s="137">
        <v>167.32</v>
      </c>
      <c r="PCP6" s="181" t="s">
        <v>817</v>
      </c>
      <c r="PCQ6" s="545" t="s">
        <v>816</v>
      </c>
      <c r="PCR6" s="545"/>
      <c r="PCS6" s="545"/>
      <c r="PCT6" s="545"/>
      <c r="PCU6" s="136" t="s">
        <v>168</v>
      </c>
      <c r="PCV6" s="137">
        <v>1</v>
      </c>
      <c r="PCW6" s="137">
        <v>167.32</v>
      </c>
      <c r="PCX6" s="181" t="s">
        <v>817</v>
      </c>
      <c r="PCY6" s="545" t="s">
        <v>816</v>
      </c>
      <c r="PCZ6" s="545"/>
      <c r="PDA6" s="545"/>
      <c r="PDB6" s="545"/>
      <c r="PDC6" s="136" t="s">
        <v>168</v>
      </c>
      <c r="PDD6" s="137">
        <v>1</v>
      </c>
      <c r="PDE6" s="137">
        <v>167.32</v>
      </c>
      <c r="PDF6" s="181" t="s">
        <v>817</v>
      </c>
      <c r="PDG6" s="545" t="s">
        <v>816</v>
      </c>
      <c r="PDH6" s="545"/>
      <c r="PDI6" s="545"/>
      <c r="PDJ6" s="545"/>
      <c r="PDK6" s="136" t="s">
        <v>168</v>
      </c>
      <c r="PDL6" s="137">
        <v>1</v>
      </c>
      <c r="PDM6" s="137">
        <v>167.32</v>
      </c>
      <c r="PDN6" s="181" t="s">
        <v>817</v>
      </c>
      <c r="PDO6" s="545" t="s">
        <v>816</v>
      </c>
      <c r="PDP6" s="545"/>
      <c r="PDQ6" s="545"/>
      <c r="PDR6" s="545"/>
      <c r="PDS6" s="136" t="s">
        <v>168</v>
      </c>
      <c r="PDT6" s="137">
        <v>1</v>
      </c>
      <c r="PDU6" s="137">
        <v>167.32</v>
      </c>
      <c r="PDV6" s="181" t="s">
        <v>817</v>
      </c>
      <c r="PDW6" s="545" t="s">
        <v>816</v>
      </c>
      <c r="PDX6" s="545"/>
      <c r="PDY6" s="545"/>
      <c r="PDZ6" s="545"/>
      <c r="PEA6" s="136" t="s">
        <v>168</v>
      </c>
      <c r="PEB6" s="137">
        <v>1</v>
      </c>
      <c r="PEC6" s="137">
        <v>167.32</v>
      </c>
      <c r="PED6" s="181" t="s">
        <v>817</v>
      </c>
      <c r="PEE6" s="545" t="s">
        <v>816</v>
      </c>
      <c r="PEF6" s="545"/>
      <c r="PEG6" s="545"/>
      <c r="PEH6" s="545"/>
      <c r="PEI6" s="136" t="s">
        <v>168</v>
      </c>
      <c r="PEJ6" s="137">
        <v>1</v>
      </c>
      <c r="PEK6" s="137">
        <v>167.32</v>
      </c>
      <c r="PEL6" s="181" t="s">
        <v>817</v>
      </c>
      <c r="PEM6" s="545" t="s">
        <v>816</v>
      </c>
      <c r="PEN6" s="545"/>
      <c r="PEO6" s="545"/>
      <c r="PEP6" s="545"/>
      <c r="PEQ6" s="136" t="s">
        <v>168</v>
      </c>
      <c r="PER6" s="137">
        <v>1</v>
      </c>
      <c r="PES6" s="137">
        <v>167.32</v>
      </c>
      <c r="PET6" s="181" t="s">
        <v>817</v>
      </c>
      <c r="PEU6" s="545" t="s">
        <v>816</v>
      </c>
      <c r="PEV6" s="545"/>
      <c r="PEW6" s="545"/>
      <c r="PEX6" s="545"/>
      <c r="PEY6" s="136" t="s">
        <v>168</v>
      </c>
      <c r="PEZ6" s="137">
        <v>1</v>
      </c>
      <c r="PFA6" s="137">
        <v>167.32</v>
      </c>
      <c r="PFB6" s="181" t="s">
        <v>817</v>
      </c>
      <c r="PFC6" s="545" t="s">
        <v>816</v>
      </c>
      <c r="PFD6" s="545"/>
      <c r="PFE6" s="545"/>
      <c r="PFF6" s="545"/>
      <c r="PFG6" s="136" t="s">
        <v>168</v>
      </c>
      <c r="PFH6" s="137">
        <v>1</v>
      </c>
      <c r="PFI6" s="137">
        <v>167.32</v>
      </c>
      <c r="PFJ6" s="181" t="s">
        <v>817</v>
      </c>
      <c r="PFK6" s="545" t="s">
        <v>816</v>
      </c>
      <c r="PFL6" s="545"/>
      <c r="PFM6" s="545"/>
      <c r="PFN6" s="545"/>
      <c r="PFO6" s="136" t="s">
        <v>168</v>
      </c>
      <c r="PFP6" s="137">
        <v>1</v>
      </c>
      <c r="PFQ6" s="137">
        <v>167.32</v>
      </c>
      <c r="PFR6" s="181" t="s">
        <v>817</v>
      </c>
      <c r="PFS6" s="545" t="s">
        <v>816</v>
      </c>
      <c r="PFT6" s="545"/>
      <c r="PFU6" s="545"/>
      <c r="PFV6" s="545"/>
      <c r="PFW6" s="136" t="s">
        <v>168</v>
      </c>
      <c r="PFX6" s="137">
        <v>1</v>
      </c>
      <c r="PFY6" s="137">
        <v>167.32</v>
      </c>
      <c r="PFZ6" s="181" t="s">
        <v>817</v>
      </c>
      <c r="PGA6" s="545" t="s">
        <v>816</v>
      </c>
      <c r="PGB6" s="545"/>
      <c r="PGC6" s="545"/>
      <c r="PGD6" s="545"/>
      <c r="PGE6" s="136" t="s">
        <v>168</v>
      </c>
      <c r="PGF6" s="137">
        <v>1</v>
      </c>
      <c r="PGG6" s="137">
        <v>167.32</v>
      </c>
      <c r="PGH6" s="181" t="s">
        <v>817</v>
      </c>
      <c r="PGI6" s="545" t="s">
        <v>816</v>
      </c>
      <c r="PGJ6" s="545"/>
      <c r="PGK6" s="545"/>
      <c r="PGL6" s="545"/>
      <c r="PGM6" s="136" t="s">
        <v>168</v>
      </c>
      <c r="PGN6" s="137">
        <v>1</v>
      </c>
      <c r="PGO6" s="137">
        <v>167.32</v>
      </c>
      <c r="PGP6" s="181" t="s">
        <v>817</v>
      </c>
      <c r="PGQ6" s="545" t="s">
        <v>816</v>
      </c>
      <c r="PGR6" s="545"/>
      <c r="PGS6" s="545"/>
      <c r="PGT6" s="545"/>
      <c r="PGU6" s="136" t="s">
        <v>168</v>
      </c>
      <c r="PGV6" s="137">
        <v>1</v>
      </c>
      <c r="PGW6" s="137">
        <v>167.32</v>
      </c>
      <c r="PGX6" s="181" t="s">
        <v>817</v>
      </c>
      <c r="PGY6" s="545" t="s">
        <v>816</v>
      </c>
      <c r="PGZ6" s="545"/>
      <c r="PHA6" s="545"/>
      <c r="PHB6" s="545"/>
      <c r="PHC6" s="136" t="s">
        <v>168</v>
      </c>
      <c r="PHD6" s="137">
        <v>1</v>
      </c>
      <c r="PHE6" s="137">
        <v>167.32</v>
      </c>
      <c r="PHF6" s="181" t="s">
        <v>817</v>
      </c>
      <c r="PHG6" s="545" t="s">
        <v>816</v>
      </c>
      <c r="PHH6" s="545"/>
      <c r="PHI6" s="545"/>
      <c r="PHJ6" s="545"/>
      <c r="PHK6" s="136" t="s">
        <v>168</v>
      </c>
      <c r="PHL6" s="137">
        <v>1</v>
      </c>
      <c r="PHM6" s="137">
        <v>167.32</v>
      </c>
      <c r="PHN6" s="181" t="s">
        <v>817</v>
      </c>
      <c r="PHO6" s="545" t="s">
        <v>816</v>
      </c>
      <c r="PHP6" s="545"/>
      <c r="PHQ6" s="545"/>
      <c r="PHR6" s="545"/>
      <c r="PHS6" s="136" t="s">
        <v>168</v>
      </c>
      <c r="PHT6" s="137">
        <v>1</v>
      </c>
      <c r="PHU6" s="137">
        <v>167.32</v>
      </c>
      <c r="PHV6" s="181" t="s">
        <v>817</v>
      </c>
      <c r="PHW6" s="545" t="s">
        <v>816</v>
      </c>
      <c r="PHX6" s="545"/>
      <c r="PHY6" s="545"/>
      <c r="PHZ6" s="545"/>
      <c r="PIA6" s="136" t="s">
        <v>168</v>
      </c>
      <c r="PIB6" s="137">
        <v>1</v>
      </c>
      <c r="PIC6" s="137">
        <v>167.32</v>
      </c>
      <c r="PID6" s="181" t="s">
        <v>817</v>
      </c>
      <c r="PIE6" s="545" t="s">
        <v>816</v>
      </c>
      <c r="PIF6" s="545"/>
      <c r="PIG6" s="545"/>
      <c r="PIH6" s="545"/>
      <c r="PII6" s="136" t="s">
        <v>168</v>
      </c>
      <c r="PIJ6" s="137">
        <v>1</v>
      </c>
      <c r="PIK6" s="137">
        <v>167.32</v>
      </c>
      <c r="PIL6" s="181" t="s">
        <v>817</v>
      </c>
      <c r="PIM6" s="545" t="s">
        <v>816</v>
      </c>
      <c r="PIN6" s="545"/>
      <c r="PIO6" s="545"/>
      <c r="PIP6" s="545"/>
      <c r="PIQ6" s="136" t="s">
        <v>168</v>
      </c>
      <c r="PIR6" s="137">
        <v>1</v>
      </c>
      <c r="PIS6" s="137">
        <v>167.32</v>
      </c>
      <c r="PIT6" s="181" t="s">
        <v>817</v>
      </c>
      <c r="PIU6" s="545" t="s">
        <v>816</v>
      </c>
      <c r="PIV6" s="545"/>
      <c r="PIW6" s="545"/>
      <c r="PIX6" s="545"/>
      <c r="PIY6" s="136" t="s">
        <v>168</v>
      </c>
      <c r="PIZ6" s="137">
        <v>1</v>
      </c>
      <c r="PJA6" s="137">
        <v>167.32</v>
      </c>
      <c r="PJB6" s="181" t="s">
        <v>817</v>
      </c>
      <c r="PJC6" s="545" t="s">
        <v>816</v>
      </c>
      <c r="PJD6" s="545"/>
      <c r="PJE6" s="545"/>
      <c r="PJF6" s="545"/>
      <c r="PJG6" s="136" t="s">
        <v>168</v>
      </c>
      <c r="PJH6" s="137">
        <v>1</v>
      </c>
      <c r="PJI6" s="137">
        <v>167.32</v>
      </c>
      <c r="PJJ6" s="181" t="s">
        <v>817</v>
      </c>
      <c r="PJK6" s="545" t="s">
        <v>816</v>
      </c>
      <c r="PJL6" s="545"/>
      <c r="PJM6" s="545"/>
      <c r="PJN6" s="545"/>
      <c r="PJO6" s="136" t="s">
        <v>168</v>
      </c>
      <c r="PJP6" s="137">
        <v>1</v>
      </c>
      <c r="PJQ6" s="137">
        <v>167.32</v>
      </c>
      <c r="PJR6" s="181" t="s">
        <v>817</v>
      </c>
      <c r="PJS6" s="545" t="s">
        <v>816</v>
      </c>
      <c r="PJT6" s="545"/>
      <c r="PJU6" s="545"/>
      <c r="PJV6" s="545"/>
      <c r="PJW6" s="136" t="s">
        <v>168</v>
      </c>
      <c r="PJX6" s="137">
        <v>1</v>
      </c>
      <c r="PJY6" s="137">
        <v>167.32</v>
      </c>
      <c r="PJZ6" s="181" t="s">
        <v>817</v>
      </c>
      <c r="PKA6" s="545" t="s">
        <v>816</v>
      </c>
      <c r="PKB6" s="545"/>
      <c r="PKC6" s="545"/>
      <c r="PKD6" s="545"/>
      <c r="PKE6" s="136" t="s">
        <v>168</v>
      </c>
      <c r="PKF6" s="137">
        <v>1</v>
      </c>
      <c r="PKG6" s="137">
        <v>167.32</v>
      </c>
      <c r="PKH6" s="181" t="s">
        <v>817</v>
      </c>
      <c r="PKI6" s="545" t="s">
        <v>816</v>
      </c>
      <c r="PKJ6" s="545"/>
      <c r="PKK6" s="545"/>
      <c r="PKL6" s="545"/>
      <c r="PKM6" s="136" t="s">
        <v>168</v>
      </c>
      <c r="PKN6" s="137">
        <v>1</v>
      </c>
      <c r="PKO6" s="137">
        <v>167.32</v>
      </c>
      <c r="PKP6" s="181" t="s">
        <v>817</v>
      </c>
      <c r="PKQ6" s="545" t="s">
        <v>816</v>
      </c>
      <c r="PKR6" s="545"/>
      <c r="PKS6" s="545"/>
      <c r="PKT6" s="545"/>
      <c r="PKU6" s="136" t="s">
        <v>168</v>
      </c>
      <c r="PKV6" s="137">
        <v>1</v>
      </c>
      <c r="PKW6" s="137">
        <v>167.32</v>
      </c>
      <c r="PKX6" s="181" t="s">
        <v>817</v>
      </c>
      <c r="PKY6" s="545" t="s">
        <v>816</v>
      </c>
      <c r="PKZ6" s="545"/>
      <c r="PLA6" s="545"/>
      <c r="PLB6" s="545"/>
      <c r="PLC6" s="136" t="s">
        <v>168</v>
      </c>
      <c r="PLD6" s="137">
        <v>1</v>
      </c>
      <c r="PLE6" s="137">
        <v>167.32</v>
      </c>
      <c r="PLF6" s="181" t="s">
        <v>817</v>
      </c>
      <c r="PLG6" s="545" t="s">
        <v>816</v>
      </c>
      <c r="PLH6" s="545"/>
      <c r="PLI6" s="545"/>
      <c r="PLJ6" s="545"/>
      <c r="PLK6" s="136" t="s">
        <v>168</v>
      </c>
      <c r="PLL6" s="137">
        <v>1</v>
      </c>
      <c r="PLM6" s="137">
        <v>167.32</v>
      </c>
      <c r="PLN6" s="181" t="s">
        <v>817</v>
      </c>
      <c r="PLO6" s="545" t="s">
        <v>816</v>
      </c>
      <c r="PLP6" s="545"/>
      <c r="PLQ6" s="545"/>
      <c r="PLR6" s="545"/>
      <c r="PLS6" s="136" t="s">
        <v>168</v>
      </c>
      <c r="PLT6" s="137">
        <v>1</v>
      </c>
      <c r="PLU6" s="137">
        <v>167.32</v>
      </c>
      <c r="PLV6" s="181" t="s">
        <v>817</v>
      </c>
      <c r="PLW6" s="545" t="s">
        <v>816</v>
      </c>
      <c r="PLX6" s="545"/>
      <c r="PLY6" s="545"/>
      <c r="PLZ6" s="545"/>
      <c r="PMA6" s="136" t="s">
        <v>168</v>
      </c>
      <c r="PMB6" s="137">
        <v>1</v>
      </c>
      <c r="PMC6" s="137">
        <v>167.32</v>
      </c>
      <c r="PMD6" s="181" t="s">
        <v>817</v>
      </c>
      <c r="PME6" s="545" t="s">
        <v>816</v>
      </c>
      <c r="PMF6" s="545"/>
      <c r="PMG6" s="545"/>
      <c r="PMH6" s="545"/>
      <c r="PMI6" s="136" t="s">
        <v>168</v>
      </c>
      <c r="PMJ6" s="137">
        <v>1</v>
      </c>
      <c r="PMK6" s="137">
        <v>167.32</v>
      </c>
      <c r="PML6" s="181" t="s">
        <v>817</v>
      </c>
      <c r="PMM6" s="545" t="s">
        <v>816</v>
      </c>
      <c r="PMN6" s="545"/>
      <c r="PMO6" s="545"/>
      <c r="PMP6" s="545"/>
      <c r="PMQ6" s="136" t="s">
        <v>168</v>
      </c>
      <c r="PMR6" s="137">
        <v>1</v>
      </c>
      <c r="PMS6" s="137">
        <v>167.32</v>
      </c>
      <c r="PMT6" s="181" t="s">
        <v>817</v>
      </c>
      <c r="PMU6" s="545" t="s">
        <v>816</v>
      </c>
      <c r="PMV6" s="545"/>
      <c r="PMW6" s="545"/>
      <c r="PMX6" s="545"/>
      <c r="PMY6" s="136" t="s">
        <v>168</v>
      </c>
      <c r="PMZ6" s="137">
        <v>1</v>
      </c>
      <c r="PNA6" s="137">
        <v>167.32</v>
      </c>
      <c r="PNB6" s="181" t="s">
        <v>817</v>
      </c>
      <c r="PNC6" s="545" t="s">
        <v>816</v>
      </c>
      <c r="PND6" s="545"/>
      <c r="PNE6" s="545"/>
      <c r="PNF6" s="545"/>
      <c r="PNG6" s="136" t="s">
        <v>168</v>
      </c>
      <c r="PNH6" s="137">
        <v>1</v>
      </c>
      <c r="PNI6" s="137">
        <v>167.32</v>
      </c>
      <c r="PNJ6" s="181" t="s">
        <v>817</v>
      </c>
      <c r="PNK6" s="545" t="s">
        <v>816</v>
      </c>
      <c r="PNL6" s="545"/>
      <c r="PNM6" s="545"/>
      <c r="PNN6" s="545"/>
      <c r="PNO6" s="136" t="s">
        <v>168</v>
      </c>
      <c r="PNP6" s="137">
        <v>1</v>
      </c>
      <c r="PNQ6" s="137">
        <v>167.32</v>
      </c>
      <c r="PNR6" s="181" t="s">
        <v>817</v>
      </c>
      <c r="PNS6" s="545" t="s">
        <v>816</v>
      </c>
      <c r="PNT6" s="545"/>
      <c r="PNU6" s="545"/>
      <c r="PNV6" s="545"/>
      <c r="PNW6" s="136" t="s">
        <v>168</v>
      </c>
      <c r="PNX6" s="137">
        <v>1</v>
      </c>
      <c r="PNY6" s="137">
        <v>167.32</v>
      </c>
      <c r="PNZ6" s="181" t="s">
        <v>817</v>
      </c>
      <c r="POA6" s="545" t="s">
        <v>816</v>
      </c>
      <c r="POB6" s="545"/>
      <c r="POC6" s="545"/>
      <c r="POD6" s="545"/>
      <c r="POE6" s="136" t="s">
        <v>168</v>
      </c>
      <c r="POF6" s="137">
        <v>1</v>
      </c>
      <c r="POG6" s="137">
        <v>167.32</v>
      </c>
      <c r="POH6" s="181" t="s">
        <v>817</v>
      </c>
      <c r="POI6" s="545" t="s">
        <v>816</v>
      </c>
      <c r="POJ6" s="545"/>
      <c r="POK6" s="545"/>
      <c r="POL6" s="545"/>
      <c r="POM6" s="136" t="s">
        <v>168</v>
      </c>
      <c r="PON6" s="137">
        <v>1</v>
      </c>
      <c r="POO6" s="137">
        <v>167.32</v>
      </c>
      <c r="POP6" s="181" t="s">
        <v>817</v>
      </c>
      <c r="POQ6" s="545" t="s">
        <v>816</v>
      </c>
      <c r="POR6" s="545"/>
      <c r="POS6" s="545"/>
      <c r="POT6" s="545"/>
      <c r="POU6" s="136" t="s">
        <v>168</v>
      </c>
      <c r="POV6" s="137">
        <v>1</v>
      </c>
      <c r="POW6" s="137">
        <v>167.32</v>
      </c>
      <c r="POX6" s="181" t="s">
        <v>817</v>
      </c>
      <c r="POY6" s="545" t="s">
        <v>816</v>
      </c>
      <c r="POZ6" s="545"/>
      <c r="PPA6" s="545"/>
      <c r="PPB6" s="545"/>
      <c r="PPC6" s="136" t="s">
        <v>168</v>
      </c>
      <c r="PPD6" s="137">
        <v>1</v>
      </c>
      <c r="PPE6" s="137">
        <v>167.32</v>
      </c>
      <c r="PPF6" s="181" t="s">
        <v>817</v>
      </c>
      <c r="PPG6" s="545" t="s">
        <v>816</v>
      </c>
      <c r="PPH6" s="545"/>
      <c r="PPI6" s="545"/>
      <c r="PPJ6" s="545"/>
      <c r="PPK6" s="136" t="s">
        <v>168</v>
      </c>
      <c r="PPL6" s="137">
        <v>1</v>
      </c>
      <c r="PPM6" s="137">
        <v>167.32</v>
      </c>
      <c r="PPN6" s="181" t="s">
        <v>817</v>
      </c>
      <c r="PPO6" s="545" t="s">
        <v>816</v>
      </c>
      <c r="PPP6" s="545"/>
      <c r="PPQ6" s="545"/>
      <c r="PPR6" s="545"/>
      <c r="PPS6" s="136" t="s">
        <v>168</v>
      </c>
      <c r="PPT6" s="137">
        <v>1</v>
      </c>
      <c r="PPU6" s="137">
        <v>167.32</v>
      </c>
      <c r="PPV6" s="181" t="s">
        <v>817</v>
      </c>
      <c r="PPW6" s="545" t="s">
        <v>816</v>
      </c>
      <c r="PPX6" s="545"/>
      <c r="PPY6" s="545"/>
      <c r="PPZ6" s="545"/>
      <c r="PQA6" s="136" t="s">
        <v>168</v>
      </c>
      <c r="PQB6" s="137">
        <v>1</v>
      </c>
      <c r="PQC6" s="137">
        <v>167.32</v>
      </c>
      <c r="PQD6" s="181" t="s">
        <v>817</v>
      </c>
      <c r="PQE6" s="545" t="s">
        <v>816</v>
      </c>
      <c r="PQF6" s="545"/>
      <c r="PQG6" s="545"/>
      <c r="PQH6" s="545"/>
      <c r="PQI6" s="136" t="s">
        <v>168</v>
      </c>
      <c r="PQJ6" s="137">
        <v>1</v>
      </c>
      <c r="PQK6" s="137">
        <v>167.32</v>
      </c>
      <c r="PQL6" s="181" t="s">
        <v>817</v>
      </c>
      <c r="PQM6" s="545" t="s">
        <v>816</v>
      </c>
      <c r="PQN6" s="545"/>
      <c r="PQO6" s="545"/>
      <c r="PQP6" s="545"/>
      <c r="PQQ6" s="136" t="s">
        <v>168</v>
      </c>
      <c r="PQR6" s="137">
        <v>1</v>
      </c>
      <c r="PQS6" s="137">
        <v>167.32</v>
      </c>
      <c r="PQT6" s="181" t="s">
        <v>817</v>
      </c>
      <c r="PQU6" s="545" t="s">
        <v>816</v>
      </c>
      <c r="PQV6" s="545"/>
      <c r="PQW6" s="545"/>
      <c r="PQX6" s="545"/>
      <c r="PQY6" s="136" t="s">
        <v>168</v>
      </c>
      <c r="PQZ6" s="137">
        <v>1</v>
      </c>
      <c r="PRA6" s="137">
        <v>167.32</v>
      </c>
      <c r="PRB6" s="181" t="s">
        <v>817</v>
      </c>
      <c r="PRC6" s="545" t="s">
        <v>816</v>
      </c>
      <c r="PRD6" s="545"/>
      <c r="PRE6" s="545"/>
      <c r="PRF6" s="545"/>
      <c r="PRG6" s="136" t="s">
        <v>168</v>
      </c>
      <c r="PRH6" s="137">
        <v>1</v>
      </c>
      <c r="PRI6" s="137">
        <v>167.32</v>
      </c>
      <c r="PRJ6" s="181" t="s">
        <v>817</v>
      </c>
      <c r="PRK6" s="545" t="s">
        <v>816</v>
      </c>
      <c r="PRL6" s="545"/>
      <c r="PRM6" s="545"/>
      <c r="PRN6" s="545"/>
      <c r="PRO6" s="136" t="s">
        <v>168</v>
      </c>
      <c r="PRP6" s="137">
        <v>1</v>
      </c>
      <c r="PRQ6" s="137">
        <v>167.32</v>
      </c>
      <c r="PRR6" s="181" t="s">
        <v>817</v>
      </c>
      <c r="PRS6" s="545" t="s">
        <v>816</v>
      </c>
      <c r="PRT6" s="545"/>
      <c r="PRU6" s="545"/>
      <c r="PRV6" s="545"/>
      <c r="PRW6" s="136" t="s">
        <v>168</v>
      </c>
      <c r="PRX6" s="137">
        <v>1</v>
      </c>
      <c r="PRY6" s="137">
        <v>167.32</v>
      </c>
      <c r="PRZ6" s="181" t="s">
        <v>817</v>
      </c>
      <c r="PSA6" s="545" t="s">
        <v>816</v>
      </c>
      <c r="PSB6" s="545"/>
      <c r="PSC6" s="545"/>
      <c r="PSD6" s="545"/>
      <c r="PSE6" s="136" t="s">
        <v>168</v>
      </c>
      <c r="PSF6" s="137">
        <v>1</v>
      </c>
      <c r="PSG6" s="137">
        <v>167.32</v>
      </c>
      <c r="PSH6" s="181" t="s">
        <v>817</v>
      </c>
      <c r="PSI6" s="545" t="s">
        <v>816</v>
      </c>
      <c r="PSJ6" s="545"/>
      <c r="PSK6" s="545"/>
      <c r="PSL6" s="545"/>
      <c r="PSM6" s="136" t="s">
        <v>168</v>
      </c>
      <c r="PSN6" s="137">
        <v>1</v>
      </c>
      <c r="PSO6" s="137">
        <v>167.32</v>
      </c>
      <c r="PSP6" s="181" t="s">
        <v>817</v>
      </c>
      <c r="PSQ6" s="545" t="s">
        <v>816</v>
      </c>
      <c r="PSR6" s="545"/>
      <c r="PSS6" s="545"/>
      <c r="PST6" s="545"/>
      <c r="PSU6" s="136" t="s">
        <v>168</v>
      </c>
      <c r="PSV6" s="137">
        <v>1</v>
      </c>
      <c r="PSW6" s="137">
        <v>167.32</v>
      </c>
      <c r="PSX6" s="181" t="s">
        <v>817</v>
      </c>
      <c r="PSY6" s="545" t="s">
        <v>816</v>
      </c>
      <c r="PSZ6" s="545"/>
      <c r="PTA6" s="545"/>
      <c r="PTB6" s="545"/>
      <c r="PTC6" s="136" t="s">
        <v>168</v>
      </c>
      <c r="PTD6" s="137">
        <v>1</v>
      </c>
      <c r="PTE6" s="137">
        <v>167.32</v>
      </c>
      <c r="PTF6" s="181" t="s">
        <v>817</v>
      </c>
      <c r="PTG6" s="545" t="s">
        <v>816</v>
      </c>
      <c r="PTH6" s="545"/>
      <c r="PTI6" s="545"/>
      <c r="PTJ6" s="545"/>
      <c r="PTK6" s="136" t="s">
        <v>168</v>
      </c>
      <c r="PTL6" s="137">
        <v>1</v>
      </c>
      <c r="PTM6" s="137">
        <v>167.32</v>
      </c>
      <c r="PTN6" s="181" t="s">
        <v>817</v>
      </c>
      <c r="PTO6" s="545" t="s">
        <v>816</v>
      </c>
      <c r="PTP6" s="545"/>
      <c r="PTQ6" s="545"/>
      <c r="PTR6" s="545"/>
      <c r="PTS6" s="136" t="s">
        <v>168</v>
      </c>
      <c r="PTT6" s="137">
        <v>1</v>
      </c>
      <c r="PTU6" s="137">
        <v>167.32</v>
      </c>
      <c r="PTV6" s="181" t="s">
        <v>817</v>
      </c>
      <c r="PTW6" s="545" t="s">
        <v>816</v>
      </c>
      <c r="PTX6" s="545"/>
      <c r="PTY6" s="545"/>
      <c r="PTZ6" s="545"/>
      <c r="PUA6" s="136" t="s">
        <v>168</v>
      </c>
      <c r="PUB6" s="137">
        <v>1</v>
      </c>
      <c r="PUC6" s="137">
        <v>167.32</v>
      </c>
      <c r="PUD6" s="181" t="s">
        <v>817</v>
      </c>
      <c r="PUE6" s="545" t="s">
        <v>816</v>
      </c>
      <c r="PUF6" s="545"/>
      <c r="PUG6" s="545"/>
      <c r="PUH6" s="545"/>
      <c r="PUI6" s="136" t="s">
        <v>168</v>
      </c>
      <c r="PUJ6" s="137">
        <v>1</v>
      </c>
      <c r="PUK6" s="137">
        <v>167.32</v>
      </c>
      <c r="PUL6" s="181" t="s">
        <v>817</v>
      </c>
      <c r="PUM6" s="545" t="s">
        <v>816</v>
      </c>
      <c r="PUN6" s="545"/>
      <c r="PUO6" s="545"/>
      <c r="PUP6" s="545"/>
      <c r="PUQ6" s="136" t="s">
        <v>168</v>
      </c>
      <c r="PUR6" s="137">
        <v>1</v>
      </c>
      <c r="PUS6" s="137">
        <v>167.32</v>
      </c>
      <c r="PUT6" s="181" t="s">
        <v>817</v>
      </c>
      <c r="PUU6" s="545" t="s">
        <v>816</v>
      </c>
      <c r="PUV6" s="545"/>
      <c r="PUW6" s="545"/>
      <c r="PUX6" s="545"/>
      <c r="PUY6" s="136" t="s">
        <v>168</v>
      </c>
      <c r="PUZ6" s="137">
        <v>1</v>
      </c>
      <c r="PVA6" s="137">
        <v>167.32</v>
      </c>
      <c r="PVB6" s="181" t="s">
        <v>817</v>
      </c>
      <c r="PVC6" s="545" t="s">
        <v>816</v>
      </c>
      <c r="PVD6" s="545"/>
      <c r="PVE6" s="545"/>
      <c r="PVF6" s="545"/>
      <c r="PVG6" s="136" t="s">
        <v>168</v>
      </c>
      <c r="PVH6" s="137">
        <v>1</v>
      </c>
      <c r="PVI6" s="137">
        <v>167.32</v>
      </c>
      <c r="PVJ6" s="181" t="s">
        <v>817</v>
      </c>
      <c r="PVK6" s="545" t="s">
        <v>816</v>
      </c>
      <c r="PVL6" s="545"/>
      <c r="PVM6" s="545"/>
      <c r="PVN6" s="545"/>
      <c r="PVO6" s="136" t="s">
        <v>168</v>
      </c>
      <c r="PVP6" s="137">
        <v>1</v>
      </c>
      <c r="PVQ6" s="137">
        <v>167.32</v>
      </c>
      <c r="PVR6" s="181" t="s">
        <v>817</v>
      </c>
      <c r="PVS6" s="545" t="s">
        <v>816</v>
      </c>
      <c r="PVT6" s="545"/>
      <c r="PVU6" s="545"/>
      <c r="PVV6" s="545"/>
      <c r="PVW6" s="136" t="s">
        <v>168</v>
      </c>
      <c r="PVX6" s="137">
        <v>1</v>
      </c>
      <c r="PVY6" s="137">
        <v>167.32</v>
      </c>
      <c r="PVZ6" s="181" t="s">
        <v>817</v>
      </c>
      <c r="PWA6" s="545" t="s">
        <v>816</v>
      </c>
      <c r="PWB6" s="545"/>
      <c r="PWC6" s="545"/>
      <c r="PWD6" s="545"/>
      <c r="PWE6" s="136" t="s">
        <v>168</v>
      </c>
      <c r="PWF6" s="137">
        <v>1</v>
      </c>
      <c r="PWG6" s="137">
        <v>167.32</v>
      </c>
      <c r="PWH6" s="181" t="s">
        <v>817</v>
      </c>
      <c r="PWI6" s="545" t="s">
        <v>816</v>
      </c>
      <c r="PWJ6" s="545"/>
      <c r="PWK6" s="545"/>
      <c r="PWL6" s="545"/>
      <c r="PWM6" s="136" t="s">
        <v>168</v>
      </c>
      <c r="PWN6" s="137">
        <v>1</v>
      </c>
      <c r="PWO6" s="137">
        <v>167.32</v>
      </c>
      <c r="PWP6" s="181" t="s">
        <v>817</v>
      </c>
      <c r="PWQ6" s="545" t="s">
        <v>816</v>
      </c>
      <c r="PWR6" s="545"/>
      <c r="PWS6" s="545"/>
      <c r="PWT6" s="545"/>
      <c r="PWU6" s="136" t="s">
        <v>168</v>
      </c>
      <c r="PWV6" s="137">
        <v>1</v>
      </c>
      <c r="PWW6" s="137">
        <v>167.32</v>
      </c>
      <c r="PWX6" s="181" t="s">
        <v>817</v>
      </c>
      <c r="PWY6" s="545" t="s">
        <v>816</v>
      </c>
      <c r="PWZ6" s="545"/>
      <c r="PXA6" s="545"/>
      <c r="PXB6" s="545"/>
      <c r="PXC6" s="136" t="s">
        <v>168</v>
      </c>
      <c r="PXD6" s="137">
        <v>1</v>
      </c>
      <c r="PXE6" s="137">
        <v>167.32</v>
      </c>
      <c r="PXF6" s="181" t="s">
        <v>817</v>
      </c>
      <c r="PXG6" s="545" t="s">
        <v>816</v>
      </c>
      <c r="PXH6" s="545"/>
      <c r="PXI6" s="545"/>
      <c r="PXJ6" s="545"/>
      <c r="PXK6" s="136" t="s">
        <v>168</v>
      </c>
      <c r="PXL6" s="137">
        <v>1</v>
      </c>
      <c r="PXM6" s="137">
        <v>167.32</v>
      </c>
      <c r="PXN6" s="181" t="s">
        <v>817</v>
      </c>
      <c r="PXO6" s="545" t="s">
        <v>816</v>
      </c>
      <c r="PXP6" s="545"/>
      <c r="PXQ6" s="545"/>
      <c r="PXR6" s="545"/>
      <c r="PXS6" s="136" t="s">
        <v>168</v>
      </c>
      <c r="PXT6" s="137">
        <v>1</v>
      </c>
      <c r="PXU6" s="137">
        <v>167.32</v>
      </c>
      <c r="PXV6" s="181" t="s">
        <v>817</v>
      </c>
      <c r="PXW6" s="545" t="s">
        <v>816</v>
      </c>
      <c r="PXX6" s="545"/>
      <c r="PXY6" s="545"/>
      <c r="PXZ6" s="545"/>
      <c r="PYA6" s="136" t="s">
        <v>168</v>
      </c>
      <c r="PYB6" s="137">
        <v>1</v>
      </c>
      <c r="PYC6" s="137">
        <v>167.32</v>
      </c>
      <c r="PYD6" s="181" t="s">
        <v>817</v>
      </c>
      <c r="PYE6" s="545" t="s">
        <v>816</v>
      </c>
      <c r="PYF6" s="545"/>
      <c r="PYG6" s="545"/>
      <c r="PYH6" s="545"/>
      <c r="PYI6" s="136" t="s">
        <v>168</v>
      </c>
      <c r="PYJ6" s="137">
        <v>1</v>
      </c>
      <c r="PYK6" s="137">
        <v>167.32</v>
      </c>
      <c r="PYL6" s="181" t="s">
        <v>817</v>
      </c>
      <c r="PYM6" s="545" t="s">
        <v>816</v>
      </c>
      <c r="PYN6" s="545"/>
      <c r="PYO6" s="545"/>
      <c r="PYP6" s="545"/>
      <c r="PYQ6" s="136" t="s">
        <v>168</v>
      </c>
      <c r="PYR6" s="137">
        <v>1</v>
      </c>
      <c r="PYS6" s="137">
        <v>167.32</v>
      </c>
      <c r="PYT6" s="181" t="s">
        <v>817</v>
      </c>
      <c r="PYU6" s="545" t="s">
        <v>816</v>
      </c>
      <c r="PYV6" s="545"/>
      <c r="PYW6" s="545"/>
      <c r="PYX6" s="545"/>
      <c r="PYY6" s="136" t="s">
        <v>168</v>
      </c>
      <c r="PYZ6" s="137">
        <v>1</v>
      </c>
      <c r="PZA6" s="137">
        <v>167.32</v>
      </c>
      <c r="PZB6" s="181" t="s">
        <v>817</v>
      </c>
      <c r="PZC6" s="545" t="s">
        <v>816</v>
      </c>
      <c r="PZD6" s="545"/>
      <c r="PZE6" s="545"/>
      <c r="PZF6" s="545"/>
      <c r="PZG6" s="136" t="s">
        <v>168</v>
      </c>
      <c r="PZH6" s="137">
        <v>1</v>
      </c>
      <c r="PZI6" s="137">
        <v>167.32</v>
      </c>
      <c r="PZJ6" s="181" t="s">
        <v>817</v>
      </c>
      <c r="PZK6" s="545" t="s">
        <v>816</v>
      </c>
      <c r="PZL6" s="545"/>
      <c r="PZM6" s="545"/>
      <c r="PZN6" s="545"/>
      <c r="PZO6" s="136" t="s">
        <v>168</v>
      </c>
      <c r="PZP6" s="137">
        <v>1</v>
      </c>
      <c r="PZQ6" s="137">
        <v>167.32</v>
      </c>
      <c r="PZR6" s="181" t="s">
        <v>817</v>
      </c>
      <c r="PZS6" s="545" t="s">
        <v>816</v>
      </c>
      <c r="PZT6" s="545"/>
      <c r="PZU6" s="545"/>
      <c r="PZV6" s="545"/>
      <c r="PZW6" s="136" t="s">
        <v>168</v>
      </c>
      <c r="PZX6" s="137">
        <v>1</v>
      </c>
      <c r="PZY6" s="137">
        <v>167.32</v>
      </c>
      <c r="PZZ6" s="181" t="s">
        <v>817</v>
      </c>
      <c r="QAA6" s="545" t="s">
        <v>816</v>
      </c>
      <c r="QAB6" s="545"/>
      <c r="QAC6" s="545"/>
      <c r="QAD6" s="545"/>
      <c r="QAE6" s="136" t="s">
        <v>168</v>
      </c>
      <c r="QAF6" s="137">
        <v>1</v>
      </c>
      <c r="QAG6" s="137">
        <v>167.32</v>
      </c>
      <c r="QAH6" s="181" t="s">
        <v>817</v>
      </c>
      <c r="QAI6" s="545" t="s">
        <v>816</v>
      </c>
      <c r="QAJ6" s="545"/>
      <c r="QAK6" s="545"/>
      <c r="QAL6" s="545"/>
      <c r="QAM6" s="136" t="s">
        <v>168</v>
      </c>
      <c r="QAN6" s="137">
        <v>1</v>
      </c>
      <c r="QAO6" s="137">
        <v>167.32</v>
      </c>
      <c r="QAP6" s="181" t="s">
        <v>817</v>
      </c>
      <c r="QAQ6" s="545" t="s">
        <v>816</v>
      </c>
      <c r="QAR6" s="545"/>
      <c r="QAS6" s="545"/>
      <c r="QAT6" s="545"/>
      <c r="QAU6" s="136" t="s">
        <v>168</v>
      </c>
      <c r="QAV6" s="137">
        <v>1</v>
      </c>
      <c r="QAW6" s="137">
        <v>167.32</v>
      </c>
      <c r="QAX6" s="181" t="s">
        <v>817</v>
      </c>
      <c r="QAY6" s="545" t="s">
        <v>816</v>
      </c>
      <c r="QAZ6" s="545"/>
      <c r="QBA6" s="545"/>
      <c r="QBB6" s="545"/>
      <c r="QBC6" s="136" t="s">
        <v>168</v>
      </c>
      <c r="QBD6" s="137">
        <v>1</v>
      </c>
      <c r="QBE6" s="137">
        <v>167.32</v>
      </c>
      <c r="QBF6" s="181" t="s">
        <v>817</v>
      </c>
      <c r="QBG6" s="545" t="s">
        <v>816</v>
      </c>
      <c r="QBH6" s="545"/>
      <c r="QBI6" s="545"/>
      <c r="QBJ6" s="545"/>
      <c r="QBK6" s="136" t="s">
        <v>168</v>
      </c>
      <c r="QBL6" s="137">
        <v>1</v>
      </c>
      <c r="QBM6" s="137">
        <v>167.32</v>
      </c>
      <c r="QBN6" s="181" t="s">
        <v>817</v>
      </c>
      <c r="QBO6" s="545" t="s">
        <v>816</v>
      </c>
      <c r="QBP6" s="545"/>
      <c r="QBQ6" s="545"/>
      <c r="QBR6" s="545"/>
      <c r="QBS6" s="136" t="s">
        <v>168</v>
      </c>
      <c r="QBT6" s="137">
        <v>1</v>
      </c>
      <c r="QBU6" s="137">
        <v>167.32</v>
      </c>
      <c r="QBV6" s="181" t="s">
        <v>817</v>
      </c>
      <c r="QBW6" s="545" t="s">
        <v>816</v>
      </c>
      <c r="QBX6" s="545"/>
      <c r="QBY6" s="545"/>
      <c r="QBZ6" s="545"/>
      <c r="QCA6" s="136" t="s">
        <v>168</v>
      </c>
      <c r="QCB6" s="137">
        <v>1</v>
      </c>
      <c r="QCC6" s="137">
        <v>167.32</v>
      </c>
      <c r="QCD6" s="181" t="s">
        <v>817</v>
      </c>
      <c r="QCE6" s="545" t="s">
        <v>816</v>
      </c>
      <c r="QCF6" s="545"/>
      <c r="QCG6" s="545"/>
      <c r="QCH6" s="545"/>
      <c r="QCI6" s="136" t="s">
        <v>168</v>
      </c>
      <c r="QCJ6" s="137">
        <v>1</v>
      </c>
      <c r="QCK6" s="137">
        <v>167.32</v>
      </c>
      <c r="QCL6" s="181" t="s">
        <v>817</v>
      </c>
      <c r="QCM6" s="545" t="s">
        <v>816</v>
      </c>
      <c r="QCN6" s="545"/>
      <c r="QCO6" s="545"/>
      <c r="QCP6" s="545"/>
      <c r="QCQ6" s="136" t="s">
        <v>168</v>
      </c>
      <c r="QCR6" s="137">
        <v>1</v>
      </c>
      <c r="QCS6" s="137">
        <v>167.32</v>
      </c>
      <c r="QCT6" s="181" t="s">
        <v>817</v>
      </c>
      <c r="QCU6" s="545" t="s">
        <v>816</v>
      </c>
      <c r="QCV6" s="545"/>
      <c r="QCW6" s="545"/>
      <c r="QCX6" s="545"/>
      <c r="QCY6" s="136" t="s">
        <v>168</v>
      </c>
      <c r="QCZ6" s="137">
        <v>1</v>
      </c>
      <c r="QDA6" s="137">
        <v>167.32</v>
      </c>
      <c r="QDB6" s="181" t="s">
        <v>817</v>
      </c>
      <c r="QDC6" s="545" t="s">
        <v>816</v>
      </c>
      <c r="QDD6" s="545"/>
      <c r="QDE6" s="545"/>
      <c r="QDF6" s="545"/>
      <c r="QDG6" s="136" t="s">
        <v>168</v>
      </c>
      <c r="QDH6" s="137">
        <v>1</v>
      </c>
      <c r="QDI6" s="137">
        <v>167.32</v>
      </c>
      <c r="QDJ6" s="181" t="s">
        <v>817</v>
      </c>
      <c r="QDK6" s="545" t="s">
        <v>816</v>
      </c>
      <c r="QDL6" s="545"/>
      <c r="QDM6" s="545"/>
      <c r="QDN6" s="545"/>
      <c r="QDO6" s="136" t="s">
        <v>168</v>
      </c>
      <c r="QDP6" s="137">
        <v>1</v>
      </c>
      <c r="QDQ6" s="137">
        <v>167.32</v>
      </c>
      <c r="QDR6" s="181" t="s">
        <v>817</v>
      </c>
      <c r="QDS6" s="545" t="s">
        <v>816</v>
      </c>
      <c r="QDT6" s="545"/>
      <c r="QDU6" s="545"/>
      <c r="QDV6" s="545"/>
      <c r="QDW6" s="136" t="s">
        <v>168</v>
      </c>
      <c r="QDX6" s="137">
        <v>1</v>
      </c>
      <c r="QDY6" s="137">
        <v>167.32</v>
      </c>
      <c r="QDZ6" s="181" t="s">
        <v>817</v>
      </c>
      <c r="QEA6" s="545" t="s">
        <v>816</v>
      </c>
      <c r="QEB6" s="545"/>
      <c r="QEC6" s="545"/>
      <c r="QED6" s="545"/>
      <c r="QEE6" s="136" t="s">
        <v>168</v>
      </c>
      <c r="QEF6" s="137">
        <v>1</v>
      </c>
      <c r="QEG6" s="137">
        <v>167.32</v>
      </c>
      <c r="QEH6" s="181" t="s">
        <v>817</v>
      </c>
      <c r="QEI6" s="545" t="s">
        <v>816</v>
      </c>
      <c r="QEJ6" s="545"/>
      <c r="QEK6" s="545"/>
      <c r="QEL6" s="545"/>
      <c r="QEM6" s="136" t="s">
        <v>168</v>
      </c>
      <c r="QEN6" s="137">
        <v>1</v>
      </c>
      <c r="QEO6" s="137">
        <v>167.32</v>
      </c>
      <c r="QEP6" s="181" t="s">
        <v>817</v>
      </c>
      <c r="QEQ6" s="545" t="s">
        <v>816</v>
      </c>
      <c r="QER6" s="545"/>
      <c r="QES6" s="545"/>
      <c r="QET6" s="545"/>
      <c r="QEU6" s="136" t="s">
        <v>168</v>
      </c>
      <c r="QEV6" s="137">
        <v>1</v>
      </c>
      <c r="QEW6" s="137">
        <v>167.32</v>
      </c>
      <c r="QEX6" s="181" t="s">
        <v>817</v>
      </c>
      <c r="QEY6" s="545" t="s">
        <v>816</v>
      </c>
      <c r="QEZ6" s="545"/>
      <c r="QFA6" s="545"/>
      <c r="QFB6" s="545"/>
      <c r="QFC6" s="136" t="s">
        <v>168</v>
      </c>
      <c r="QFD6" s="137">
        <v>1</v>
      </c>
      <c r="QFE6" s="137">
        <v>167.32</v>
      </c>
      <c r="QFF6" s="181" t="s">
        <v>817</v>
      </c>
      <c r="QFG6" s="545" t="s">
        <v>816</v>
      </c>
      <c r="QFH6" s="545"/>
      <c r="QFI6" s="545"/>
      <c r="QFJ6" s="545"/>
      <c r="QFK6" s="136" t="s">
        <v>168</v>
      </c>
      <c r="QFL6" s="137">
        <v>1</v>
      </c>
      <c r="QFM6" s="137">
        <v>167.32</v>
      </c>
      <c r="QFN6" s="181" t="s">
        <v>817</v>
      </c>
      <c r="QFO6" s="545" t="s">
        <v>816</v>
      </c>
      <c r="QFP6" s="545"/>
      <c r="QFQ6" s="545"/>
      <c r="QFR6" s="545"/>
      <c r="QFS6" s="136" t="s">
        <v>168</v>
      </c>
      <c r="QFT6" s="137">
        <v>1</v>
      </c>
      <c r="QFU6" s="137">
        <v>167.32</v>
      </c>
      <c r="QFV6" s="181" t="s">
        <v>817</v>
      </c>
      <c r="QFW6" s="545" t="s">
        <v>816</v>
      </c>
      <c r="QFX6" s="545"/>
      <c r="QFY6" s="545"/>
      <c r="QFZ6" s="545"/>
      <c r="QGA6" s="136" t="s">
        <v>168</v>
      </c>
      <c r="QGB6" s="137">
        <v>1</v>
      </c>
      <c r="QGC6" s="137">
        <v>167.32</v>
      </c>
      <c r="QGD6" s="181" t="s">
        <v>817</v>
      </c>
      <c r="QGE6" s="545" t="s">
        <v>816</v>
      </c>
      <c r="QGF6" s="545"/>
      <c r="QGG6" s="545"/>
      <c r="QGH6" s="545"/>
      <c r="QGI6" s="136" t="s">
        <v>168</v>
      </c>
      <c r="QGJ6" s="137">
        <v>1</v>
      </c>
      <c r="QGK6" s="137">
        <v>167.32</v>
      </c>
      <c r="QGL6" s="181" t="s">
        <v>817</v>
      </c>
      <c r="QGM6" s="545" t="s">
        <v>816</v>
      </c>
      <c r="QGN6" s="545"/>
      <c r="QGO6" s="545"/>
      <c r="QGP6" s="545"/>
      <c r="QGQ6" s="136" t="s">
        <v>168</v>
      </c>
      <c r="QGR6" s="137">
        <v>1</v>
      </c>
      <c r="QGS6" s="137">
        <v>167.32</v>
      </c>
      <c r="QGT6" s="181" t="s">
        <v>817</v>
      </c>
      <c r="QGU6" s="545" t="s">
        <v>816</v>
      </c>
      <c r="QGV6" s="545"/>
      <c r="QGW6" s="545"/>
      <c r="QGX6" s="545"/>
      <c r="QGY6" s="136" t="s">
        <v>168</v>
      </c>
      <c r="QGZ6" s="137">
        <v>1</v>
      </c>
      <c r="QHA6" s="137">
        <v>167.32</v>
      </c>
      <c r="QHB6" s="181" t="s">
        <v>817</v>
      </c>
      <c r="QHC6" s="545" t="s">
        <v>816</v>
      </c>
      <c r="QHD6" s="545"/>
      <c r="QHE6" s="545"/>
      <c r="QHF6" s="545"/>
      <c r="QHG6" s="136" t="s">
        <v>168</v>
      </c>
      <c r="QHH6" s="137">
        <v>1</v>
      </c>
      <c r="QHI6" s="137">
        <v>167.32</v>
      </c>
      <c r="QHJ6" s="181" t="s">
        <v>817</v>
      </c>
      <c r="QHK6" s="545" t="s">
        <v>816</v>
      </c>
      <c r="QHL6" s="545"/>
      <c r="QHM6" s="545"/>
      <c r="QHN6" s="545"/>
      <c r="QHO6" s="136" t="s">
        <v>168</v>
      </c>
      <c r="QHP6" s="137">
        <v>1</v>
      </c>
      <c r="QHQ6" s="137">
        <v>167.32</v>
      </c>
      <c r="QHR6" s="181" t="s">
        <v>817</v>
      </c>
      <c r="QHS6" s="545" t="s">
        <v>816</v>
      </c>
      <c r="QHT6" s="545"/>
      <c r="QHU6" s="545"/>
      <c r="QHV6" s="545"/>
      <c r="QHW6" s="136" t="s">
        <v>168</v>
      </c>
      <c r="QHX6" s="137">
        <v>1</v>
      </c>
      <c r="QHY6" s="137">
        <v>167.32</v>
      </c>
      <c r="QHZ6" s="181" t="s">
        <v>817</v>
      </c>
      <c r="QIA6" s="545" t="s">
        <v>816</v>
      </c>
      <c r="QIB6" s="545"/>
      <c r="QIC6" s="545"/>
      <c r="QID6" s="545"/>
      <c r="QIE6" s="136" t="s">
        <v>168</v>
      </c>
      <c r="QIF6" s="137">
        <v>1</v>
      </c>
      <c r="QIG6" s="137">
        <v>167.32</v>
      </c>
      <c r="QIH6" s="181" t="s">
        <v>817</v>
      </c>
      <c r="QII6" s="545" t="s">
        <v>816</v>
      </c>
      <c r="QIJ6" s="545"/>
      <c r="QIK6" s="545"/>
      <c r="QIL6" s="545"/>
      <c r="QIM6" s="136" t="s">
        <v>168</v>
      </c>
      <c r="QIN6" s="137">
        <v>1</v>
      </c>
      <c r="QIO6" s="137">
        <v>167.32</v>
      </c>
      <c r="QIP6" s="181" t="s">
        <v>817</v>
      </c>
      <c r="QIQ6" s="545" t="s">
        <v>816</v>
      </c>
      <c r="QIR6" s="545"/>
      <c r="QIS6" s="545"/>
      <c r="QIT6" s="545"/>
      <c r="QIU6" s="136" t="s">
        <v>168</v>
      </c>
      <c r="QIV6" s="137">
        <v>1</v>
      </c>
      <c r="QIW6" s="137">
        <v>167.32</v>
      </c>
      <c r="QIX6" s="181" t="s">
        <v>817</v>
      </c>
      <c r="QIY6" s="545" t="s">
        <v>816</v>
      </c>
      <c r="QIZ6" s="545"/>
      <c r="QJA6" s="545"/>
      <c r="QJB6" s="545"/>
      <c r="QJC6" s="136" t="s">
        <v>168</v>
      </c>
      <c r="QJD6" s="137">
        <v>1</v>
      </c>
      <c r="QJE6" s="137">
        <v>167.32</v>
      </c>
      <c r="QJF6" s="181" t="s">
        <v>817</v>
      </c>
      <c r="QJG6" s="545" t="s">
        <v>816</v>
      </c>
      <c r="QJH6" s="545"/>
      <c r="QJI6" s="545"/>
      <c r="QJJ6" s="545"/>
      <c r="QJK6" s="136" t="s">
        <v>168</v>
      </c>
      <c r="QJL6" s="137">
        <v>1</v>
      </c>
      <c r="QJM6" s="137">
        <v>167.32</v>
      </c>
      <c r="QJN6" s="181" t="s">
        <v>817</v>
      </c>
      <c r="QJO6" s="545" t="s">
        <v>816</v>
      </c>
      <c r="QJP6" s="545"/>
      <c r="QJQ6" s="545"/>
      <c r="QJR6" s="545"/>
      <c r="QJS6" s="136" t="s">
        <v>168</v>
      </c>
      <c r="QJT6" s="137">
        <v>1</v>
      </c>
      <c r="QJU6" s="137">
        <v>167.32</v>
      </c>
      <c r="QJV6" s="181" t="s">
        <v>817</v>
      </c>
      <c r="QJW6" s="545" t="s">
        <v>816</v>
      </c>
      <c r="QJX6" s="545"/>
      <c r="QJY6" s="545"/>
      <c r="QJZ6" s="545"/>
      <c r="QKA6" s="136" t="s">
        <v>168</v>
      </c>
      <c r="QKB6" s="137">
        <v>1</v>
      </c>
      <c r="QKC6" s="137">
        <v>167.32</v>
      </c>
      <c r="QKD6" s="181" t="s">
        <v>817</v>
      </c>
      <c r="QKE6" s="545" t="s">
        <v>816</v>
      </c>
      <c r="QKF6" s="545"/>
      <c r="QKG6" s="545"/>
      <c r="QKH6" s="545"/>
      <c r="QKI6" s="136" t="s">
        <v>168</v>
      </c>
      <c r="QKJ6" s="137">
        <v>1</v>
      </c>
      <c r="QKK6" s="137">
        <v>167.32</v>
      </c>
      <c r="QKL6" s="181" t="s">
        <v>817</v>
      </c>
      <c r="QKM6" s="545" t="s">
        <v>816</v>
      </c>
      <c r="QKN6" s="545"/>
      <c r="QKO6" s="545"/>
      <c r="QKP6" s="545"/>
      <c r="QKQ6" s="136" t="s">
        <v>168</v>
      </c>
      <c r="QKR6" s="137">
        <v>1</v>
      </c>
      <c r="QKS6" s="137">
        <v>167.32</v>
      </c>
      <c r="QKT6" s="181" t="s">
        <v>817</v>
      </c>
      <c r="QKU6" s="545" t="s">
        <v>816</v>
      </c>
      <c r="QKV6" s="545"/>
      <c r="QKW6" s="545"/>
      <c r="QKX6" s="545"/>
      <c r="QKY6" s="136" t="s">
        <v>168</v>
      </c>
      <c r="QKZ6" s="137">
        <v>1</v>
      </c>
      <c r="QLA6" s="137">
        <v>167.32</v>
      </c>
      <c r="QLB6" s="181" t="s">
        <v>817</v>
      </c>
      <c r="QLC6" s="545" t="s">
        <v>816</v>
      </c>
      <c r="QLD6" s="545"/>
      <c r="QLE6" s="545"/>
      <c r="QLF6" s="545"/>
      <c r="QLG6" s="136" t="s">
        <v>168</v>
      </c>
      <c r="QLH6" s="137">
        <v>1</v>
      </c>
      <c r="QLI6" s="137">
        <v>167.32</v>
      </c>
      <c r="QLJ6" s="181" t="s">
        <v>817</v>
      </c>
      <c r="QLK6" s="545" t="s">
        <v>816</v>
      </c>
      <c r="QLL6" s="545"/>
      <c r="QLM6" s="545"/>
      <c r="QLN6" s="545"/>
      <c r="QLO6" s="136" t="s">
        <v>168</v>
      </c>
      <c r="QLP6" s="137">
        <v>1</v>
      </c>
      <c r="QLQ6" s="137">
        <v>167.32</v>
      </c>
      <c r="QLR6" s="181" t="s">
        <v>817</v>
      </c>
      <c r="QLS6" s="545" t="s">
        <v>816</v>
      </c>
      <c r="QLT6" s="545"/>
      <c r="QLU6" s="545"/>
      <c r="QLV6" s="545"/>
      <c r="QLW6" s="136" t="s">
        <v>168</v>
      </c>
      <c r="QLX6" s="137">
        <v>1</v>
      </c>
      <c r="QLY6" s="137">
        <v>167.32</v>
      </c>
      <c r="QLZ6" s="181" t="s">
        <v>817</v>
      </c>
      <c r="QMA6" s="545" t="s">
        <v>816</v>
      </c>
      <c r="QMB6" s="545"/>
      <c r="QMC6" s="545"/>
      <c r="QMD6" s="545"/>
      <c r="QME6" s="136" t="s">
        <v>168</v>
      </c>
      <c r="QMF6" s="137">
        <v>1</v>
      </c>
      <c r="QMG6" s="137">
        <v>167.32</v>
      </c>
      <c r="QMH6" s="181" t="s">
        <v>817</v>
      </c>
      <c r="QMI6" s="545" t="s">
        <v>816</v>
      </c>
      <c r="QMJ6" s="545"/>
      <c r="QMK6" s="545"/>
      <c r="QML6" s="545"/>
      <c r="QMM6" s="136" t="s">
        <v>168</v>
      </c>
      <c r="QMN6" s="137">
        <v>1</v>
      </c>
      <c r="QMO6" s="137">
        <v>167.32</v>
      </c>
      <c r="QMP6" s="181" t="s">
        <v>817</v>
      </c>
      <c r="QMQ6" s="545" t="s">
        <v>816</v>
      </c>
      <c r="QMR6" s="545"/>
      <c r="QMS6" s="545"/>
      <c r="QMT6" s="545"/>
      <c r="QMU6" s="136" t="s">
        <v>168</v>
      </c>
      <c r="QMV6" s="137">
        <v>1</v>
      </c>
      <c r="QMW6" s="137">
        <v>167.32</v>
      </c>
      <c r="QMX6" s="181" t="s">
        <v>817</v>
      </c>
      <c r="QMY6" s="545" t="s">
        <v>816</v>
      </c>
      <c r="QMZ6" s="545"/>
      <c r="QNA6" s="545"/>
      <c r="QNB6" s="545"/>
      <c r="QNC6" s="136" t="s">
        <v>168</v>
      </c>
      <c r="QND6" s="137">
        <v>1</v>
      </c>
      <c r="QNE6" s="137">
        <v>167.32</v>
      </c>
      <c r="QNF6" s="181" t="s">
        <v>817</v>
      </c>
      <c r="QNG6" s="545" t="s">
        <v>816</v>
      </c>
      <c r="QNH6" s="545"/>
      <c r="QNI6" s="545"/>
      <c r="QNJ6" s="545"/>
      <c r="QNK6" s="136" t="s">
        <v>168</v>
      </c>
      <c r="QNL6" s="137">
        <v>1</v>
      </c>
      <c r="QNM6" s="137">
        <v>167.32</v>
      </c>
      <c r="QNN6" s="181" t="s">
        <v>817</v>
      </c>
      <c r="QNO6" s="545" t="s">
        <v>816</v>
      </c>
      <c r="QNP6" s="545"/>
      <c r="QNQ6" s="545"/>
      <c r="QNR6" s="545"/>
      <c r="QNS6" s="136" t="s">
        <v>168</v>
      </c>
      <c r="QNT6" s="137">
        <v>1</v>
      </c>
      <c r="QNU6" s="137">
        <v>167.32</v>
      </c>
      <c r="QNV6" s="181" t="s">
        <v>817</v>
      </c>
      <c r="QNW6" s="545" t="s">
        <v>816</v>
      </c>
      <c r="QNX6" s="545"/>
      <c r="QNY6" s="545"/>
      <c r="QNZ6" s="545"/>
      <c r="QOA6" s="136" t="s">
        <v>168</v>
      </c>
      <c r="QOB6" s="137">
        <v>1</v>
      </c>
      <c r="QOC6" s="137">
        <v>167.32</v>
      </c>
      <c r="QOD6" s="181" t="s">
        <v>817</v>
      </c>
      <c r="QOE6" s="545" t="s">
        <v>816</v>
      </c>
      <c r="QOF6" s="545"/>
      <c r="QOG6" s="545"/>
      <c r="QOH6" s="545"/>
      <c r="QOI6" s="136" t="s">
        <v>168</v>
      </c>
      <c r="QOJ6" s="137">
        <v>1</v>
      </c>
      <c r="QOK6" s="137">
        <v>167.32</v>
      </c>
      <c r="QOL6" s="181" t="s">
        <v>817</v>
      </c>
      <c r="QOM6" s="545" t="s">
        <v>816</v>
      </c>
      <c r="QON6" s="545"/>
      <c r="QOO6" s="545"/>
      <c r="QOP6" s="545"/>
      <c r="QOQ6" s="136" t="s">
        <v>168</v>
      </c>
      <c r="QOR6" s="137">
        <v>1</v>
      </c>
      <c r="QOS6" s="137">
        <v>167.32</v>
      </c>
      <c r="QOT6" s="181" t="s">
        <v>817</v>
      </c>
      <c r="QOU6" s="545" t="s">
        <v>816</v>
      </c>
      <c r="QOV6" s="545"/>
      <c r="QOW6" s="545"/>
      <c r="QOX6" s="545"/>
      <c r="QOY6" s="136" t="s">
        <v>168</v>
      </c>
      <c r="QOZ6" s="137">
        <v>1</v>
      </c>
      <c r="QPA6" s="137">
        <v>167.32</v>
      </c>
      <c r="QPB6" s="181" t="s">
        <v>817</v>
      </c>
      <c r="QPC6" s="545" t="s">
        <v>816</v>
      </c>
      <c r="QPD6" s="545"/>
      <c r="QPE6" s="545"/>
      <c r="QPF6" s="545"/>
      <c r="QPG6" s="136" t="s">
        <v>168</v>
      </c>
      <c r="QPH6" s="137">
        <v>1</v>
      </c>
      <c r="QPI6" s="137">
        <v>167.32</v>
      </c>
      <c r="QPJ6" s="181" t="s">
        <v>817</v>
      </c>
      <c r="QPK6" s="545" t="s">
        <v>816</v>
      </c>
      <c r="QPL6" s="545"/>
      <c r="QPM6" s="545"/>
      <c r="QPN6" s="545"/>
      <c r="QPO6" s="136" t="s">
        <v>168</v>
      </c>
      <c r="QPP6" s="137">
        <v>1</v>
      </c>
      <c r="QPQ6" s="137">
        <v>167.32</v>
      </c>
      <c r="QPR6" s="181" t="s">
        <v>817</v>
      </c>
      <c r="QPS6" s="545" t="s">
        <v>816</v>
      </c>
      <c r="QPT6" s="545"/>
      <c r="QPU6" s="545"/>
      <c r="QPV6" s="545"/>
      <c r="QPW6" s="136" t="s">
        <v>168</v>
      </c>
      <c r="QPX6" s="137">
        <v>1</v>
      </c>
      <c r="QPY6" s="137">
        <v>167.32</v>
      </c>
      <c r="QPZ6" s="181" t="s">
        <v>817</v>
      </c>
      <c r="QQA6" s="545" t="s">
        <v>816</v>
      </c>
      <c r="QQB6" s="545"/>
      <c r="QQC6" s="545"/>
      <c r="QQD6" s="545"/>
      <c r="QQE6" s="136" t="s">
        <v>168</v>
      </c>
      <c r="QQF6" s="137">
        <v>1</v>
      </c>
      <c r="QQG6" s="137">
        <v>167.32</v>
      </c>
      <c r="QQH6" s="181" t="s">
        <v>817</v>
      </c>
      <c r="QQI6" s="545" t="s">
        <v>816</v>
      </c>
      <c r="QQJ6" s="545"/>
      <c r="QQK6" s="545"/>
      <c r="QQL6" s="545"/>
      <c r="QQM6" s="136" t="s">
        <v>168</v>
      </c>
      <c r="QQN6" s="137">
        <v>1</v>
      </c>
      <c r="QQO6" s="137">
        <v>167.32</v>
      </c>
      <c r="QQP6" s="181" t="s">
        <v>817</v>
      </c>
      <c r="QQQ6" s="545" t="s">
        <v>816</v>
      </c>
      <c r="QQR6" s="545"/>
      <c r="QQS6" s="545"/>
      <c r="QQT6" s="545"/>
      <c r="QQU6" s="136" t="s">
        <v>168</v>
      </c>
      <c r="QQV6" s="137">
        <v>1</v>
      </c>
      <c r="QQW6" s="137">
        <v>167.32</v>
      </c>
      <c r="QQX6" s="181" t="s">
        <v>817</v>
      </c>
      <c r="QQY6" s="545" t="s">
        <v>816</v>
      </c>
      <c r="QQZ6" s="545"/>
      <c r="QRA6" s="545"/>
      <c r="QRB6" s="545"/>
      <c r="QRC6" s="136" t="s">
        <v>168</v>
      </c>
      <c r="QRD6" s="137">
        <v>1</v>
      </c>
      <c r="QRE6" s="137">
        <v>167.32</v>
      </c>
      <c r="QRF6" s="181" t="s">
        <v>817</v>
      </c>
      <c r="QRG6" s="545" t="s">
        <v>816</v>
      </c>
      <c r="QRH6" s="545"/>
      <c r="QRI6" s="545"/>
      <c r="QRJ6" s="545"/>
      <c r="QRK6" s="136" t="s">
        <v>168</v>
      </c>
      <c r="QRL6" s="137">
        <v>1</v>
      </c>
      <c r="QRM6" s="137">
        <v>167.32</v>
      </c>
      <c r="QRN6" s="181" t="s">
        <v>817</v>
      </c>
      <c r="QRO6" s="545" t="s">
        <v>816</v>
      </c>
      <c r="QRP6" s="545"/>
      <c r="QRQ6" s="545"/>
      <c r="QRR6" s="545"/>
      <c r="QRS6" s="136" t="s">
        <v>168</v>
      </c>
      <c r="QRT6" s="137">
        <v>1</v>
      </c>
      <c r="QRU6" s="137">
        <v>167.32</v>
      </c>
      <c r="QRV6" s="181" t="s">
        <v>817</v>
      </c>
      <c r="QRW6" s="545" t="s">
        <v>816</v>
      </c>
      <c r="QRX6" s="545"/>
      <c r="QRY6" s="545"/>
      <c r="QRZ6" s="545"/>
      <c r="QSA6" s="136" t="s">
        <v>168</v>
      </c>
      <c r="QSB6" s="137">
        <v>1</v>
      </c>
      <c r="QSC6" s="137">
        <v>167.32</v>
      </c>
      <c r="QSD6" s="181" t="s">
        <v>817</v>
      </c>
      <c r="QSE6" s="545" t="s">
        <v>816</v>
      </c>
      <c r="QSF6" s="545"/>
      <c r="QSG6" s="545"/>
      <c r="QSH6" s="545"/>
      <c r="QSI6" s="136" t="s">
        <v>168</v>
      </c>
      <c r="QSJ6" s="137">
        <v>1</v>
      </c>
      <c r="QSK6" s="137">
        <v>167.32</v>
      </c>
      <c r="QSL6" s="181" t="s">
        <v>817</v>
      </c>
      <c r="QSM6" s="545" t="s">
        <v>816</v>
      </c>
      <c r="QSN6" s="545"/>
      <c r="QSO6" s="545"/>
      <c r="QSP6" s="545"/>
      <c r="QSQ6" s="136" t="s">
        <v>168</v>
      </c>
      <c r="QSR6" s="137">
        <v>1</v>
      </c>
      <c r="QSS6" s="137">
        <v>167.32</v>
      </c>
      <c r="QST6" s="181" t="s">
        <v>817</v>
      </c>
      <c r="QSU6" s="545" t="s">
        <v>816</v>
      </c>
      <c r="QSV6" s="545"/>
      <c r="QSW6" s="545"/>
      <c r="QSX6" s="545"/>
      <c r="QSY6" s="136" t="s">
        <v>168</v>
      </c>
      <c r="QSZ6" s="137">
        <v>1</v>
      </c>
      <c r="QTA6" s="137">
        <v>167.32</v>
      </c>
      <c r="QTB6" s="181" t="s">
        <v>817</v>
      </c>
      <c r="QTC6" s="545" t="s">
        <v>816</v>
      </c>
      <c r="QTD6" s="545"/>
      <c r="QTE6" s="545"/>
      <c r="QTF6" s="545"/>
      <c r="QTG6" s="136" t="s">
        <v>168</v>
      </c>
      <c r="QTH6" s="137">
        <v>1</v>
      </c>
      <c r="QTI6" s="137">
        <v>167.32</v>
      </c>
      <c r="QTJ6" s="181" t="s">
        <v>817</v>
      </c>
      <c r="QTK6" s="545" t="s">
        <v>816</v>
      </c>
      <c r="QTL6" s="545"/>
      <c r="QTM6" s="545"/>
      <c r="QTN6" s="545"/>
      <c r="QTO6" s="136" t="s">
        <v>168</v>
      </c>
      <c r="QTP6" s="137">
        <v>1</v>
      </c>
      <c r="QTQ6" s="137">
        <v>167.32</v>
      </c>
      <c r="QTR6" s="181" t="s">
        <v>817</v>
      </c>
      <c r="QTS6" s="545" t="s">
        <v>816</v>
      </c>
      <c r="QTT6" s="545"/>
      <c r="QTU6" s="545"/>
      <c r="QTV6" s="545"/>
      <c r="QTW6" s="136" t="s">
        <v>168</v>
      </c>
      <c r="QTX6" s="137">
        <v>1</v>
      </c>
      <c r="QTY6" s="137">
        <v>167.32</v>
      </c>
      <c r="QTZ6" s="181" t="s">
        <v>817</v>
      </c>
      <c r="QUA6" s="545" t="s">
        <v>816</v>
      </c>
      <c r="QUB6" s="545"/>
      <c r="QUC6" s="545"/>
      <c r="QUD6" s="545"/>
      <c r="QUE6" s="136" t="s">
        <v>168</v>
      </c>
      <c r="QUF6" s="137">
        <v>1</v>
      </c>
      <c r="QUG6" s="137">
        <v>167.32</v>
      </c>
      <c r="QUH6" s="181" t="s">
        <v>817</v>
      </c>
      <c r="QUI6" s="545" t="s">
        <v>816</v>
      </c>
      <c r="QUJ6" s="545"/>
      <c r="QUK6" s="545"/>
      <c r="QUL6" s="545"/>
      <c r="QUM6" s="136" t="s">
        <v>168</v>
      </c>
      <c r="QUN6" s="137">
        <v>1</v>
      </c>
      <c r="QUO6" s="137">
        <v>167.32</v>
      </c>
      <c r="QUP6" s="181" t="s">
        <v>817</v>
      </c>
      <c r="QUQ6" s="545" t="s">
        <v>816</v>
      </c>
      <c r="QUR6" s="545"/>
      <c r="QUS6" s="545"/>
      <c r="QUT6" s="545"/>
      <c r="QUU6" s="136" t="s">
        <v>168</v>
      </c>
      <c r="QUV6" s="137">
        <v>1</v>
      </c>
      <c r="QUW6" s="137">
        <v>167.32</v>
      </c>
      <c r="QUX6" s="181" t="s">
        <v>817</v>
      </c>
      <c r="QUY6" s="545" t="s">
        <v>816</v>
      </c>
      <c r="QUZ6" s="545"/>
      <c r="QVA6" s="545"/>
      <c r="QVB6" s="545"/>
      <c r="QVC6" s="136" t="s">
        <v>168</v>
      </c>
      <c r="QVD6" s="137">
        <v>1</v>
      </c>
      <c r="QVE6" s="137">
        <v>167.32</v>
      </c>
      <c r="QVF6" s="181" t="s">
        <v>817</v>
      </c>
      <c r="QVG6" s="545" t="s">
        <v>816</v>
      </c>
      <c r="QVH6" s="545"/>
      <c r="QVI6" s="545"/>
      <c r="QVJ6" s="545"/>
      <c r="QVK6" s="136" t="s">
        <v>168</v>
      </c>
      <c r="QVL6" s="137">
        <v>1</v>
      </c>
      <c r="QVM6" s="137">
        <v>167.32</v>
      </c>
      <c r="QVN6" s="181" t="s">
        <v>817</v>
      </c>
      <c r="QVO6" s="545" t="s">
        <v>816</v>
      </c>
      <c r="QVP6" s="545"/>
      <c r="QVQ6" s="545"/>
      <c r="QVR6" s="545"/>
      <c r="QVS6" s="136" t="s">
        <v>168</v>
      </c>
      <c r="QVT6" s="137">
        <v>1</v>
      </c>
      <c r="QVU6" s="137">
        <v>167.32</v>
      </c>
      <c r="QVV6" s="181" t="s">
        <v>817</v>
      </c>
      <c r="QVW6" s="545" t="s">
        <v>816</v>
      </c>
      <c r="QVX6" s="545"/>
      <c r="QVY6" s="545"/>
      <c r="QVZ6" s="545"/>
      <c r="QWA6" s="136" t="s">
        <v>168</v>
      </c>
      <c r="QWB6" s="137">
        <v>1</v>
      </c>
      <c r="QWC6" s="137">
        <v>167.32</v>
      </c>
      <c r="QWD6" s="181" t="s">
        <v>817</v>
      </c>
      <c r="QWE6" s="545" t="s">
        <v>816</v>
      </c>
      <c r="QWF6" s="545"/>
      <c r="QWG6" s="545"/>
      <c r="QWH6" s="545"/>
      <c r="QWI6" s="136" t="s">
        <v>168</v>
      </c>
      <c r="QWJ6" s="137">
        <v>1</v>
      </c>
      <c r="QWK6" s="137">
        <v>167.32</v>
      </c>
      <c r="QWL6" s="181" t="s">
        <v>817</v>
      </c>
      <c r="QWM6" s="545" t="s">
        <v>816</v>
      </c>
      <c r="QWN6" s="545"/>
      <c r="QWO6" s="545"/>
      <c r="QWP6" s="545"/>
      <c r="QWQ6" s="136" t="s">
        <v>168</v>
      </c>
      <c r="QWR6" s="137">
        <v>1</v>
      </c>
      <c r="QWS6" s="137">
        <v>167.32</v>
      </c>
      <c r="QWT6" s="181" t="s">
        <v>817</v>
      </c>
      <c r="QWU6" s="545" t="s">
        <v>816</v>
      </c>
      <c r="QWV6" s="545"/>
      <c r="QWW6" s="545"/>
      <c r="QWX6" s="545"/>
      <c r="QWY6" s="136" t="s">
        <v>168</v>
      </c>
      <c r="QWZ6" s="137">
        <v>1</v>
      </c>
      <c r="QXA6" s="137">
        <v>167.32</v>
      </c>
      <c r="QXB6" s="181" t="s">
        <v>817</v>
      </c>
      <c r="QXC6" s="545" t="s">
        <v>816</v>
      </c>
      <c r="QXD6" s="545"/>
      <c r="QXE6" s="545"/>
      <c r="QXF6" s="545"/>
      <c r="QXG6" s="136" t="s">
        <v>168</v>
      </c>
      <c r="QXH6" s="137">
        <v>1</v>
      </c>
      <c r="QXI6" s="137">
        <v>167.32</v>
      </c>
      <c r="QXJ6" s="181" t="s">
        <v>817</v>
      </c>
      <c r="QXK6" s="545" t="s">
        <v>816</v>
      </c>
      <c r="QXL6" s="545"/>
      <c r="QXM6" s="545"/>
      <c r="QXN6" s="545"/>
      <c r="QXO6" s="136" t="s">
        <v>168</v>
      </c>
      <c r="QXP6" s="137">
        <v>1</v>
      </c>
      <c r="QXQ6" s="137">
        <v>167.32</v>
      </c>
      <c r="QXR6" s="181" t="s">
        <v>817</v>
      </c>
      <c r="QXS6" s="545" t="s">
        <v>816</v>
      </c>
      <c r="QXT6" s="545"/>
      <c r="QXU6" s="545"/>
      <c r="QXV6" s="545"/>
      <c r="QXW6" s="136" t="s">
        <v>168</v>
      </c>
      <c r="QXX6" s="137">
        <v>1</v>
      </c>
      <c r="QXY6" s="137">
        <v>167.32</v>
      </c>
      <c r="QXZ6" s="181" t="s">
        <v>817</v>
      </c>
      <c r="QYA6" s="545" t="s">
        <v>816</v>
      </c>
      <c r="QYB6" s="545"/>
      <c r="QYC6" s="545"/>
      <c r="QYD6" s="545"/>
      <c r="QYE6" s="136" t="s">
        <v>168</v>
      </c>
      <c r="QYF6" s="137">
        <v>1</v>
      </c>
      <c r="QYG6" s="137">
        <v>167.32</v>
      </c>
      <c r="QYH6" s="181" t="s">
        <v>817</v>
      </c>
      <c r="QYI6" s="545" t="s">
        <v>816</v>
      </c>
      <c r="QYJ6" s="545"/>
      <c r="QYK6" s="545"/>
      <c r="QYL6" s="545"/>
      <c r="QYM6" s="136" t="s">
        <v>168</v>
      </c>
      <c r="QYN6" s="137">
        <v>1</v>
      </c>
      <c r="QYO6" s="137">
        <v>167.32</v>
      </c>
      <c r="QYP6" s="181" t="s">
        <v>817</v>
      </c>
      <c r="QYQ6" s="545" t="s">
        <v>816</v>
      </c>
      <c r="QYR6" s="545"/>
      <c r="QYS6" s="545"/>
      <c r="QYT6" s="545"/>
      <c r="QYU6" s="136" t="s">
        <v>168</v>
      </c>
      <c r="QYV6" s="137">
        <v>1</v>
      </c>
      <c r="QYW6" s="137">
        <v>167.32</v>
      </c>
      <c r="QYX6" s="181" t="s">
        <v>817</v>
      </c>
      <c r="QYY6" s="545" t="s">
        <v>816</v>
      </c>
      <c r="QYZ6" s="545"/>
      <c r="QZA6" s="545"/>
      <c r="QZB6" s="545"/>
      <c r="QZC6" s="136" t="s">
        <v>168</v>
      </c>
      <c r="QZD6" s="137">
        <v>1</v>
      </c>
      <c r="QZE6" s="137">
        <v>167.32</v>
      </c>
      <c r="QZF6" s="181" t="s">
        <v>817</v>
      </c>
      <c r="QZG6" s="545" t="s">
        <v>816</v>
      </c>
      <c r="QZH6" s="545"/>
      <c r="QZI6" s="545"/>
      <c r="QZJ6" s="545"/>
      <c r="QZK6" s="136" t="s">
        <v>168</v>
      </c>
      <c r="QZL6" s="137">
        <v>1</v>
      </c>
      <c r="QZM6" s="137">
        <v>167.32</v>
      </c>
      <c r="QZN6" s="181" t="s">
        <v>817</v>
      </c>
      <c r="QZO6" s="545" t="s">
        <v>816</v>
      </c>
      <c r="QZP6" s="545"/>
      <c r="QZQ6" s="545"/>
      <c r="QZR6" s="545"/>
      <c r="QZS6" s="136" t="s">
        <v>168</v>
      </c>
      <c r="QZT6" s="137">
        <v>1</v>
      </c>
      <c r="QZU6" s="137">
        <v>167.32</v>
      </c>
      <c r="QZV6" s="181" t="s">
        <v>817</v>
      </c>
      <c r="QZW6" s="545" t="s">
        <v>816</v>
      </c>
      <c r="QZX6" s="545"/>
      <c r="QZY6" s="545"/>
      <c r="QZZ6" s="545"/>
      <c r="RAA6" s="136" t="s">
        <v>168</v>
      </c>
      <c r="RAB6" s="137">
        <v>1</v>
      </c>
      <c r="RAC6" s="137">
        <v>167.32</v>
      </c>
      <c r="RAD6" s="181" t="s">
        <v>817</v>
      </c>
      <c r="RAE6" s="545" t="s">
        <v>816</v>
      </c>
      <c r="RAF6" s="545"/>
      <c r="RAG6" s="545"/>
      <c r="RAH6" s="545"/>
      <c r="RAI6" s="136" t="s">
        <v>168</v>
      </c>
      <c r="RAJ6" s="137">
        <v>1</v>
      </c>
      <c r="RAK6" s="137">
        <v>167.32</v>
      </c>
      <c r="RAL6" s="181" t="s">
        <v>817</v>
      </c>
      <c r="RAM6" s="545" t="s">
        <v>816</v>
      </c>
      <c r="RAN6" s="545"/>
      <c r="RAO6" s="545"/>
      <c r="RAP6" s="545"/>
      <c r="RAQ6" s="136" t="s">
        <v>168</v>
      </c>
      <c r="RAR6" s="137">
        <v>1</v>
      </c>
      <c r="RAS6" s="137">
        <v>167.32</v>
      </c>
      <c r="RAT6" s="181" t="s">
        <v>817</v>
      </c>
      <c r="RAU6" s="545" t="s">
        <v>816</v>
      </c>
      <c r="RAV6" s="545"/>
      <c r="RAW6" s="545"/>
      <c r="RAX6" s="545"/>
      <c r="RAY6" s="136" t="s">
        <v>168</v>
      </c>
      <c r="RAZ6" s="137">
        <v>1</v>
      </c>
      <c r="RBA6" s="137">
        <v>167.32</v>
      </c>
      <c r="RBB6" s="181" t="s">
        <v>817</v>
      </c>
      <c r="RBC6" s="545" t="s">
        <v>816</v>
      </c>
      <c r="RBD6" s="545"/>
      <c r="RBE6" s="545"/>
      <c r="RBF6" s="545"/>
      <c r="RBG6" s="136" t="s">
        <v>168</v>
      </c>
      <c r="RBH6" s="137">
        <v>1</v>
      </c>
      <c r="RBI6" s="137">
        <v>167.32</v>
      </c>
      <c r="RBJ6" s="181" t="s">
        <v>817</v>
      </c>
      <c r="RBK6" s="545" t="s">
        <v>816</v>
      </c>
      <c r="RBL6" s="545"/>
      <c r="RBM6" s="545"/>
      <c r="RBN6" s="545"/>
      <c r="RBO6" s="136" t="s">
        <v>168</v>
      </c>
      <c r="RBP6" s="137">
        <v>1</v>
      </c>
      <c r="RBQ6" s="137">
        <v>167.32</v>
      </c>
      <c r="RBR6" s="181" t="s">
        <v>817</v>
      </c>
      <c r="RBS6" s="545" t="s">
        <v>816</v>
      </c>
      <c r="RBT6" s="545"/>
      <c r="RBU6" s="545"/>
      <c r="RBV6" s="545"/>
      <c r="RBW6" s="136" t="s">
        <v>168</v>
      </c>
      <c r="RBX6" s="137">
        <v>1</v>
      </c>
      <c r="RBY6" s="137">
        <v>167.32</v>
      </c>
      <c r="RBZ6" s="181" t="s">
        <v>817</v>
      </c>
      <c r="RCA6" s="545" t="s">
        <v>816</v>
      </c>
      <c r="RCB6" s="545"/>
      <c r="RCC6" s="545"/>
      <c r="RCD6" s="545"/>
      <c r="RCE6" s="136" t="s">
        <v>168</v>
      </c>
      <c r="RCF6" s="137">
        <v>1</v>
      </c>
      <c r="RCG6" s="137">
        <v>167.32</v>
      </c>
      <c r="RCH6" s="181" t="s">
        <v>817</v>
      </c>
      <c r="RCI6" s="545" t="s">
        <v>816</v>
      </c>
      <c r="RCJ6" s="545"/>
      <c r="RCK6" s="545"/>
      <c r="RCL6" s="545"/>
      <c r="RCM6" s="136" t="s">
        <v>168</v>
      </c>
      <c r="RCN6" s="137">
        <v>1</v>
      </c>
      <c r="RCO6" s="137">
        <v>167.32</v>
      </c>
      <c r="RCP6" s="181" t="s">
        <v>817</v>
      </c>
      <c r="RCQ6" s="545" t="s">
        <v>816</v>
      </c>
      <c r="RCR6" s="545"/>
      <c r="RCS6" s="545"/>
      <c r="RCT6" s="545"/>
      <c r="RCU6" s="136" t="s">
        <v>168</v>
      </c>
      <c r="RCV6" s="137">
        <v>1</v>
      </c>
      <c r="RCW6" s="137">
        <v>167.32</v>
      </c>
      <c r="RCX6" s="181" t="s">
        <v>817</v>
      </c>
      <c r="RCY6" s="545" t="s">
        <v>816</v>
      </c>
      <c r="RCZ6" s="545"/>
      <c r="RDA6" s="545"/>
      <c r="RDB6" s="545"/>
      <c r="RDC6" s="136" t="s">
        <v>168</v>
      </c>
      <c r="RDD6" s="137">
        <v>1</v>
      </c>
      <c r="RDE6" s="137">
        <v>167.32</v>
      </c>
      <c r="RDF6" s="181" t="s">
        <v>817</v>
      </c>
      <c r="RDG6" s="545" t="s">
        <v>816</v>
      </c>
      <c r="RDH6" s="545"/>
      <c r="RDI6" s="545"/>
      <c r="RDJ6" s="545"/>
      <c r="RDK6" s="136" t="s">
        <v>168</v>
      </c>
      <c r="RDL6" s="137">
        <v>1</v>
      </c>
      <c r="RDM6" s="137">
        <v>167.32</v>
      </c>
      <c r="RDN6" s="181" t="s">
        <v>817</v>
      </c>
      <c r="RDO6" s="545" t="s">
        <v>816</v>
      </c>
      <c r="RDP6" s="545"/>
      <c r="RDQ6" s="545"/>
      <c r="RDR6" s="545"/>
      <c r="RDS6" s="136" t="s">
        <v>168</v>
      </c>
      <c r="RDT6" s="137">
        <v>1</v>
      </c>
      <c r="RDU6" s="137">
        <v>167.32</v>
      </c>
      <c r="RDV6" s="181" t="s">
        <v>817</v>
      </c>
      <c r="RDW6" s="545" t="s">
        <v>816</v>
      </c>
      <c r="RDX6" s="545"/>
      <c r="RDY6" s="545"/>
      <c r="RDZ6" s="545"/>
      <c r="REA6" s="136" t="s">
        <v>168</v>
      </c>
      <c r="REB6" s="137">
        <v>1</v>
      </c>
      <c r="REC6" s="137">
        <v>167.32</v>
      </c>
      <c r="RED6" s="181" t="s">
        <v>817</v>
      </c>
      <c r="REE6" s="545" t="s">
        <v>816</v>
      </c>
      <c r="REF6" s="545"/>
      <c r="REG6" s="545"/>
      <c r="REH6" s="545"/>
      <c r="REI6" s="136" t="s">
        <v>168</v>
      </c>
      <c r="REJ6" s="137">
        <v>1</v>
      </c>
      <c r="REK6" s="137">
        <v>167.32</v>
      </c>
      <c r="REL6" s="181" t="s">
        <v>817</v>
      </c>
      <c r="REM6" s="545" t="s">
        <v>816</v>
      </c>
      <c r="REN6" s="545"/>
      <c r="REO6" s="545"/>
      <c r="REP6" s="545"/>
      <c r="REQ6" s="136" t="s">
        <v>168</v>
      </c>
      <c r="RER6" s="137">
        <v>1</v>
      </c>
      <c r="RES6" s="137">
        <v>167.32</v>
      </c>
      <c r="RET6" s="181" t="s">
        <v>817</v>
      </c>
      <c r="REU6" s="545" t="s">
        <v>816</v>
      </c>
      <c r="REV6" s="545"/>
      <c r="REW6" s="545"/>
      <c r="REX6" s="545"/>
      <c r="REY6" s="136" t="s">
        <v>168</v>
      </c>
      <c r="REZ6" s="137">
        <v>1</v>
      </c>
      <c r="RFA6" s="137">
        <v>167.32</v>
      </c>
      <c r="RFB6" s="181" t="s">
        <v>817</v>
      </c>
      <c r="RFC6" s="545" t="s">
        <v>816</v>
      </c>
      <c r="RFD6" s="545"/>
      <c r="RFE6" s="545"/>
      <c r="RFF6" s="545"/>
      <c r="RFG6" s="136" t="s">
        <v>168</v>
      </c>
      <c r="RFH6" s="137">
        <v>1</v>
      </c>
      <c r="RFI6" s="137">
        <v>167.32</v>
      </c>
      <c r="RFJ6" s="181" t="s">
        <v>817</v>
      </c>
      <c r="RFK6" s="545" t="s">
        <v>816</v>
      </c>
      <c r="RFL6" s="545"/>
      <c r="RFM6" s="545"/>
      <c r="RFN6" s="545"/>
      <c r="RFO6" s="136" t="s">
        <v>168</v>
      </c>
      <c r="RFP6" s="137">
        <v>1</v>
      </c>
      <c r="RFQ6" s="137">
        <v>167.32</v>
      </c>
      <c r="RFR6" s="181" t="s">
        <v>817</v>
      </c>
      <c r="RFS6" s="545" t="s">
        <v>816</v>
      </c>
      <c r="RFT6" s="545"/>
      <c r="RFU6" s="545"/>
      <c r="RFV6" s="545"/>
      <c r="RFW6" s="136" t="s">
        <v>168</v>
      </c>
      <c r="RFX6" s="137">
        <v>1</v>
      </c>
      <c r="RFY6" s="137">
        <v>167.32</v>
      </c>
      <c r="RFZ6" s="181" t="s">
        <v>817</v>
      </c>
      <c r="RGA6" s="545" t="s">
        <v>816</v>
      </c>
      <c r="RGB6" s="545"/>
      <c r="RGC6" s="545"/>
      <c r="RGD6" s="545"/>
      <c r="RGE6" s="136" t="s">
        <v>168</v>
      </c>
      <c r="RGF6" s="137">
        <v>1</v>
      </c>
      <c r="RGG6" s="137">
        <v>167.32</v>
      </c>
      <c r="RGH6" s="181" t="s">
        <v>817</v>
      </c>
      <c r="RGI6" s="545" t="s">
        <v>816</v>
      </c>
      <c r="RGJ6" s="545"/>
      <c r="RGK6" s="545"/>
      <c r="RGL6" s="545"/>
      <c r="RGM6" s="136" t="s">
        <v>168</v>
      </c>
      <c r="RGN6" s="137">
        <v>1</v>
      </c>
      <c r="RGO6" s="137">
        <v>167.32</v>
      </c>
      <c r="RGP6" s="181" t="s">
        <v>817</v>
      </c>
      <c r="RGQ6" s="545" t="s">
        <v>816</v>
      </c>
      <c r="RGR6" s="545"/>
      <c r="RGS6" s="545"/>
      <c r="RGT6" s="545"/>
      <c r="RGU6" s="136" t="s">
        <v>168</v>
      </c>
      <c r="RGV6" s="137">
        <v>1</v>
      </c>
      <c r="RGW6" s="137">
        <v>167.32</v>
      </c>
      <c r="RGX6" s="181" t="s">
        <v>817</v>
      </c>
      <c r="RGY6" s="545" t="s">
        <v>816</v>
      </c>
      <c r="RGZ6" s="545"/>
      <c r="RHA6" s="545"/>
      <c r="RHB6" s="545"/>
      <c r="RHC6" s="136" t="s">
        <v>168</v>
      </c>
      <c r="RHD6" s="137">
        <v>1</v>
      </c>
      <c r="RHE6" s="137">
        <v>167.32</v>
      </c>
      <c r="RHF6" s="181" t="s">
        <v>817</v>
      </c>
      <c r="RHG6" s="545" t="s">
        <v>816</v>
      </c>
      <c r="RHH6" s="545"/>
      <c r="RHI6" s="545"/>
      <c r="RHJ6" s="545"/>
      <c r="RHK6" s="136" t="s">
        <v>168</v>
      </c>
      <c r="RHL6" s="137">
        <v>1</v>
      </c>
      <c r="RHM6" s="137">
        <v>167.32</v>
      </c>
      <c r="RHN6" s="181" t="s">
        <v>817</v>
      </c>
      <c r="RHO6" s="545" t="s">
        <v>816</v>
      </c>
      <c r="RHP6" s="545"/>
      <c r="RHQ6" s="545"/>
      <c r="RHR6" s="545"/>
      <c r="RHS6" s="136" t="s">
        <v>168</v>
      </c>
      <c r="RHT6" s="137">
        <v>1</v>
      </c>
      <c r="RHU6" s="137">
        <v>167.32</v>
      </c>
      <c r="RHV6" s="181" t="s">
        <v>817</v>
      </c>
      <c r="RHW6" s="545" t="s">
        <v>816</v>
      </c>
      <c r="RHX6" s="545"/>
      <c r="RHY6" s="545"/>
      <c r="RHZ6" s="545"/>
      <c r="RIA6" s="136" t="s">
        <v>168</v>
      </c>
      <c r="RIB6" s="137">
        <v>1</v>
      </c>
      <c r="RIC6" s="137">
        <v>167.32</v>
      </c>
      <c r="RID6" s="181" t="s">
        <v>817</v>
      </c>
      <c r="RIE6" s="545" t="s">
        <v>816</v>
      </c>
      <c r="RIF6" s="545"/>
      <c r="RIG6" s="545"/>
      <c r="RIH6" s="545"/>
      <c r="RII6" s="136" t="s">
        <v>168</v>
      </c>
      <c r="RIJ6" s="137">
        <v>1</v>
      </c>
      <c r="RIK6" s="137">
        <v>167.32</v>
      </c>
      <c r="RIL6" s="181" t="s">
        <v>817</v>
      </c>
      <c r="RIM6" s="545" t="s">
        <v>816</v>
      </c>
      <c r="RIN6" s="545"/>
      <c r="RIO6" s="545"/>
      <c r="RIP6" s="545"/>
      <c r="RIQ6" s="136" t="s">
        <v>168</v>
      </c>
      <c r="RIR6" s="137">
        <v>1</v>
      </c>
      <c r="RIS6" s="137">
        <v>167.32</v>
      </c>
      <c r="RIT6" s="181" t="s">
        <v>817</v>
      </c>
      <c r="RIU6" s="545" t="s">
        <v>816</v>
      </c>
      <c r="RIV6" s="545"/>
      <c r="RIW6" s="545"/>
      <c r="RIX6" s="545"/>
      <c r="RIY6" s="136" t="s">
        <v>168</v>
      </c>
      <c r="RIZ6" s="137">
        <v>1</v>
      </c>
      <c r="RJA6" s="137">
        <v>167.32</v>
      </c>
      <c r="RJB6" s="181" t="s">
        <v>817</v>
      </c>
      <c r="RJC6" s="545" t="s">
        <v>816</v>
      </c>
      <c r="RJD6" s="545"/>
      <c r="RJE6" s="545"/>
      <c r="RJF6" s="545"/>
      <c r="RJG6" s="136" t="s">
        <v>168</v>
      </c>
      <c r="RJH6" s="137">
        <v>1</v>
      </c>
      <c r="RJI6" s="137">
        <v>167.32</v>
      </c>
      <c r="RJJ6" s="181" t="s">
        <v>817</v>
      </c>
      <c r="RJK6" s="545" t="s">
        <v>816</v>
      </c>
      <c r="RJL6" s="545"/>
      <c r="RJM6" s="545"/>
      <c r="RJN6" s="545"/>
      <c r="RJO6" s="136" t="s">
        <v>168</v>
      </c>
      <c r="RJP6" s="137">
        <v>1</v>
      </c>
      <c r="RJQ6" s="137">
        <v>167.32</v>
      </c>
      <c r="RJR6" s="181" t="s">
        <v>817</v>
      </c>
      <c r="RJS6" s="545" t="s">
        <v>816</v>
      </c>
      <c r="RJT6" s="545"/>
      <c r="RJU6" s="545"/>
      <c r="RJV6" s="545"/>
      <c r="RJW6" s="136" t="s">
        <v>168</v>
      </c>
      <c r="RJX6" s="137">
        <v>1</v>
      </c>
      <c r="RJY6" s="137">
        <v>167.32</v>
      </c>
      <c r="RJZ6" s="181" t="s">
        <v>817</v>
      </c>
      <c r="RKA6" s="545" t="s">
        <v>816</v>
      </c>
      <c r="RKB6" s="545"/>
      <c r="RKC6" s="545"/>
      <c r="RKD6" s="545"/>
      <c r="RKE6" s="136" t="s">
        <v>168</v>
      </c>
      <c r="RKF6" s="137">
        <v>1</v>
      </c>
      <c r="RKG6" s="137">
        <v>167.32</v>
      </c>
      <c r="RKH6" s="181" t="s">
        <v>817</v>
      </c>
      <c r="RKI6" s="545" t="s">
        <v>816</v>
      </c>
      <c r="RKJ6" s="545"/>
      <c r="RKK6" s="545"/>
      <c r="RKL6" s="545"/>
      <c r="RKM6" s="136" t="s">
        <v>168</v>
      </c>
      <c r="RKN6" s="137">
        <v>1</v>
      </c>
      <c r="RKO6" s="137">
        <v>167.32</v>
      </c>
      <c r="RKP6" s="181" t="s">
        <v>817</v>
      </c>
      <c r="RKQ6" s="545" t="s">
        <v>816</v>
      </c>
      <c r="RKR6" s="545"/>
      <c r="RKS6" s="545"/>
      <c r="RKT6" s="545"/>
      <c r="RKU6" s="136" t="s">
        <v>168</v>
      </c>
      <c r="RKV6" s="137">
        <v>1</v>
      </c>
      <c r="RKW6" s="137">
        <v>167.32</v>
      </c>
      <c r="RKX6" s="181" t="s">
        <v>817</v>
      </c>
      <c r="RKY6" s="545" t="s">
        <v>816</v>
      </c>
      <c r="RKZ6" s="545"/>
      <c r="RLA6" s="545"/>
      <c r="RLB6" s="545"/>
      <c r="RLC6" s="136" t="s">
        <v>168</v>
      </c>
      <c r="RLD6" s="137">
        <v>1</v>
      </c>
      <c r="RLE6" s="137">
        <v>167.32</v>
      </c>
      <c r="RLF6" s="181" t="s">
        <v>817</v>
      </c>
      <c r="RLG6" s="545" t="s">
        <v>816</v>
      </c>
      <c r="RLH6" s="545"/>
      <c r="RLI6" s="545"/>
      <c r="RLJ6" s="545"/>
      <c r="RLK6" s="136" t="s">
        <v>168</v>
      </c>
      <c r="RLL6" s="137">
        <v>1</v>
      </c>
      <c r="RLM6" s="137">
        <v>167.32</v>
      </c>
      <c r="RLN6" s="181" t="s">
        <v>817</v>
      </c>
      <c r="RLO6" s="545" t="s">
        <v>816</v>
      </c>
      <c r="RLP6" s="545"/>
      <c r="RLQ6" s="545"/>
      <c r="RLR6" s="545"/>
      <c r="RLS6" s="136" t="s">
        <v>168</v>
      </c>
      <c r="RLT6" s="137">
        <v>1</v>
      </c>
      <c r="RLU6" s="137">
        <v>167.32</v>
      </c>
      <c r="RLV6" s="181" t="s">
        <v>817</v>
      </c>
      <c r="RLW6" s="545" t="s">
        <v>816</v>
      </c>
      <c r="RLX6" s="545"/>
      <c r="RLY6" s="545"/>
      <c r="RLZ6" s="545"/>
      <c r="RMA6" s="136" t="s">
        <v>168</v>
      </c>
      <c r="RMB6" s="137">
        <v>1</v>
      </c>
      <c r="RMC6" s="137">
        <v>167.32</v>
      </c>
      <c r="RMD6" s="181" t="s">
        <v>817</v>
      </c>
      <c r="RME6" s="545" t="s">
        <v>816</v>
      </c>
      <c r="RMF6" s="545"/>
      <c r="RMG6" s="545"/>
      <c r="RMH6" s="545"/>
      <c r="RMI6" s="136" t="s">
        <v>168</v>
      </c>
      <c r="RMJ6" s="137">
        <v>1</v>
      </c>
      <c r="RMK6" s="137">
        <v>167.32</v>
      </c>
      <c r="RML6" s="181" t="s">
        <v>817</v>
      </c>
      <c r="RMM6" s="545" t="s">
        <v>816</v>
      </c>
      <c r="RMN6" s="545"/>
      <c r="RMO6" s="545"/>
      <c r="RMP6" s="545"/>
      <c r="RMQ6" s="136" t="s">
        <v>168</v>
      </c>
      <c r="RMR6" s="137">
        <v>1</v>
      </c>
      <c r="RMS6" s="137">
        <v>167.32</v>
      </c>
      <c r="RMT6" s="181" t="s">
        <v>817</v>
      </c>
      <c r="RMU6" s="545" t="s">
        <v>816</v>
      </c>
      <c r="RMV6" s="545"/>
      <c r="RMW6" s="545"/>
      <c r="RMX6" s="545"/>
      <c r="RMY6" s="136" t="s">
        <v>168</v>
      </c>
      <c r="RMZ6" s="137">
        <v>1</v>
      </c>
      <c r="RNA6" s="137">
        <v>167.32</v>
      </c>
      <c r="RNB6" s="181" t="s">
        <v>817</v>
      </c>
      <c r="RNC6" s="545" t="s">
        <v>816</v>
      </c>
      <c r="RND6" s="545"/>
      <c r="RNE6" s="545"/>
      <c r="RNF6" s="545"/>
      <c r="RNG6" s="136" t="s">
        <v>168</v>
      </c>
      <c r="RNH6" s="137">
        <v>1</v>
      </c>
      <c r="RNI6" s="137">
        <v>167.32</v>
      </c>
      <c r="RNJ6" s="181" t="s">
        <v>817</v>
      </c>
      <c r="RNK6" s="545" t="s">
        <v>816</v>
      </c>
      <c r="RNL6" s="545"/>
      <c r="RNM6" s="545"/>
      <c r="RNN6" s="545"/>
      <c r="RNO6" s="136" t="s">
        <v>168</v>
      </c>
      <c r="RNP6" s="137">
        <v>1</v>
      </c>
      <c r="RNQ6" s="137">
        <v>167.32</v>
      </c>
      <c r="RNR6" s="181" t="s">
        <v>817</v>
      </c>
      <c r="RNS6" s="545" t="s">
        <v>816</v>
      </c>
      <c r="RNT6" s="545"/>
      <c r="RNU6" s="545"/>
      <c r="RNV6" s="545"/>
      <c r="RNW6" s="136" t="s">
        <v>168</v>
      </c>
      <c r="RNX6" s="137">
        <v>1</v>
      </c>
      <c r="RNY6" s="137">
        <v>167.32</v>
      </c>
      <c r="RNZ6" s="181" t="s">
        <v>817</v>
      </c>
      <c r="ROA6" s="545" t="s">
        <v>816</v>
      </c>
      <c r="ROB6" s="545"/>
      <c r="ROC6" s="545"/>
      <c r="ROD6" s="545"/>
      <c r="ROE6" s="136" t="s">
        <v>168</v>
      </c>
      <c r="ROF6" s="137">
        <v>1</v>
      </c>
      <c r="ROG6" s="137">
        <v>167.32</v>
      </c>
      <c r="ROH6" s="181" t="s">
        <v>817</v>
      </c>
      <c r="ROI6" s="545" t="s">
        <v>816</v>
      </c>
      <c r="ROJ6" s="545"/>
      <c r="ROK6" s="545"/>
      <c r="ROL6" s="545"/>
      <c r="ROM6" s="136" t="s">
        <v>168</v>
      </c>
      <c r="RON6" s="137">
        <v>1</v>
      </c>
      <c r="ROO6" s="137">
        <v>167.32</v>
      </c>
      <c r="ROP6" s="181" t="s">
        <v>817</v>
      </c>
      <c r="ROQ6" s="545" t="s">
        <v>816</v>
      </c>
      <c r="ROR6" s="545"/>
      <c r="ROS6" s="545"/>
      <c r="ROT6" s="545"/>
      <c r="ROU6" s="136" t="s">
        <v>168</v>
      </c>
      <c r="ROV6" s="137">
        <v>1</v>
      </c>
      <c r="ROW6" s="137">
        <v>167.32</v>
      </c>
      <c r="ROX6" s="181" t="s">
        <v>817</v>
      </c>
      <c r="ROY6" s="545" t="s">
        <v>816</v>
      </c>
      <c r="ROZ6" s="545"/>
      <c r="RPA6" s="545"/>
      <c r="RPB6" s="545"/>
      <c r="RPC6" s="136" t="s">
        <v>168</v>
      </c>
      <c r="RPD6" s="137">
        <v>1</v>
      </c>
      <c r="RPE6" s="137">
        <v>167.32</v>
      </c>
      <c r="RPF6" s="181" t="s">
        <v>817</v>
      </c>
      <c r="RPG6" s="545" t="s">
        <v>816</v>
      </c>
      <c r="RPH6" s="545"/>
      <c r="RPI6" s="545"/>
      <c r="RPJ6" s="545"/>
      <c r="RPK6" s="136" t="s">
        <v>168</v>
      </c>
      <c r="RPL6" s="137">
        <v>1</v>
      </c>
      <c r="RPM6" s="137">
        <v>167.32</v>
      </c>
      <c r="RPN6" s="181" t="s">
        <v>817</v>
      </c>
      <c r="RPO6" s="545" t="s">
        <v>816</v>
      </c>
      <c r="RPP6" s="545"/>
      <c r="RPQ6" s="545"/>
      <c r="RPR6" s="545"/>
      <c r="RPS6" s="136" t="s">
        <v>168</v>
      </c>
      <c r="RPT6" s="137">
        <v>1</v>
      </c>
      <c r="RPU6" s="137">
        <v>167.32</v>
      </c>
      <c r="RPV6" s="181" t="s">
        <v>817</v>
      </c>
      <c r="RPW6" s="545" t="s">
        <v>816</v>
      </c>
      <c r="RPX6" s="545"/>
      <c r="RPY6" s="545"/>
      <c r="RPZ6" s="545"/>
      <c r="RQA6" s="136" t="s">
        <v>168</v>
      </c>
      <c r="RQB6" s="137">
        <v>1</v>
      </c>
      <c r="RQC6" s="137">
        <v>167.32</v>
      </c>
      <c r="RQD6" s="181" t="s">
        <v>817</v>
      </c>
      <c r="RQE6" s="545" t="s">
        <v>816</v>
      </c>
      <c r="RQF6" s="545"/>
      <c r="RQG6" s="545"/>
      <c r="RQH6" s="545"/>
      <c r="RQI6" s="136" t="s">
        <v>168</v>
      </c>
      <c r="RQJ6" s="137">
        <v>1</v>
      </c>
      <c r="RQK6" s="137">
        <v>167.32</v>
      </c>
      <c r="RQL6" s="181" t="s">
        <v>817</v>
      </c>
      <c r="RQM6" s="545" t="s">
        <v>816</v>
      </c>
      <c r="RQN6" s="545"/>
      <c r="RQO6" s="545"/>
      <c r="RQP6" s="545"/>
      <c r="RQQ6" s="136" t="s">
        <v>168</v>
      </c>
      <c r="RQR6" s="137">
        <v>1</v>
      </c>
      <c r="RQS6" s="137">
        <v>167.32</v>
      </c>
      <c r="RQT6" s="181" t="s">
        <v>817</v>
      </c>
      <c r="RQU6" s="545" t="s">
        <v>816</v>
      </c>
      <c r="RQV6" s="545"/>
      <c r="RQW6" s="545"/>
      <c r="RQX6" s="545"/>
      <c r="RQY6" s="136" t="s">
        <v>168</v>
      </c>
      <c r="RQZ6" s="137">
        <v>1</v>
      </c>
      <c r="RRA6" s="137">
        <v>167.32</v>
      </c>
      <c r="RRB6" s="181" t="s">
        <v>817</v>
      </c>
      <c r="RRC6" s="545" t="s">
        <v>816</v>
      </c>
      <c r="RRD6" s="545"/>
      <c r="RRE6" s="545"/>
      <c r="RRF6" s="545"/>
      <c r="RRG6" s="136" t="s">
        <v>168</v>
      </c>
      <c r="RRH6" s="137">
        <v>1</v>
      </c>
      <c r="RRI6" s="137">
        <v>167.32</v>
      </c>
      <c r="RRJ6" s="181" t="s">
        <v>817</v>
      </c>
      <c r="RRK6" s="545" t="s">
        <v>816</v>
      </c>
      <c r="RRL6" s="545"/>
      <c r="RRM6" s="545"/>
      <c r="RRN6" s="545"/>
      <c r="RRO6" s="136" t="s">
        <v>168</v>
      </c>
      <c r="RRP6" s="137">
        <v>1</v>
      </c>
      <c r="RRQ6" s="137">
        <v>167.32</v>
      </c>
      <c r="RRR6" s="181" t="s">
        <v>817</v>
      </c>
      <c r="RRS6" s="545" t="s">
        <v>816</v>
      </c>
      <c r="RRT6" s="545"/>
      <c r="RRU6" s="545"/>
      <c r="RRV6" s="545"/>
      <c r="RRW6" s="136" t="s">
        <v>168</v>
      </c>
      <c r="RRX6" s="137">
        <v>1</v>
      </c>
      <c r="RRY6" s="137">
        <v>167.32</v>
      </c>
      <c r="RRZ6" s="181" t="s">
        <v>817</v>
      </c>
      <c r="RSA6" s="545" t="s">
        <v>816</v>
      </c>
      <c r="RSB6" s="545"/>
      <c r="RSC6" s="545"/>
      <c r="RSD6" s="545"/>
      <c r="RSE6" s="136" t="s">
        <v>168</v>
      </c>
      <c r="RSF6" s="137">
        <v>1</v>
      </c>
      <c r="RSG6" s="137">
        <v>167.32</v>
      </c>
      <c r="RSH6" s="181" t="s">
        <v>817</v>
      </c>
      <c r="RSI6" s="545" t="s">
        <v>816</v>
      </c>
      <c r="RSJ6" s="545"/>
      <c r="RSK6" s="545"/>
      <c r="RSL6" s="545"/>
      <c r="RSM6" s="136" t="s">
        <v>168</v>
      </c>
      <c r="RSN6" s="137">
        <v>1</v>
      </c>
      <c r="RSO6" s="137">
        <v>167.32</v>
      </c>
      <c r="RSP6" s="181" t="s">
        <v>817</v>
      </c>
      <c r="RSQ6" s="545" t="s">
        <v>816</v>
      </c>
      <c r="RSR6" s="545"/>
      <c r="RSS6" s="545"/>
      <c r="RST6" s="545"/>
      <c r="RSU6" s="136" t="s">
        <v>168</v>
      </c>
      <c r="RSV6" s="137">
        <v>1</v>
      </c>
      <c r="RSW6" s="137">
        <v>167.32</v>
      </c>
      <c r="RSX6" s="181" t="s">
        <v>817</v>
      </c>
      <c r="RSY6" s="545" t="s">
        <v>816</v>
      </c>
      <c r="RSZ6" s="545"/>
      <c r="RTA6" s="545"/>
      <c r="RTB6" s="545"/>
      <c r="RTC6" s="136" t="s">
        <v>168</v>
      </c>
      <c r="RTD6" s="137">
        <v>1</v>
      </c>
      <c r="RTE6" s="137">
        <v>167.32</v>
      </c>
      <c r="RTF6" s="181" t="s">
        <v>817</v>
      </c>
      <c r="RTG6" s="545" t="s">
        <v>816</v>
      </c>
      <c r="RTH6" s="545"/>
      <c r="RTI6" s="545"/>
      <c r="RTJ6" s="545"/>
      <c r="RTK6" s="136" t="s">
        <v>168</v>
      </c>
      <c r="RTL6" s="137">
        <v>1</v>
      </c>
      <c r="RTM6" s="137">
        <v>167.32</v>
      </c>
      <c r="RTN6" s="181" t="s">
        <v>817</v>
      </c>
      <c r="RTO6" s="545" t="s">
        <v>816</v>
      </c>
      <c r="RTP6" s="545"/>
      <c r="RTQ6" s="545"/>
      <c r="RTR6" s="545"/>
      <c r="RTS6" s="136" t="s">
        <v>168</v>
      </c>
      <c r="RTT6" s="137">
        <v>1</v>
      </c>
      <c r="RTU6" s="137">
        <v>167.32</v>
      </c>
      <c r="RTV6" s="181" t="s">
        <v>817</v>
      </c>
      <c r="RTW6" s="545" t="s">
        <v>816</v>
      </c>
      <c r="RTX6" s="545"/>
      <c r="RTY6" s="545"/>
      <c r="RTZ6" s="545"/>
      <c r="RUA6" s="136" t="s">
        <v>168</v>
      </c>
      <c r="RUB6" s="137">
        <v>1</v>
      </c>
      <c r="RUC6" s="137">
        <v>167.32</v>
      </c>
      <c r="RUD6" s="181" t="s">
        <v>817</v>
      </c>
      <c r="RUE6" s="545" t="s">
        <v>816</v>
      </c>
      <c r="RUF6" s="545"/>
      <c r="RUG6" s="545"/>
      <c r="RUH6" s="545"/>
      <c r="RUI6" s="136" t="s">
        <v>168</v>
      </c>
      <c r="RUJ6" s="137">
        <v>1</v>
      </c>
      <c r="RUK6" s="137">
        <v>167.32</v>
      </c>
      <c r="RUL6" s="181" t="s">
        <v>817</v>
      </c>
      <c r="RUM6" s="545" t="s">
        <v>816</v>
      </c>
      <c r="RUN6" s="545"/>
      <c r="RUO6" s="545"/>
      <c r="RUP6" s="545"/>
      <c r="RUQ6" s="136" t="s">
        <v>168</v>
      </c>
      <c r="RUR6" s="137">
        <v>1</v>
      </c>
      <c r="RUS6" s="137">
        <v>167.32</v>
      </c>
      <c r="RUT6" s="181" t="s">
        <v>817</v>
      </c>
      <c r="RUU6" s="545" t="s">
        <v>816</v>
      </c>
      <c r="RUV6" s="545"/>
      <c r="RUW6" s="545"/>
      <c r="RUX6" s="545"/>
      <c r="RUY6" s="136" t="s">
        <v>168</v>
      </c>
      <c r="RUZ6" s="137">
        <v>1</v>
      </c>
      <c r="RVA6" s="137">
        <v>167.32</v>
      </c>
      <c r="RVB6" s="181" t="s">
        <v>817</v>
      </c>
      <c r="RVC6" s="545" t="s">
        <v>816</v>
      </c>
      <c r="RVD6" s="545"/>
      <c r="RVE6" s="545"/>
      <c r="RVF6" s="545"/>
      <c r="RVG6" s="136" t="s">
        <v>168</v>
      </c>
      <c r="RVH6" s="137">
        <v>1</v>
      </c>
      <c r="RVI6" s="137">
        <v>167.32</v>
      </c>
      <c r="RVJ6" s="181" t="s">
        <v>817</v>
      </c>
      <c r="RVK6" s="545" t="s">
        <v>816</v>
      </c>
      <c r="RVL6" s="545"/>
      <c r="RVM6" s="545"/>
      <c r="RVN6" s="545"/>
      <c r="RVO6" s="136" t="s">
        <v>168</v>
      </c>
      <c r="RVP6" s="137">
        <v>1</v>
      </c>
      <c r="RVQ6" s="137">
        <v>167.32</v>
      </c>
      <c r="RVR6" s="181" t="s">
        <v>817</v>
      </c>
      <c r="RVS6" s="545" t="s">
        <v>816</v>
      </c>
      <c r="RVT6" s="545"/>
      <c r="RVU6" s="545"/>
      <c r="RVV6" s="545"/>
      <c r="RVW6" s="136" t="s">
        <v>168</v>
      </c>
      <c r="RVX6" s="137">
        <v>1</v>
      </c>
      <c r="RVY6" s="137">
        <v>167.32</v>
      </c>
      <c r="RVZ6" s="181" t="s">
        <v>817</v>
      </c>
      <c r="RWA6" s="545" t="s">
        <v>816</v>
      </c>
      <c r="RWB6" s="545"/>
      <c r="RWC6" s="545"/>
      <c r="RWD6" s="545"/>
      <c r="RWE6" s="136" t="s">
        <v>168</v>
      </c>
      <c r="RWF6" s="137">
        <v>1</v>
      </c>
      <c r="RWG6" s="137">
        <v>167.32</v>
      </c>
      <c r="RWH6" s="181" t="s">
        <v>817</v>
      </c>
      <c r="RWI6" s="545" t="s">
        <v>816</v>
      </c>
      <c r="RWJ6" s="545"/>
      <c r="RWK6" s="545"/>
      <c r="RWL6" s="545"/>
      <c r="RWM6" s="136" t="s">
        <v>168</v>
      </c>
      <c r="RWN6" s="137">
        <v>1</v>
      </c>
      <c r="RWO6" s="137">
        <v>167.32</v>
      </c>
      <c r="RWP6" s="181" t="s">
        <v>817</v>
      </c>
      <c r="RWQ6" s="545" t="s">
        <v>816</v>
      </c>
      <c r="RWR6" s="545"/>
      <c r="RWS6" s="545"/>
      <c r="RWT6" s="545"/>
      <c r="RWU6" s="136" t="s">
        <v>168</v>
      </c>
      <c r="RWV6" s="137">
        <v>1</v>
      </c>
      <c r="RWW6" s="137">
        <v>167.32</v>
      </c>
      <c r="RWX6" s="181" t="s">
        <v>817</v>
      </c>
      <c r="RWY6" s="545" t="s">
        <v>816</v>
      </c>
      <c r="RWZ6" s="545"/>
      <c r="RXA6" s="545"/>
      <c r="RXB6" s="545"/>
      <c r="RXC6" s="136" t="s">
        <v>168</v>
      </c>
      <c r="RXD6" s="137">
        <v>1</v>
      </c>
      <c r="RXE6" s="137">
        <v>167.32</v>
      </c>
      <c r="RXF6" s="181" t="s">
        <v>817</v>
      </c>
      <c r="RXG6" s="545" t="s">
        <v>816</v>
      </c>
      <c r="RXH6" s="545"/>
      <c r="RXI6" s="545"/>
      <c r="RXJ6" s="545"/>
      <c r="RXK6" s="136" t="s">
        <v>168</v>
      </c>
      <c r="RXL6" s="137">
        <v>1</v>
      </c>
      <c r="RXM6" s="137">
        <v>167.32</v>
      </c>
      <c r="RXN6" s="181" t="s">
        <v>817</v>
      </c>
      <c r="RXO6" s="545" t="s">
        <v>816</v>
      </c>
      <c r="RXP6" s="545"/>
      <c r="RXQ6" s="545"/>
      <c r="RXR6" s="545"/>
      <c r="RXS6" s="136" t="s">
        <v>168</v>
      </c>
      <c r="RXT6" s="137">
        <v>1</v>
      </c>
      <c r="RXU6" s="137">
        <v>167.32</v>
      </c>
      <c r="RXV6" s="181" t="s">
        <v>817</v>
      </c>
      <c r="RXW6" s="545" t="s">
        <v>816</v>
      </c>
      <c r="RXX6" s="545"/>
      <c r="RXY6" s="545"/>
      <c r="RXZ6" s="545"/>
      <c r="RYA6" s="136" t="s">
        <v>168</v>
      </c>
      <c r="RYB6" s="137">
        <v>1</v>
      </c>
      <c r="RYC6" s="137">
        <v>167.32</v>
      </c>
      <c r="RYD6" s="181" t="s">
        <v>817</v>
      </c>
      <c r="RYE6" s="545" t="s">
        <v>816</v>
      </c>
      <c r="RYF6" s="545"/>
      <c r="RYG6" s="545"/>
      <c r="RYH6" s="545"/>
      <c r="RYI6" s="136" t="s">
        <v>168</v>
      </c>
      <c r="RYJ6" s="137">
        <v>1</v>
      </c>
      <c r="RYK6" s="137">
        <v>167.32</v>
      </c>
      <c r="RYL6" s="181" t="s">
        <v>817</v>
      </c>
      <c r="RYM6" s="545" t="s">
        <v>816</v>
      </c>
      <c r="RYN6" s="545"/>
      <c r="RYO6" s="545"/>
      <c r="RYP6" s="545"/>
      <c r="RYQ6" s="136" t="s">
        <v>168</v>
      </c>
      <c r="RYR6" s="137">
        <v>1</v>
      </c>
      <c r="RYS6" s="137">
        <v>167.32</v>
      </c>
      <c r="RYT6" s="181" t="s">
        <v>817</v>
      </c>
      <c r="RYU6" s="545" t="s">
        <v>816</v>
      </c>
      <c r="RYV6" s="545"/>
      <c r="RYW6" s="545"/>
      <c r="RYX6" s="545"/>
      <c r="RYY6" s="136" t="s">
        <v>168</v>
      </c>
      <c r="RYZ6" s="137">
        <v>1</v>
      </c>
      <c r="RZA6" s="137">
        <v>167.32</v>
      </c>
      <c r="RZB6" s="181" t="s">
        <v>817</v>
      </c>
      <c r="RZC6" s="545" t="s">
        <v>816</v>
      </c>
      <c r="RZD6" s="545"/>
      <c r="RZE6" s="545"/>
      <c r="RZF6" s="545"/>
      <c r="RZG6" s="136" t="s">
        <v>168</v>
      </c>
      <c r="RZH6" s="137">
        <v>1</v>
      </c>
      <c r="RZI6" s="137">
        <v>167.32</v>
      </c>
      <c r="RZJ6" s="181" t="s">
        <v>817</v>
      </c>
      <c r="RZK6" s="545" t="s">
        <v>816</v>
      </c>
      <c r="RZL6" s="545"/>
      <c r="RZM6" s="545"/>
      <c r="RZN6" s="545"/>
      <c r="RZO6" s="136" t="s">
        <v>168</v>
      </c>
      <c r="RZP6" s="137">
        <v>1</v>
      </c>
      <c r="RZQ6" s="137">
        <v>167.32</v>
      </c>
      <c r="RZR6" s="181" t="s">
        <v>817</v>
      </c>
      <c r="RZS6" s="545" t="s">
        <v>816</v>
      </c>
      <c r="RZT6" s="545"/>
      <c r="RZU6" s="545"/>
      <c r="RZV6" s="545"/>
      <c r="RZW6" s="136" t="s">
        <v>168</v>
      </c>
      <c r="RZX6" s="137">
        <v>1</v>
      </c>
      <c r="RZY6" s="137">
        <v>167.32</v>
      </c>
      <c r="RZZ6" s="181" t="s">
        <v>817</v>
      </c>
      <c r="SAA6" s="545" t="s">
        <v>816</v>
      </c>
      <c r="SAB6" s="545"/>
      <c r="SAC6" s="545"/>
      <c r="SAD6" s="545"/>
      <c r="SAE6" s="136" t="s">
        <v>168</v>
      </c>
      <c r="SAF6" s="137">
        <v>1</v>
      </c>
      <c r="SAG6" s="137">
        <v>167.32</v>
      </c>
      <c r="SAH6" s="181" t="s">
        <v>817</v>
      </c>
      <c r="SAI6" s="545" t="s">
        <v>816</v>
      </c>
      <c r="SAJ6" s="545"/>
      <c r="SAK6" s="545"/>
      <c r="SAL6" s="545"/>
      <c r="SAM6" s="136" t="s">
        <v>168</v>
      </c>
      <c r="SAN6" s="137">
        <v>1</v>
      </c>
      <c r="SAO6" s="137">
        <v>167.32</v>
      </c>
      <c r="SAP6" s="181" t="s">
        <v>817</v>
      </c>
      <c r="SAQ6" s="545" t="s">
        <v>816</v>
      </c>
      <c r="SAR6" s="545"/>
      <c r="SAS6" s="545"/>
      <c r="SAT6" s="545"/>
      <c r="SAU6" s="136" t="s">
        <v>168</v>
      </c>
      <c r="SAV6" s="137">
        <v>1</v>
      </c>
      <c r="SAW6" s="137">
        <v>167.32</v>
      </c>
      <c r="SAX6" s="181" t="s">
        <v>817</v>
      </c>
      <c r="SAY6" s="545" t="s">
        <v>816</v>
      </c>
      <c r="SAZ6" s="545"/>
      <c r="SBA6" s="545"/>
      <c r="SBB6" s="545"/>
      <c r="SBC6" s="136" t="s">
        <v>168</v>
      </c>
      <c r="SBD6" s="137">
        <v>1</v>
      </c>
      <c r="SBE6" s="137">
        <v>167.32</v>
      </c>
      <c r="SBF6" s="181" t="s">
        <v>817</v>
      </c>
      <c r="SBG6" s="545" t="s">
        <v>816</v>
      </c>
      <c r="SBH6" s="545"/>
      <c r="SBI6" s="545"/>
      <c r="SBJ6" s="545"/>
      <c r="SBK6" s="136" t="s">
        <v>168</v>
      </c>
      <c r="SBL6" s="137">
        <v>1</v>
      </c>
      <c r="SBM6" s="137">
        <v>167.32</v>
      </c>
      <c r="SBN6" s="181" t="s">
        <v>817</v>
      </c>
      <c r="SBO6" s="545" t="s">
        <v>816</v>
      </c>
      <c r="SBP6" s="545"/>
      <c r="SBQ6" s="545"/>
      <c r="SBR6" s="545"/>
      <c r="SBS6" s="136" t="s">
        <v>168</v>
      </c>
      <c r="SBT6" s="137">
        <v>1</v>
      </c>
      <c r="SBU6" s="137">
        <v>167.32</v>
      </c>
      <c r="SBV6" s="181" t="s">
        <v>817</v>
      </c>
      <c r="SBW6" s="545" t="s">
        <v>816</v>
      </c>
      <c r="SBX6" s="545"/>
      <c r="SBY6" s="545"/>
      <c r="SBZ6" s="545"/>
      <c r="SCA6" s="136" t="s">
        <v>168</v>
      </c>
      <c r="SCB6" s="137">
        <v>1</v>
      </c>
      <c r="SCC6" s="137">
        <v>167.32</v>
      </c>
      <c r="SCD6" s="181" t="s">
        <v>817</v>
      </c>
      <c r="SCE6" s="545" t="s">
        <v>816</v>
      </c>
      <c r="SCF6" s="545"/>
      <c r="SCG6" s="545"/>
      <c r="SCH6" s="545"/>
      <c r="SCI6" s="136" t="s">
        <v>168</v>
      </c>
      <c r="SCJ6" s="137">
        <v>1</v>
      </c>
      <c r="SCK6" s="137">
        <v>167.32</v>
      </c>
      <c r="SCL6" s="181" t="s">
        <v>817</v>
      </c>
      <c r="SCM6" s="545" t="s">
        <v>816</v>
      </c>
      <c r="SCN6" s="545"/>
      <c r="SCO6" s="545"/>
      <c r="SCP6" s="545"/>
      <c r="SCQ6" s="136" t="s">
        <v>168</v>
      </c>
      <c r="SCR6" s="137">
        <v>1</v>
      </c>
      <c r="SCS6" s="137">
        <v>167.32</v>
      </c>
      <c r="SCT6" s="181" t="s">
        <v>817</v>
      </c>
      <c r="SCU6" s="545" t="s">
        <v>816</v>
      </c>
      <c r="SCV6" s="545"/>
      <c r="SCW6" s="545"/>
      <c r="SCX6" s="545"/>
      <c r="SCY6" s="136" t="s">
        <v>168</v>
      </c>
      <c r="SCZ6" s="137">
        <v>1</v>
      </c>
      <c r="SDA6" s="137">
        <v>167.32</v>
      </c>
      <c r="SDB6" s="181" t="s">
        <v>817</v>
      </c>
      <c r="SDC6" s="545" t="s">
        <v>816</v>
      </c>
      <c r="SDD6" s="545"/>
      <c r="SDE6" s="545"/>
      <c r="SDF6" s="545"/>
      <c r="SDG6" s="136" t="s">
        <v>168</v>
      </c>
      <c r="SDH6" s="137">
        <v>1</v>
      </c>
      <c r="SDI6" s="137">
        <v>167.32</v>
      </c>
      <c r="SDJ6" s="181" t="s">
        <v>817</v>
      </c>
      <c r="SDK6" s="545" t="s">
        <v>816</v>
      </c>
      <c r="SDL6" s="545"/>
      <c r="SDM6" s="545"/>
      <c r="SDN6" s="545"/>
      <c r="SDO6" s="136" t="s">
        <v>168</v>
      </c>
      <c r="SDP6" s="137">
        <v>1</v>
      </c>
      <c r="SDQ6" s="137">
        <v>167.32</v>
      </c>
      <c r="SDR6" s="181" t="s">
        <v>817</v>
      </c>
      <c r="SDS6" s="545" t="s">
        <v>816</v>
      </c>
      <c r="SDT6" s="545"/>
      <c r="SDU6" s="545"/>
      <c r="SDV6" s="545"/>
      <c r="SDW6" s="136" t="s">
        <v>168</v>
      </c>
      <c r="SDX6" s="137">
        <v>1</v>
      </c>
      <c r="SDY6" s="137">
        <v>167.32</v>
      </c>
      <c r="SDZ6" s="181" t="s">
        <v>817</v>
      </c>
      <c r="SEA6" s="545" t="s">
        <v>816</v>
      </c>
      <c r="SEB6" s="545"/>
      <c r="SEC6" s="545"/>
      <c r="SED6" s="545"/>
      <c r="SEE6" s="136" t="s">
        <v>168</v>
      </c>
      <c r="SEF6" s="137">
        <v>1</v>
      </c>
      <c r="SEG6" s="137">
        <v>167.32</v>
      </c>
      <c r="SEH6" s="181" t="s">
        <v>817</v>
      </c>
      <c r="SEI6" s="545" t="s">
        <v>816</v>
      </c>
      <c r="SEJ6" s="545"/>
      <c r="SEK6" s="545"/>
      <c r="SEL6" s="545"/>
      <c r="SEM6" s="136" t="s">
        <v>168</v>
      </c>
      <c r="SEN6" s="137">
        <v>1</v>
      </c>
      <c r="SEO6" s="137">
        <v>167.32</v>
      </c>
      <c r="SEP6" s="181" t="s">
        <v>817</v>
      </c>
      <c r="SEQ6" s="545" t="s">
        <v>816</v>
      </c>
      <c r="SER6" s="545"/>
      <c r="SES6" s="545"/>
      <c r="SET6" s="545"/>
      <c r="SEU6" s="136" t="s">
        <v>168</v>
      </c>
      <c r="SEV6" s="137">
        <v>1</v>
      </c>
      <c r="SEW6" s="137">
        <v>167.32</v>
      </c>
      <c r="SEX6" s="181" t="s">
        <v>817</v>
      </c>
      <c r="SEY6" s="545" t="s">
        <v>816</v>
      </c>
      <c r="SEZ6" s="545"/>
      <c r="SFA6" s="545"/>
      <c r="SFB6" s="545"/>
      <c r="SFC6" s="136" t="s">
        <v>168</v>
      </c>
      <c r="SFD6" s="137">
        <v>1</v>
      </c>
      <c r="SFE6" s="137">
        <v>167.32</v>
      </c>
      <c r="SFF6" s="181" t="s">
        <v>817</v>
      </c>
      <c r="SFG6" s="545" t="s">
        <v>816</v>
      </c>
      <c r="SFH6" s="545"/>
      <c r="SFI6" s="545"/>
      <c r="SFJ6" s="545"/>
      <c r="SFK6" s="136" t="s">
        <v>168</v>
      </c>
      <c r="SFL6" s="137">
        <v>1</v>
      </c>
      <c r="SFM6" s="137">
        <v>167.32</v>
      </c>
      <c r="SFN6" s="181" t="s">
        <v>817</v>
      </c>
      <c r="SFO6" s="545" t="s">
        <v>816</v>
      </c>
      <c r="SFP6" s="545"/>
      <c r="SFQ6" s="545"/>
      <c r="SFR6" s="545"/>
      <c r="SFS6" s="136" t="s">
        <v>168</v>
      </c>
      <c r="SFT6" s="137">
        <v>1</v>
      </c>
      <c r="SFU6" s="137">
        <v>167.32</v>
      </c>
      <c r="SFV6" s="181" t="s">
        <v>817</v>
      </c>
      <c r="SFW6" s="545" t="s">
        <v>816</v>
      </c>
      <c r="SFX6" s="545"/>
      <c r="SFY6" s="545"/>
      <c r="SFZ6" s="545"/>
      <c r="SGA6" s="136" t="s">
        <v>168</v>
      </c>
      <c r="SGB6" s="137">
        <v>1</v>
      </c>
      <c r="SGC6" s="137">
        <v>167.32</v>
      </c>
      <c r="SGD6" s="181" t="s">
        <v>817</v>
      </c>
      <c r="SGE6" s="545" t="s">
        <v>816</v>
      </c>
      <c r="SGF6" s="545"/>
      <c r="SGG6" s="545"/>
      <c r="SGH6" s="545"/>
      <c r="SGI6" s="136" t="s">
        <v>168</v>
      </c>
      <c r="SGJ6" s="137">
        <v>1</v>
      </c>
      <c r="SGK6" s="137">
        <v>167.32</v>
      </c>
      <c r="SGL6" s="181" t="s">
        <v>817</v>
      </c>
      <c r="SGM6" s="545" t="s">
        <v>816</v>
      </c>
      <c r="SGN6" s="545"/>
      <c r="SGO6" s="545"/>
      <c r="SGP6" s="545"/>
      <c r="SGQ6" s="136" t="s">
        <v>168</v>
      </c>
      <c r="SGR6" s="137">
        <v>1</v>
      </c>
      <c r="SGS6" s="137">
        <v>167.32</v>
      </c>
      <c r="SGT6" s="181" t="s">
        <v>817</v>
      </c>
      <c r="SGU6" s="545" t="s">
        <v>816</v>
      </c>
      <c r="SGV6" s="545"/>
      <c r="SGW6" s="545"/>
      <c r="SGX6" s="545"/>
      <c r="SGY6" s="136" t="s">
        <v>168</v>
      </c>
      <c r="SGZ6" s="137">
        <v>1</v>
      </c>
      <c r="SHA6" s="137">
        <v>167.32</v>
      </c>
      <c r="SHB6" s="181" t="s">
        <v>817</v>
      </c>
      <c r="SHC6" s="545" t="s">
        <v>816</v>
      </c>
      <c r="SHD6" s="545"/>
      <c r="SHE6" s="545"/>
      <c r="SHF6" s="545"/>
      <c r="SHG6" s="136" t="s">
        <v>168</v>
      </c>
      <c r="SHH6" s="137">
        <v>1</v>
      </c>
      <c r="SHI6" s="137">
        <v>167.32</v>
      </c>
      <c r="SHJ6" s="181" t="s">
        <v>817</v>
      </c>
      <c r="SHK6" s="545" t="s">
        <v>816</v>
      </c>
      <c r="SHL6" s="545"/>
      <c r="SHM6" s="545"/>
      <c r="SHN6" s="545"/>
      <c r="SHO6" s="136" t="s">
        <v>168</v>
      </c>
      <c r="SHP6" s="137">
        <v>1</v>
      </c>
      <c r="SHQ6" s="137">
        <v>167.32</v>
      </c>
      <c r="SHR6" s="181" t="s">
        <v>817</v>
      </c>
      <c r="SHS6" s="545" t="s">
        <v>816</v>
      </c>
      <c r="SHT6" s="545"/>
      <c r="SHU6" s="545"/>
      <c r="SHV6" s="545"/>
      <c r="SHW6" s="136" t="s">
        <v>168</v>
      </c>
      <c r="SHX6" s="137">
        <v>1</v>
      </c>
      <c r="SHY6" s="137">
        <v>167.32</v>
      </c>
      <c r="SHZ6" s="181" t="s">
        <v>817</v>
      </c>
      <c r="SIA6" s="545" t="s">
        <v>816</v>
      </c>
      <c r="SIB6" s="545"/>
      <c r="SIC6" s="545"/>
      <c r="SID6" s="545"/>
      <c r="SIE6" s="136" t="s">
        <v>168</v>
      </c>
      <c r="SIF6" s="137">
        <v>1</v>
      </c>
      <c r="SIG6" s="137">
        <v>167.32</v>
      </c>
      <c r="SIH6" s="181" t="s">
        <v>817</v>
      </c>
      <c r="SII6" s="545" t="s">
        <v>816</v>
      </c>
      <c r="SIJ6" s="545"/>
      <c r="SIK6" s="545"/>
      <c r="SIL6" s="545"/>
      <c r="SIM6" s="136" t="s">
        <v>168</v>
      </c>
      <c r="SIN6" s="137">
        <v>1</v>
      </c>
      <c r="SIO6" s="137">
        <v>167.32</v>
      </c>
      <c r="SIP6" s="181" t="s">
        <v>817</v>
      </c>
      <c r="SIQ6" s="545" t="s">
        <v>816</v>
      </c>
      <c r="SIR6" s="545"/>
      <c r="SIS6" s="545"/>
      <c r="SIT6" s="545"/>
      <c r="SIU6" s="136" t="s">
        <v>168</v>
      </c>
      <c r="SIV6" s="137">
        <v>1</v>
      </c>
      <c r="SIW6" s="137">
        <v>167.32</v>
      </c>
      <c r="SIX6" s="181" t="s">
        <v>817</v>
      </c>
      <c r="SIY6" s="545" t="s">
        <v>816</v>
      </c>
      <c r="SIZ6" s="545"/>
      <c r="SJA6" s="545"/>
      <c r="SJB6" s="545"/>
      <c r="SJC6" s="136" t="s">
        <v>168</v>
      </c>
      <c r="SJD6" s="137">
        <v>1</v>
      </c>
      <c r="SJE6" s="137">
        <v>167.32</v>
      </c>
      <c r="SJF6" s="181" t="s">
        <v>817</v>
      </c>
      <c r="SJG6" s="545" t="s">
        <v>816</v>
      </c>
      <c r="SJH6" s="545"/>
      <c r="SJI6" s="545"/>
      <c r="SJJ6" s="545"/>
      <c r="SJK6" s="136" t="s">
        <v>168</v>
      </c>
      <c r="SJL6" s="137">
        <v>1</v>
      </c>
      <c r="SJM6" s="137">
        <v>167.32</v>
      </c>
      <c r="SJN6" s="181" t="s">
        <v>817</v>
      </c>
      <c r="SJO6" s="545" t="s">
        <v>816</v>
      </c>
      <c r="SJP6" s="545"/>
      <c r="SJQ6" s="545"/>
      <c r="SJR6" s="545"/>
      <c r="SJS6" s="136" t="s">
        <v>168</v>
      </c>
      <c r="SJT6" s="137">
        <v>1</v>
      </c>
      <c r="SJU6" s="137">
        <v>167.32</v>
      </c>
      <c r="SJV6" s="181" t="s">
        <v>817</v>
      </c>
      <c r="SJW6" s="545" t="s">
        <v>816</v>
      </c>
      <c r="SJX6" s="545"/>
      <c r="SJY6" s="545"/>
      <c r="SJZ6" s="545"/>
      <c r="SKA6" s="136" t="s">
        <v>168</v>
      </c>
      <c r="SKB6" s="137">
        <v>1</v>
      </c>
      <c r="SKC6" s="137">
        <v>167.32</v>
      </c>
      <c r="SKD6" s="181" t="s">
        <v>817</v>
      </c>
      <c r="SKE6" s="545" t="s">
        <v>816</v>
      </c>
      <c r="SKF6" s="545"/>
      <c r="SKG6" s="545"/>
      <c r="SKH6" s="545"/>
      <c r="SKI6" s="136" t="s">
        <v>168</v>
      </c>
      <c r="SKJ6" s="137">
        <v>1</v>
      </c>
      <c r="SKK6" s="137">
        <v>167.32</v>
      </c>
      <c r="SKL6" s="181" t="s">
        <v>817</v>
      </c>
      <c r="SKM6" s="545" t="s">
        <v>816</v>
      </c>
      <c r="SKN6" s="545"/>
      <c r="SKO6" s="545"/>
      <c r="SKP6" s="545"/>
      <c r="SKQ6" s="136" t="s">
        <v>168</v>
      </c>
      <c r="SKR6" s="137">
        <v>1</v>
      </c>
      <c r="SKS6" s="137">
        <v>167.32</v>
      </c>
      <c r="SKT6" s="181" t="s">
        <v>817</v>
      </c>
      <c r="SKU6" s="545" t="s">
        <v>816</v>
      </c>
      <c r="SKV6" s="545"/>
      <c r="SKW6" s="545"/>
      <c r="SKX6" s="545"/>
      <c r="SKY6" s="136" t="s">
        <v>168</v>
      </c>
      <c r="SKZ6" s="137">
        <v>1</v>
      </c>
      <c r="SLA6" s="137">
        <v>167.32</v>
      </c>
      <c r="SLB6" s="181" t="s">
        <v>817</v>
      </c>
      <c r="SLC6" s="545" t="s">
        <v>816</v>
      </c>
      <c r="SLD6" s="545"/>
      <c r="SLE6" s="545"/>
      <c r="SLF6" s="545"/>
      <c r="SLG6" s="136" t="s">
        <v>168</v>
      </c>
      <c r="SLH6" s="137">
        <v>1</v>
      </c>
      <c r="SLI6" s="137">
        <v>167.32</v>
      </c>
      <c r="SLJ6" s="181" t="s">
        <v>817</v>
      </c>
      <c r="SLK6" s="545" t="s">
        <v>816</v>
      </c>
      <c r="SLL6" s="545"/>
      <c r="SLM6" s="545"/>
      <c r="SLN6" s="545"/>
      <c r="SLO6" s="136" t="s">
        <v>168</v>
      </c>
      <c r="SLP6" s="137">
        <v>1</v>
      </c>
      <c r="SLQ6" s="137">
        <v>167.32</v>
      </c>
      <c r="SLR6" s="181" t="s">
        <v>817</v>
      </c>
      <c r="SLS6" s="545" t="s">
        <v>816</v>
      </c>
      <c r="SLT6" s="545"/>
      <c r="SLU6" s="545"/>
      <c r="SLV6" s="545"/>
      <c r="SLW6" s="136" t="s">
        <v>168</v>
      </c>
      <c r="SLX6" s="137">
        <v>1</v>
      </c>
      <c r="SLY6" s="137">
        <v>167.32</v>
      </c>
      <c r="SLZ6" s="181" t="s">
        <v>817</v>
      </c>
      <c r="SMA6" s="545" t="s">
        <v>816</v>
      </c>
      <c r="SMB6" s="545"/>
      <c r="SMC6" s="545"/>
      <c r="SMD6" s="545"/>
      <c r="SME6" s="136" t="s">
        <v>168</v>
      </c>
      <c r="SMF6" s="137">
        <v>1</v>
      </c>
      <c r="SMG6" s="137">
        <v>167.32</v>
      </c>
      <c r="SMH6" s="181" t="s">
        <v>817</v>
      </c>
      <c r="SMI6" s="545" t="s">
        <v>816</v>
      </c>
      <c r="SMJ6" s="545"/>
      <c r="SMK6" s="545"/>
      <c r="SML6" s="545"/>
      <c r="SMM6" s="136" t="s">
        <v>168</v>
      </c>
      <c r="SMN6" s="137">
        <v>1</v>
      </c>
      <c r="SMO6" s="137">
        <v>167.32</v>
      </c>
      <c r="SMP6" s="181" t="s">
        <v>817</v>
      </c>
      <c r="SMQ6" s="545" t="s">
        <v>816</v>
      </c>
      <c r="SMR6" s="545"/>
      <c r="SMS6" s="545"/>
      <c r="SMT6" s="545"/>
      <c r="SMU6" s="136" t="s">
        <v>168</v>
      </c>
      <c r="SMV6" s="137">
        <v>1</v>
      </c>
      <c r="SMW6" s="137">
        <v>167.32</v>
      </c>
      <c r="SMX6" s="181" t="s">
        <v>817</v>
      </c>
      <c r="SMY6" s="545" t="s">
        <v>816</v>
      </c>
      <c r="SMZ6" s="545"/>
      <c r="SNA6" s="545"/>
      <c r="SNB6" s="545"/>
      <c r="SNC6" s="136" t="s">
        <v>168</v>
      </c>
      <c r="SND6" s="137">
        <v>1</v>
      </c>
      <c r="SNE6" s="137">
        <v>167.32</v>
      </c>
      <c r="SNF6" s="181" t="s">
        <v>817</v>
      </c>
      <c r="SNG6" s="545" t="s">
        <v>816</v>
      </c>
      <c r="SNH6" s="545"/>
      <c r="SNI6" s="545"/>
      <c r="SNJ6" s="545"/>
      <c r="SNK6" s="136" t="s">
        <v>168</v>
      </c>
      <c r="SNL6" s="137">
        <v>1</v>
      </c>
      <c r="SNM6" s="137">
        <v>167.32</v>
      </c>
      <c r="SNN6" s="181" t="s">
        <v>817</v>
      </c>
      <c r="SNO6" s="545" t="s">
        <v>816</v>
      </c>
      <c r="SNP6" s="545"/>
      <c r="SNQ6" s="545"/>
      <c r="SNR6" s="545"/>
      <c r="SNS6" s="136" t="s">
        <v>168</v>
      </c>
      <c r="SNT6" s="137">
        <v>1</v>
      </c>
      <c r="SNU6" s="137">
        <v>167.32</v>
      </c>
      <c r="SNV6" s="181" t="s">
        <v>817</v>
      </c>
      <c r="SNW6" s="545" t="s">
        <v>816</v>
      </c>
      <c r="SNX6" s="545"/>
      <c r="SNY6" s="545"/>
      <c r="SNZ6" s="545"/>
      <c r="SOA6" s="136" t="s">
        <v>168</v>
      </c>
      <c r="SOB6" s="137">
        <v>1</v>
      </c>
      <c r="SOC6" s="137">
        <v>167.32</v>
      </c>
      <c r="SOD6" s="181" t="s">
        <v>817</v>
      </c>
      <c r="SOE6" s="545" t="s">
        <v>816</v>
      </c>
      <c r="SOF6" s="545"/>
      <c r="SOG6" s="545"/>
      <c r="SOH6" s="545"/>
      <c r="SOI6" s="136" t="s">
        <v>168</v>
      </c>
      <c r="SOJ6" s="137">
        <v>1</v>
      </c>
      <c r="SOK6" s="137">
        <v>167.32</v>
      </c>
      <c r="SOL6" s="181" t="s">
        <v>817</v>
      </c>
      <c r="SOM6" s="545" t="s">
        <v>816</v>
      </c>
      <c r="SON6" s="545"/>
      <c r="SOO6" s="545"/>
      <c r="SOP6" s="545"/>
      <c r="SOQ6" s="136" t="s">
        <v>168</v>
      </c>
      <c r="SOR6" s="137">
        <v>1</v>
      </c>
      <c r="SOS6" s="137">
        <v>167.32</v>
      </c>
      <c r="SOT6" s="181" t="s">
        <v>817</v>
      </c>
      <c r="SOU6" s="545" t="s">
        <v>816</v>
      </c>
      <c r="SOV6" s="545"/>
      <c r="SOW6" s="545"/>
      <c r="SOX6" s="545"/>
      <c r="SOY6" s="136" t="s">
        <v>168</v>
      </c>
      <c r="SOZ6" s="137">
        <v>1</v>
      </c>
      <c r="SPA6" s="137">
        <v>167.32</v>
      </c>
      <c r="SPB6" s="181" t="s">
        <v>817</v>
      </c>
      <c r="SPC6" s="545" t="s">
        <v>816</v>
      </c>
      <c r="SPD6" s="545"/>
      <c r="SPE6" s="545"/>
      <c r="SPF6" s="545"/>
      <c r="SPG6" s="136" t="s">
        <v>168</v>
      </c>
      <c r="SPH6" s="137">
        <v>1</v>
      </c>
      <c r="SPI6" s="137">
        <v>167.32</v>
      </c>
      <c r="SPJ6" s="181" t="s">
        <v>817</v>
      </c>
      <c r="SPK6" s="545" t="s">
        <v>816</v>
      </c>
      <c r="SPL6" s="545"/>
      <c r="SPM6" s="545"/>
      <c r="SPN6" s="545"/>
      <c r="SPO6" s="136" t="s">
        <v>168</v>
      </c>
      <c r="SPP6" s="137">
        <v>1</v>
      </c>
      <c r="SPQ6" s="137">
        <v>167.32</v>
      </c>
      <c r="SPR6" s="181" t="s">
        <v>817</v>
      </c>
      <c r="SPS6" s="545" t="s">
        <v>816</v>
      </c>
      <c r="SPT6" s="545"/>
      <c r="SPU6" s="545"/>
      <c r="SPV6" s="545"/>
      <c r="SPW6" s="136" t="s">
        <v>168</v>
      </c>
      <c r="SPX6" s="137">
        <v>1</v>
      </c>
      <c r="SPY6" s="137">
        <v>167.32</v>
      </c>
      <c r="SPZ6" s="181" t="s">
        <v>817</v>
      </c>
      <c r="SQA6" s="545" t="s">
        <v>816</v>
      </c>
      <c r="SQB6" s="545"/>
      <c r="SQC6" s="545"/>
      <c r="SQD6" s="545"/>
      <c r="SQE6" s="136" t="s">
        <v>168</v>
      </c>
      <c r="SQF6" s="137">
        <v>1</v>
      </c>
      <c r="SQG6" s="137">
        <v>167.32</v>
      </c>
      <c r="SQH6" s="181" t="s">
        <v>817</v>
      </c>
      <c r="SQI6" s="545" t="s">
        <v>816</v>
      </c>
      <c r="SQJ6" s="545"/>
      <c r="SQK6" s="545"/>
      <c r="SQL6" s="545"/>
      <c r="SQM6" s="136" t="s">
        <v>168</v>
      </c>
      <c r="SQN6" s="137">
        <v>1</v>
      </c>
      <c r="SQO6" s="137">
        <v>167.32</v>
      </c>
      <c r="SQP6" s="181" t="s">
        <v>817</v>
      </c>
      <c r="SQQ6" s="545" t="s">
        <v>816</v>
      </c>
      <c r="SQR6" s="545"/>
      <c r="SQS6" s="545"/>
      <c r="SQT6" s="545"/>
      <c r="SQU6" s="136" t="s">
        <v>168</v>
      </c>
      <c r="SQV6" s="137">
        <v>1</v>
      </c>
      <c r="SQW6" s="137">
        <v>167.32</v>
      </c>
      <c r="SQX6" s="181" t="s">
        <v>817</v>
      </c>
      <c r="SQY6" s="545" t="s">
        <v>816</v>
      </c>
      <c r="SQZ6" s="545"/>
      <c r="SRA6" s="545"/>
      <c r="SRB6" s="545"/>
      <c r="SRC6" s="136" t="s">
        <v>168</v>
      </c>
      <c r="SRD6" s="137">
        <v>1</v>
      </c>
      <c r="SRE6" s="137">
        <v>167.32</v>
      </c>
      <c r="SRF6" s="181" t="s">
        <v>817</v>
      </c>
      <c r="SRG6" s="545" t="s">
        <v>816</v>
      </c>
      <c r="SRH6" s="545"/>
      <c r="SRI6" s="545"/>
      <c r="SRJ6" s="545"/>
      <c r="SRK6" s="136" t="s">
        <v>168</v>
      </c>
      <c r="SRL6" s="137">
        <v>1</v>
      </c>
      <c r="SRM6" s="137">
        <v>167.32</v>
      </c>
      <c r="SRN6" s="181" t="s">
        <v>817</v>
      </c>
      <c r="SRO6" s="545" t="s">
        <v>816</v>
      </c>
      <c r="SRP6" s="545"/>
      <c r="SRQ6" s="545"/>
      <c r="SRR6" s="545"/>
      <c r="SRS6" s="136" t="s">
        <v>168</v>
      </c>
      <c r="SRT6" s="137">
        <v>1</v>
      </c>
      <c r="SRU6" s="137">
        <v>167.32</v>
      </c>
      <c r="SRV6" s="181" t="s">
        <v>817</v>
      </c>
      <c r="SRW6" s="545" t="s">
        <v>816</v>
      </c>
      <c r="SRX6" s="545"/>
      <c r="SRY6" s="545"/>
      <c r="SRZ6" s="545"/>
      <c r="SSA6" s="136" t="s">
        <v>168</v>
      </c>
      <c r="SSB6" s="137">
        <v>1</v>
      </c>
      <c r="SSC6" s="137">
        <v>167.32</v>
      </c>
      <c r="SSD6" s="181" t="s">
        <v>817</v>
      </c>
      <c r="SSE6" s="545" t="s">
        <v>816</v>
      </c>
      <c r="SSF6" s="545"/>
      <c r="SSG6" s="545"/>
      <c r="SSH6" s="545"/>
      <c r="SSI6" s="136" t="s">
        <v>168</v>
      </c>
      <c r="SSJ6" s="137">
        <v>1</v>
      </c>
      <c r="SSK6" s="137">
        <v>167.32</v>
      </c>
      <c r="SSL6" s="181" t="s">
        <v>817</v>
      </c>
      <c r="SSM6" s="545" t="s">
        <v>816</v>
      </c>
      <c r="SSN6" s="545"/>
      <c r="SSO6" s="545"/>
      <c r="SSP6" s="545"/>
      <c r="SSQ6" s="136" t="s">
        <v>168</v>
      </c>
      <c r="SSR6" s="137">
        <v>1</v>
      </c>
      <c r="SSS6" s="137">
        <v>167.32</v>
      </c>
      <c r="SST6" s="181" t="s">
        <v>817</v>
      </c>
      <c r="SSU6" s="545" t="s">
        <v>816</v>
      </c>
      <c r="SSV6" s="545"/>
      <c r="SSW6" s="545"/>
      <c r="SSX6" s="545"/>
      <c r="SSY6" s="136" t="s">
        <v>168</v>
      </c>
      <c r="SSZ6" s="137">
        <v>1</v>
      </c>
      <c r="STA6" s="137">
        <v>167.32</v>
      </c>
      <c r="STB6" s="181" t="s">
        <v>817</v>
      </c>
      <c r="STC6" s="545" t="s">
        <v>816</v>
      </c>
      <c r="STD6" s="545"/>
      <c r="STE6" s="545"/>
      <c r="STF6" s="545"/>
      <c r="STG6" s="136" t="s">
        <v>168</v>
      </c>
      <c r="STH6" s="137">
        <v>1</v>
      </c>
      <c r="STI6" s="137">
        <v>167.32</v>
      </c>
      <c r="STJ6" s="181" t="s">
        <v>817</v>
      </c>
      <c r="STK6" s="545" t="s">
        <v>816</v>
      </c>
      <c r="STL6" s="545"/>
      <c r="STM6" s="545"/>
      <c r="STN6" s="545"/>
      <c r="STO6" s="136" t="s">
        <v>168</v>
      </c>
      <c r="STP6" s="137">
        <v>1</v>
      </c>
      <c r="STQ6" s="137">
        <v>167.32</v>
      </c>
      <c r="STR6" s="181" t="s">
        <v>817</v>
      </c>
      <c r="STS6" s="545" t="s">
        <v>816</v>
      </c>
      <c r="STT6" s="545"/>
      <c r="STU6" s="545"/>
      <c r="STV6" s="545"/>
      <c r="STW6" s="136" t="s">
        <v>168</v>
      </c>
      <c r="STX6" s="137">
        <v>1</v>
      </c>
      <c r="STY6" s="137">
        <v>167.32</v>
      </c>
      <c r="STZ6" s="181" t="s">
        <v>817</v>
      </c>
      <c r="SUA6" s="545" t="s">
        <v>816</v>
      </c>
      <c r="SUB6" s="545"/>
      <c r="SUC6" s="545"/>
      <c r="SUD6" s="545"/>
      <c r="SUE6" s="136" t="s">
        <v>168</v>
      </c>
      <c r="SUF6" s="137">
        <v>1</v>
      </c>
      <c r="SUG6" s="137">
        <v>167.32</v>
      </c>
      <c r="SUH6" s="181" t="s">
        <v>817</v>
      </c>
      <c r="SUI6" s="545" t="s">
        <v>816</v>
      </c>
      <c r="SUJ6" s="545"/>
      <c r="SUK6" s="545"/>
      <c r="SUL6" s="545"/>
      <c r="SUM6" s="136" t="s">
        <v>168</v>
      </c>
      <c r="SUN6" s="137">
        <v>1</v>
      </c>
      <c r="SUO6" s="137">
        <v>167.32</v>
      </c>
      <c r="SUP6" s="181" t="s">
        <v>817</v>
      </c>
      <c r="SUQ6" s="545" t="s">
        <v>816</v>
      </c>
      <c r="SUR6" s="545"/>
      <c r="SUS6" s="545"/>
      <c r="SUT6" s="545"/>
      <c r="SUU6" s="136" t="s">
        <v>168</v>
      </c>
      <c r="SUV6" s="137">
        <v>1</v>
      </c>
      <c r="SUW6" s="137">
        <v>167.32</v>
      </c>
      <c r="SUX6" s="181" t="s">
        <v>817</v>
      </c>
      <c r="SUY6" s="545" t="s">
        <v>816</v>
      </c>
      <c r="SUZ6" s="545"/>
      <c r="SVA6" s="545"/>
      <c r="SVB6" s="545"/>
      <c r="SVC6" s="136" t="s">
        <v>168</v>
      </c>
      <c r="SVD6" s="137">
        <v>1</v>
      </c>
      <c r="SVE6" s="137">
        <v>167.32</v>
      </c>
      <c r="SVF6" s="181" t="s">
        <v>817</v>
      </c>
      <c r="SVG6" s="545" t="s">
        <v>816</v>
      </c>
      <c r="SVH6" s="545"/>
      <c r="SVI6" s="545"/>
      <c r="SVJ6" s="545"/>
      <c r="SVK6" s="136" t="s">
        <v>168</v>
      </c>
      <c r="SVL6" s="137">
        <v>1</v>
      </c>
      <c r="SVM6" s="137">
        <v>167.32</v>
      </c>
      <c r="SVN6" s="181" t="s">
        <v>817</v>
      </c>
      <c r="SVO6" s="545" t="s">
        <v>816</v>
      </c>
      <c r="SVP6" s="545"/>
      <c r="SVQ6" s="545"/>
      <c r="SVR6" s="545"/>
      <c r="SVS6" s="136" t="s">
        <v>168</v>
      </c>
      <c r="SVT6" s="137">
        <v>1</v>
      </c>
      <c r="SVU6" s="137">
        <v>167.32</v>
      </c>
      <c r="SVV6" s="181" t="s">
        <v>817</v>
      </c>
      <c r="SVW6" s="545" t="s">
        <v>816</v>
      </c>
      <c r="SVX6" s="545"/>
      <c r="SVY6" s="545"/>
      <c r="SVZ6" s="545"/>
      <c r="SWA6" s="136" t="s">
        <v>168</v>
      </c>
      <c r="SWB6" s="137">
        <v>1</v>
      </c>
      <c r="SWC6" s="137">
        <v>167.32</v>
      </c>
      <c r="SWD6" s="181" t="s">
        <v>817</v>
      </c>
      <c r="SWE6" s="545" t="s">
        <v>816</v>
      </c>
      <c r="SWF6" s="545"/>
      <c r="SWG6" s="545"/>
      <c r="SWH6" s="545"/>
      <c r="SWI6" s="136" t="s">
        <v>168</v>
      </c>
      <c r="SWJ6" s="137">
        <v>1</v>
      </c>
      <c r="SWK6" s="137">
        <v>167.32</v>
      </c>
      <c r="SWL6" s="181" t="s">
        <v>817</v>
      </c>
      <c r="SWM6" s="545" t="s">
        <v>816</v>
      </c>
      <c r="SWN6" s="545"/>
      <c r="SWO6" s="545"/>
      <c r="SWP6" s="545"/>
      <c r="SWQ6" s="136" t="s">
        <v>168</v>
      </c>
      <c r="SWR6" s="137">
        <v>1</v>
      </c>
      <c r="SWS6" s="137">
        <v>167.32</v>
      </c>
      <c r="SWT6" s="181" t="s">
        <v>817</v>
      </c>
      <c r="SWU6" s="545" t="s">
        <v>816</v>
      </c>
      <c r="SWV6" s="545"/>
      <c r="SWW6" s="545"/>
      <c r="SWX6" s="545"/>
      <c r="SWY6" s="136" t="s">
        <v>168</v>
      </c>
      <c r="SWZ6" s="137">
        <v>1</v>
      </c>
      <c r="SXA6" s="137">
        <v>167.32</v>
      </c>
      <c r="SXB6" s="181" t="s">
        <v>817</v>
      </c>
      <c r="SXC6" s="545" t="s">
        <v>816</v>
      </c>
      <c r="SXD6" s="545"/>
      <c r="SXE6" s="545"/>
      <c r="SXF6" s="545"/>
      <c r="SXG6" s="136" t="s">
        <v>168</v>
      </c>
      <c r="SXH6" s="137">
        <v>1</v>
      </c>
      <c r="SXI6" s="137">
        <v>167.32</v>
      </c>
      <c r="SXJ6" s="181" t="s">
        <v>817</v>
      </c>
      <c r="SXK6" s="545" t="s">
        <v>816</v>
      </c>
      <c r="SXL6" s="545"/>
      <c r="SXM6" s="545"/>
      <c r="SXN6" s="545"/>
      <c r="SXO6" s="136" t="s">
        <v>168</v>
      </c>
      <c r="SXP6" s="137">
        <v>1</v>
      </c>
      <c r="SXQ6" s="137">
        <v>167.32</v>
      </c>
      <c r="SXR6" s="181" t="s">
        <v>817</v>
      </c>
      <c r="SXS6" s="545" t="s">
        <v>816</v>
      </c>
      <c r="SXT6" s="545"/>
      <c r="SXU6" s="545"/>
      <c r="SXV6" s="545"/>
      <c r="SXW6" s="136" t="s">
        <v>168</v>
      </c>
      <c r="SXX6" s="137">
        <v>1</v>
      </c>
      <c r="SXY6" s="137">
        <v>167.32</v>
      </c>
      <c r="SXZ6" s="181" t="s">
        <v>817</v>
      </c>
      <c r="SYA6" s="545" t="s">
        <v>816</v>
      </c>
      <c r="SYB6" s="545"/>
      <c r="SYC6" s="545"/>
      <c r="SYD6" s="545"/>
      <c r="SYE6" s="136" t="s">
        <v>168</v>
      </c>
      <c r="SYF6" s="137">
        <v>1</v>
      </c>
      <c r="SYG6" s="137">
        <v>167.32</v>
      </c>
      <c r="SYH6" s="181" t="s">
        <v>817</v>
      </c>
      <c r="SYI6" s="545" t="s">
        <v>816</v>
      </c>
      <c r="SYJ6" s="545"/>
      <c r="SYK6" s="545"/>
      <c r="SYL6" s="545"/>
      <c r="SYM6" s="136" t="s">
        <v>168</v>
      </c>
      <c r="SYN6" s="137">
        <v>1</v>
      </c>
      <c r="SYO6" s="137">
        <v>167.32</v>
      </c>
      <c r="SYP6" s="181" t="s">
        <v>817</v>
      </c>
      <c r="SYQ6" s="545" t="s">
        <v>816</v>
      </c>
      <c r="SYR6" s="545"/>
      <c r="SYS6" s="545"/>
      <c r="SYT6" s="545"/>
      <c r="SYU6" s="136" t="s">
        <v>168</v>
      </c>
      <c r="SYV6" s="137">
        <v>1</v>
      </c>
      <c r="SYW6" s="137">
        <v>167.32</v>
      </c>
      <c r="SYX6" s="181" t="s">
        <v>817</v>
      </c>
      <c r="SYY6" s="545" t="s">
        <v>816</v>
      </c>
      <c r="SYZ6" s="545"/>
      <c r="SZA6" s="545"/>
      <c r="SZB6" s="545"/>
      <c r="SZC6" s="136" t="s">
        <v>168</v>
      </c>
      <c r="SZD6" s="137">
        <v>1</v>
      </c>
      <c r="SZE6" s="137">
        <v>167.32</v>
      </c>
      <c r="SZF6" s="181" t="s">
        <v>817</v>
      </c>
      <c r="SZG6" s="545" t="s">
        <v>816</v>
      </c>
      <c r="SZH6" s="545"/>
      <c r="SZI6" s="545"/>
      <c r="SZJ6" s="545"/>
      <c r="SZK6" s="136" t="s">
        <v>168</v>
      </c>
      <c r="SZL6" s="137">
        <v>1</v>
      </c>
      <c r="SZM6" s="137">
        <v>167.32</v>
      </c>
      <c r="SZN6" s="181" t="s">
        <v>817</v>
      </c>
      <c r="SZO6" s="545" t="s">
        <v>816</v>
      </c>
      <c r="SZP6" s="545"/>
      <c r="SZQ6" s="545"/>
      <c r="SZR6" s="545"/>
      <c r="SZS6" s="136" t="s">
        <v>168</v>
      </c>
      <c r="SZT6" s="137">
        <v>1</v>
      </c>
      <c r="SZU6" s="137">
        <v>167.32</v>
      </c>
      <c r="SZV6" s="181" t="s">
        <v>817</v>
      </c>
      <c r="SZW6" s="545" t="s">
        <v>816</v>
      </c>
      <c r="SZX6" s="545"/>
      <c r="SZY6" s="545"/>
      <c r="SZZ6" s="545"/>
      <c r="TAA6" s="136" t="s">
        <v>168</v>
      </c>
      <c r="TAB6" s="137">
        <v>1</v>
      </c>
      <c r="TAC6" s="137">
        <v>167.32</v>
      </c>
      <c r="TAD6" s="181" t="s">
        <v>817</v>
      </c>
      <c r="TAE6" s="545" t="s">
        <v>816</v>
      </c>
      <c r="TAF6" s="545"/>
      <c r="TAG6" s="545"/>
      <c r="TAH6" s="545"/>
      <c r="TAI6" s="136" t="s">
        <v>168</v>
      </c>
      <c r="TAJ6" s="137">
        <v>1</v>
      </c>
      <c r="TAK6" s="137">
        <v>167.32</v>
      </c>
      <c r="TAL6" s="181" t="s">
        <v>817</v>
      </c>
      <c r="TAM6" s="545" t="s">
        <v>816</v>
      </c>
      <c r="TAN6" s="545"/>
      <c r="TAO6" s="545"/>
      <c r="TAP6" s="545"/>
      <c r="TAQ6" s="136" t="s">
        <v>168</v>
      </c>
      <c r="TAR6" s="137">
        <v>1</v>
      </c>
      <c r="TAS6" s="137">
        <v>167.32</v>
      </c>
      <c r="TAT6" s="181" t="s">
        <v>817</v>
      </c>
      <c r="TAU6" s="545" t="s">
        <v>816</v>
      </c>
      <c r="TAV6" s="545"/>
      <c r="TAW6" s="545"/>
      <c r="TAX6" s="545"/>
      <c r="TAY6" s="136" t="s">
        <v>168</v>
      </c>
      <c r="TAZ6" s="137">
        <v>1</v>
      </c>
      <c r="TBA6" s="137">
        <v>167.32</v>
      </c>
      <c r="TBB6" s="181" t="s">
        <v>817</v>
      </c>
      <c r="TBC6" s="545" t="s">
        <v>816</v>
      </c>
      <c r="TBD6" s="545"/>
      <c r="TBE6" s="545"/>
      <c r="TBF6" s="545"/>
      <c r="TBG6" s="136" t="s">
        <v>168</v>
      </c>
      <c r="TBH6" s="137">
        <v>1</v>
      </c>
      <c r="TBI6" s="137">
        <v>167.32</v>
      </c>
      <c r="TBJ6" s="181" t="s">
        <v>817</v>
      </c>
      <c r="TBK6" s="545" t="s">
        <v>816</v>
      </c>
      <c r="TBL6" s="545"/>
      <c r="TBM6" s="545"/>
      <c r="TBN6" s="545"/>
      <c r="TBO6" s="136" t="s">
        <v>168</v>
      </c>
      <c r="TBP6" s="137">
        <v>1</v>
      </c>
      <c r="TBQ6" s="137">
        <v>167.32</v>
      </c>
      <c r="TBR6" s="181" t="s">
        <v>817</v>
      </c>
      <c r="TBS6" s="545" t="s">
        <v>816</v>
      </c>
      <c r="TBT6" s="545"/>
      <c r="TBU6" s="545"/>
      <c r="TBV6" s="545"/>
      <c r="TBW6" s="136" t="s">
        <v>168</v>
      </c>
      <c r="TBX6" s="137">
        <v>1</v>
      </c>
      <c r="TBY6" s="137">
        <v>167.32</v>
      </c>
      <c r="TBZ6" s="181" t="s">
        <v>817</v>
      </c>
      <c r="TCA6" s="545" t="s">
        <v>816</v>
      </c>
      <c r="TCB6" s="545"/>
      <c r="TCC6" s="545"/>
      <c r="TCD6" s="545"/>
      <c r="TCE6" s="136" t="s">
        <v>168</v>
      </c>
      <c r="TCF6" s="137">
        <v>1</v>
      </c>
      <c r="TCG6" s="137">
        <v>167.32</v>
      </c>
      <c r="TCH6" s="181" t="s">
        <v>817</v>
      </c>
      <c r="TCI6" s="545" t="s">
        <v>816</v>
      </c>
      <c r="TCJ6" s="545"/>
      <c r="TCK6" s="545"/>
      <c r="TCL6" s="545"/>
      <c r="TCM6" s="136" t="s">
        <v>168</v>
      </c>
      <c r="TCN6" s="137">
        <v>1</v>
      </c>
      <c r="TCO6" s="137">
        <v>167.32</v>
      </c>
      <c r="TCP6" s="181" t="s">
        <v>817</v>
      </c>
      <c r="TCQ6" s="545" t="s">
        <v>816</v>
      </c>
      <c r="TCR6" s="545"/>
      <c r="TCS6" s="545"/>
      <c r="TCT6" s="545"/>
      <c r="TCU6" s="136" t="s">
        <v>168</v>
      </c>
      <c r="TCV6" s="137">
        <v>1</v>
      </c>
      <c r="TCW6" s="137">
        <v>167.32</v>
      </c>
      <c r="TCX6" s="181" t="s">
        <v>817</v>
      </c>
      <c r="TCY6" s="545" t="s">
        <v>816</v>
      </c>
      <c r="TCZ6" s="545"/>
      <c r="TDA6" s="545"/>
      <c r="TDB6" s="545"/>
      <c r="TDC6" s="136" t="s">
        <v>168</v>
      </c>
      <c r="TDD6" s="137">
        <v>1</v>
      </c>
      <c r="TDE6" s="137">
        <v>167.32</v>
      </c>
      <c r="TDF6" s="181" t="s">
        <v>817</v>
      </c>
      <c r="TDG6" s="545" t="s">
        <v>816</v>
      </c>
      <c r="TDH6" s="545"/>
      <c r="TDI6" s="545"/>
      <c r="TDJ6" s="545"/>
      <c r="TDK6" s="136" t="s">
        <v>168</v>
      </c>
      <c r="TDL6" s="137">
        <v>1</v>
      </c>
      <c r="TDM6" s="137">
        <v>167.32</v>
      </c>
      <c r="TDN6" s="181" t="s">
        <v>817</v>
      </c>
      <c r="TDO6" s="545" t="s">
        <v>816</v>
      </c>
      <c r="TDP6" s="545"/>
      <c r="TDQ6" s="545"/>
      <c r="TDR6" s="545"/>
      <c r="TDS6" s="136" t="s">
        <v>168</v>
      </c>
      <c r="TDT6" s="137">
        <v>1</v>
      </c>
      <c r="TDU6" s="137">
        <v>167.32</v>
      </c>
      <c r="TDV6" s="181" t="s">
        <v>817</v>
      </c>
      <c r="TDW6" s="545" t="s">
        <v>816</v>
      </c>
      <c r="TDX6" s="545"/>
      <c r="TDY6" s="545"/>
      <c r="TDZ6" s="545"/>
      <c r="TEA6" s="136" t="s">
        <v>168</v>
      </c>
      <c r="TEB6" s="137">
        <v>1</v>
      </c>
      <c r="TEC6" s="137">
        <v>167.32</v>
      </c>
      <c r="TED6" s="181" t="s">
        <v>817</v>
      </c>
      <c r="TEE6" s="545" t="s">
        <v>816</v>
      </c>
      <c r="TEF6" s="545"/>
      <c r="TEG6" s="545"/>
      <c r="TEH6" s="545"/>
      <c r="TEI6" s="136" t="s">
        <v>168</v>
      </c>
      <c r="TEJ6" s="137">
        <v>1</v>
      </c>
      <c r="TEK6" s="137">
        <v>167.32</v>
      </c>
      <c r="TEL6" s="181" t="s">
        <v>817</v>
      </c>
      <c r="TEM6" s="545" t="s">
        <v>816</v>
      </c>
      <c r="TEN6" s="545"/>
      <c r="TEO6" s="545"/>
      <c r="TEP6" s="545"/>
      <c r="TEQ6" s="136" t="s">
        <v>168</v>
      </c>
      <c r="TER6" s="137">
        <v>1</v>
      </c>
      <c r="TES6" s="137">
        <v>167.32</v>
      </c>
      <c r="TET6" s="181" t="s">
        <v>817</v>
      </c>
      <c r="TEU6" s="545" t="s">
        <v>816</v>
      </c>
      <c r="TEV6" s="545"/>
      <c r="TEW6" s="545"/>
      <c r="TEX6" s="545"/>
      <c r="TEY6" s="136" t="s">
        <v>168</v>
      </c>
      <c r="TEZ6" s="137">
        <v>1</v>
      </c>
      <c r="TFA6" s="137">
        <v>167.32</v>
      </c>
      <c r="TFB6" s="181" t="s">
        <v>817</v>
      </c>
      <c r="TFC6" s="545" t="s">
        <v>816</v>
      </c>
      <c r="TFD6" s="545"/>
      <c r="TFE6" s="545"/>
      <c r="TFF6" s="545"/>
      <c r="TFG6" s="136" t="s">
        <v>168</v>
      </c>
      <c r="TFH6" s="137">
        <v>1</v>
      </c>
      <c r="TFI6" s="137">
        <v>167.32</v>
      </c>
      <c r="TFJ6" s="181" t="s">
        <v>817</v>
      </c>
      <c r="TFK6" s="545" t="s">
        <v>816</v>
      </c>
      <c r="TFL6" s="545"/>
      <c r="TFM6" s="545"/>
      <c r="TFN6" s="545"/>
      <c r="TFO6" s="136" t="s">
        <v>168</v>
      </c>
      <c r="TFP6" s="137">
        <v>1</v>
      </c>
      <c r="TFQ6" s="137">
        <v>167.32</v>
      </c>
      <c r="TFR6" s="181" t="s">
        <v>817</v>
      </c>
      <c r="TFS6" s="545" t="s">
        <v>816</v>
      </c>
      <c r="TFT6" s="545"/>
      <c r="TFU6" s="545"/>
      <c r="TFV6" s="545"/>
      <c r="TFW6" s="136" t="s">
        <v>168</v>
      </c>
      <c r="TFX6" s="137">
        <v>1</v>
      </c>
      <c r="TFY6" s="137">
        <v>167.32</v>
      </c>
      <c r="TFZ6" s="181" t="s">
        <v>817</v>
      </c>
      <c r="TGA6" s="545" t="s">
        <v>816</v>
      </c>
      <c r="TGB6" s="545"/>
      <c r="TGC6" s="545"/>
      <c r="TGD6" s="545"/>
      <c r="TGE6" s="136" t="s">
        <v>168</v>
      </c>
      <c r="TGF6" s="137">
        <v>1</v>
      </c>
      <c r="TGG6" s="137">
        <v>167.32</v>
      </c>
      <c r="TGH6" s="181" t="s">
        <v>817</v>
      </c>
      <c r="TGI6" s="545" t="s">
        <v>816</v>
      </c>
      <c r="TGJ6" s="545"/>
      <c r="TGK6" s="545"/>
      <c r="TGL6" s="545"/>
      <c r="TGM6" s="136" t="s">
        <v>168</v>
      </c>
      <c r="TGN6" s="137">
        <v>1</v>
      </c>
      <c r="TGO6" s="137">
        <v>167.32</v>
      </c>
      <c r="TGP6" s="181" t="s">
        <v>817</v>
      </c>
      <c r="TGQ6" s="545" t="s">
        <v>816</v>
      </c>
      <c r="TGR6" s="545"/>
      <c r="TGS6" s="545"/>
      <c r="TGT6" s="545"/>
      <c r="TGU6" s="136" t="s">
        <v>168</v>
      </c>
      <c r="TGV6" s="137">
        <v>1</v>
      </c>
      <c r="TGW6" s="137">
        <v>167.32</v>
      </c>
      <c r="TGX6" s="181" t="s">
        <v>817</v>
      </c>
      <c r="TGY6" s="545" t="s">
        <v>816</v>
      </c>
      <c r="TGZ6" s="545"/>
      <c r="THA6" s="545"/>
      <c r="THB6" s="545"/>
      <c r="THC6" s="136" t="s">
        <v>168</v>
      </c>
      <c r="THD6" s="137">
        <v>1</v>
      </c>
      <c r="THE6" s="137">
        <v>167.32</v>
      </c>
      <c r="THF6" s="181" t="s">
        <v>817</v>
      </c>
      <c r="THG6" s="545" t="s">
        <v>816</v>
      </c>
      <c r="THH6" s="545"/>
      <c r="THI6" s="545"/>
      <c r="THJ6" s="545"/>
      <c r="THK6" s="136" t="s">
        <v>168</v>
      </c>
      <c r="THL6" s="137">
        <v>1</v>
      </c>
      <c r="THM6" s="137">
        <v>167.32</v>
      </c>
      <c r="THN6" s="181" t="s">
        <v>817</v>
      </c>
      <c r="THO6" s="545" t="s">
        <v>816</v>
      </c>
      <c r="THP6" s="545"/>
      <c r="THQ6" s="545"/>
      <c r="THR6" s="545"/>
      <c r="THS6" s="136" t="s">
        <v>168</v>
      </c>
      <c r="THT6" s="137">
        <v>1</v>
      </c>
      <c r="THU6" s="137">
        <v>167.32</v>
      </c>
      <c r="THV6" s="181" t="s">
        <v>817</v>
      </c>
      <c r="THW6" s="545" t="s">
        <v>816</v>
      </c>
      <c r="THX6" s="545"/>
      <c r="THY6" s="545"/>
      <c r="THZ6" s="545"/>
      <c r="TIA6" s="136" t="s">
        <v>168</v>
      </c>
      <c r="TIB6" s="137">
        <v>1</v>
      </c>
      <c r="TIC6" s="137">
        <v>167.32</v>
      </c>
      <c r="TID6" s="181" t="s">
        <v>817</v>
      </c>
      <c r="TIE6" s="545" t="s">
        <v>816</v>
      </c>
      <c r="TIF6" s="545"/>
      <c r="TIG6" s="545"/>
      <c r="TIH6" s="545"/>
      <c r="TII6" s="136" t="s">
        <v>168</v>
      </c>
      <c r="TIJ6" s="137">
        <v>1</v>
      </c>
      <c r="TIK6" s="137">
        <v>167.32</v>
      </c>
      <c r="TIL6" s="181" t="s">
        <v>817</v>
      </c>
      <c r="TIM6" s="545" t="s">
        <v>816</v>
      </c>
      <c r="TIN6" s="545"/>
      <c r="TIO6" s="545"/>
      <c r="TIP6" s="545"/>
      <c r="TIQ6" s="136" t="s">
        <v>168</v>
      </c>
      <c r="TIR6" s="137">
        <v>1</v>
      </c>
      <c r="TIS6" s="137">
        <v>167.32</v>
      </c>
      <c r="TIT6" s="181" t="s">
        <v>817</v>
      </c>
      <c r="TIU6" s="545" t="s">
        <v>816</v>
      </c>
      <c r="TIV6" s="545"/>
      <c r="TIW6" s="545"/>
      <c r="TIX6" s="545"/>
      <c r="TIY6" s="136" t="s">
        <v>168</v>
      </c>
      <c r="TIZ6" s="137">
        <v>1</v>
      </c>
      <c r="TJA6" s="137">
        <v>167.32</v>
      </c>
      <c r="TJB6" s="181" t="s">
        <v>817</v>
      </c>
      <c r="TJC6" s="545" t="s">
        <v>816</v>
      </c>
      <c r="TJD6" s="545"/>
      <c r="TJE6" s="545"/>
      <c r="TJF6" s="545"/>
      <c r="TJG6" s="136" t="s">
        <v>168</v>
      </c>
      <c r="TJH6" s="137">
        <v>1</v>
      </c>
      <c r="TJI6" s="137">
        <v>167.32</v>
      </c>
      <c r="TJJ6" s="181" t="s">
        <v>817</v>
      </c>
      <c r="TJK6" s="545" t="s">
        <v>816</v>
      </c>
      <c r="TJL6" s="545"/>
      <c r="TJM6" s="545"/>
      <c r="TJN6" s="545"/>
      <c r="TJO6" s="136" t="s">
        <v>168</v>
      </c>
      <c r="TJP6" s="137">
        <v>1</v>
      </c>
      <c r="TJQ6" s="137">
        <v>167.32</v>
      </c>
      <c r="TJR6" s="181" t="s">
        <v>817</v>
      </c>
      <c r="TJS6" s="545" t="s">
        <v>816</v>
      </c>
      <c r="TJT6" s="545"/>
      <c r="TJU6" s="545"/>
      <c r="TJV6" s="545"/>
      <c r="TJW6" s="136" t="s">
        <v>168</v>
      </c>
      <c r="TJX6" s="137">
        <v>1</v>
      </c>
      <c r="TJY6" s="137">
        <v>167.32</v>
      </c>
      <c r="TJZ6" s="181" t="s">
        <v>817</v>
      </c>
      <c r="TKA6" s="545" t="s">
        <v>816</v>
      </c>
      <c r="TKB6" s="545"/>
      <c r="TKC6" s="545"/>
      <c r="TKD6" s="545"/>
      <c r="TKE6" s="136" t="s">
        <v>168</v>
      </c>
      <c r="TKF6" s="137">
        <v>1</v>
      </c>
      <c r="TKG6" s="137">
        <v>167.32</v>
      </c>
      <c r="TKH6" s="181" t="s">
        <v>817</v>
      </c>
      <c r="TKI6" s="545" t="s">
        <v>816</v>
      </c>
      <c r="TKJ6" s="545"/>
      <c r="TKK6" s="545"/>
      <c r="TKL6" s="545"/>
      <c r="TKM6" s="136" t="s">
        <v>168</v>
      </c>
      <c r="TKN6" s="137">
        <v>1</v>
      </c>
      <c r="TKO6" s="137">
        <v>167.32</v>
      </c>
      <c r="TKP6" s="181" t="s">
        <v>817</v>
      </c>
      <c r="TKQ6" s="545" t="s">
        <v>816</v>
      </c>
      <c r="TKR6" s="545"/>
      <c r="TKS6" s="545"/>
      <c r="TKT6" s="545"/>
      <c r="TKU6" s="136" t="s">
        <v>168</v>
      </c>
      <c r="TKV6" s="137">
        <v>1</v>
      </c>
      <c r="TKW6" s="137">
        <v>167.32</v>
      </c>
      <c r="TKX6" s="181" t="s">
        <v>817</v>
      </c>
      <c r="TKY6" s="545" t="s">
        <v>816</v>
      </c>
      <c r="TKZ6" s="545"/>
      <c r="TLA6" s="545"/>
      <c r="TLB6" s="545"/>
      <c r="TLC6" s="136" t="s">
        <v>168</v>
      </c>
      <c r="TLD6" s="137">
        <v>1</v>
      </c>
      <c r="TLE6" s="137">
        <v>167.32</v>
      </c>
      <c r="TLF6" s="181" t="s">
        <v>817</v>
      </c>
      <c r="TLG6" s="545" t="s">
        <v>816</v>
      </c>
      <c r="TLH6" s="545"/>
      <c r="TLI6" s="545"/>
      <c r="TLJ6" s="545"/>
      <c r="TLK6" s="136" t="s">
        <v>168</v>
      </c>
      <c r="TLL6" s="137">
        <v>1</v>
      </c>
      <c r="TLM6" s="137">
        <v>167.32</v>
      </c>
      <c r="TLN6" s="181" t="s">
        <v>817</v>
      </c>
      <c r="TLO6" s="545" t="s">
        <v>816</v>
      </c>
      <c r="TLP6" s="545"/>
      <c r="TLQ6" s="545"/>
      <c r="TLR6" s="545"/>
      <c r="TLS6" s="136" t="s">
        <v>168</v>
      </c>
      <c r="TLT6" s="137">
        <v>1</v>
      </c>
      <c r="TLU6" s="137">
        <v>167.32</v>
      </c>
      <c r="TLV6" s="181" t="s">
        <v>817</v>
      </c>
      <c r="TLW6" s="545" t="s">
        <v>816</v>
      </c>
      <c r="TLX6" s="545"/>
      <c r="TLY6" s="545"/>
      <c r="TLZ6" s="545"/>
      <c r="TMA6" s="136" t="s">
        <v>168</v>
      </c>
      <c r="TMB6" s="137">
        <v>1</v>
      </c>
      <c r="TMC6" s="137">
        <v>167.32</v>
      </c>
      <c r="TMD6" s="181" t="s">
        <v>817</v>
      </c>
      <c r="TME6" s="545" t="s">
        <v>816</v>
      </c>
      <c r="TMF6" s="545"/>
      <c r="TMG6" s="545"/>
      <c r="TMH6" s="545"/>
      <c r="TMI6" s="136" t="s">
        <v>168</v>
      </c>
      <c r="TMJ6" s="137">
        <v>1</v>
      </c>
      <c r="TMK6" s="137">
        <v>167.32</v>
      </c>
      <c r="TML6" s="181" t="s">
        <v>817</v>
      </c>
      <c r="TMM6" s="545" t="s">
        <v>816</v>
      </c>
      <c r="TMN6" s="545"/>
      <c r="TMO6" s="545"/>
      <c r="TMP6" s="545"/>
      <c r="TMQ6" s="136" t="s">
        <v>168</v>
      </c>
      <c r="TMR6" s="137">
        <v>1</v>
      </c>
      <c r="TMS6" s="137">
        <v>167.32</v>
      </c>
      <c r="TMT6" s="181" t="s">
        <v>817</v>
      </c>
      <c r="TMU6" s="545" t="s">
        <v>816</v>
      </c>
      <c r="TMV6" s="545"/>
      <c r="TMW6" s="545"/>
      <c r="TMX6" s="545"/>
      <c r="TMY6" s="136" t="s">
        <v>168</v>
      </c>
      <c r="TMZ6" s="137">
        <v>1</v>
      </c>
      <c r="TNA6" s="137">
        <v>167.32</v>
      </c>
      <c r="TNB6" s="181" t="s">
        <v>817</v>
      </c>
      <c r="TNC6" s="545" t="s">
        <v>816</v>
      </c>
      <c r="TND6" s="545"/>
      <c r="TNE6" s="545"/>
      <c r="TNF6" s="545"/>
      <c r="TNG6" s="136" t="s">
        <v>168</v>
      </c>
      <c r="TNH6" s="137">
        <v>1</v>
      </c>
      <c r="TNI6" s="137">
        <v>167.32</v>
      </c>
      <c r="TNJ6" s="181" t="s">
        <v>817</v>
      </c>
      <c r="TNK6" s="545" t="s">
        <v>816</v>
      </c>
      <c r="TNL6" s="545"/>
      <c r="TNM6" s="545"/>
      <c r="TNN6" s="545"/>
      <c r="TNO6" s="136" t="s">
        <v>168</v>
      </c>
      <c r="TNP6" s="137">
        <v>1</v>
      </c>
      <c r="TNQ6" s="137">
        <v>167.32</v>
      </c>
      <c r="TNR6" s="181" t="s">
        <v>817</v>
      </c>
      <c r="TNS6" s="545" t="s">
        <v>816</v>
      </c>
      <c r="TNT6" s="545"/>
      <c r="TNU6" s="545"/>
      <c r="TNV6" s="545"/>
      <c r="TNW6" s="136" t="s">
        <v>168</v>
      </c>
      <c r="TNX6" s="137">
        <v>1</v>
      </c>
      <c r="TNY6" s="137">
        <v>167.32</v>
      </c>
      <c r="TNZ6" s="181" t="s">
        <v>817</v>
      </c>
      <c r="TOA6" s="545" t="s">
        <v>816</v>
      </c>
      <c r="TOB6" s="545"/>
      <c r="TOC6" s="545"/>
      <c r="TOD6" s="545"/>
      <c r="TOE6" s="136" t="s">
        <v>168</v>
      </c>
      <c r="TOF6" s="137">
        <v>1</v>
      </c>
      <c r="TOG6" s="137">
        <v>167.32</v>
      </c>
      <c r="TOH6" s="181" t="s">
        <v>817</v>
      </c>
      <c r="TOI6" s="545" t="s">
        <v>816</v>
      </c>
      <c r="TOJ6" s="545"/>
      <c r="TOK6" s="545"/>
      <c r="TOL6" s="545"/>
      <c r="TOM6" s="136" t="s">
        <v>168</v>
      </c>
      <c r="TON6" s="137">
        <v>1</v>
      </c>
      <c r="TOO6" s="137">
        <v>167.32</v>
      </c>
      <c r="TOP6" s="181" t="s">
        <v>817</v>
      </c>
      <c r="TOQ6" s="545" t="s">
        <v>816</v>
      </c>
      <c r="TOR6" s="545"/>
      <c r="TOS6" s="545"/>
      <c r="TOT6" s="545"/>
      <c r="TOU6" s="136" t="s">
        <v>168</v>
      </c>
      <c r="TOV6" s="137">
        <v>1</v>
      </c>
      <c r="TOW6" s="137">
        <v>167.32</v>
      </c>
      <c r="TOX6" s="181" t="s">
        <v>817</v>
      </c>
      <c r="TOY6" s="545" t="s">
        <v>816</v>
      </c>
      <c r="TOZ6" s="545"/>
      <c r="TPA6" s="545"/>
      <c r="TPB6" s="545"/>
      <c r="TPC6" s="136" t="s">
        <v>168</v>
      </c>
      <c r="TPD6" s="137">
        <v>1</v>
      </c>
      <c r="TPE6" s="137">
        <v>167.32</v>
      </c>
      <c r="TPF6" s="181" t="s">
        <v>817</v>
      </c>
      <c r="TPG6" s="545" t="s">
        <v>816</v>
      </c>
      <c r="TPH6" s="545"/>
      <c r="TPI6" s="545"/>
      <c r="TPJ6" s="545"/>
      <c r="TPK6" s="136" t="s">
        <v>168</v>
      </c>
      <c r="TPL6" s="137">
        <v>1</v>
      </c>
      <c r="TPM6" s="137">
        <v>167.32</v>
      </c>
      <c r="TPN6" s="181" t="s">
        <v>817</v>
      </c>
      <c r="TPO6" s="545" t="s">
        <v>816</v>
      </c>
      <c r="TPP6" s="545"/>
      <c r="TPQ6" s="545"/>
      <c r="TPR6" s="545"/>
      <c r="TPS6" s="136" t="s">
        <v>168</v>
      </c>
      <c r="TPT6" s="137">
        <v>1</v>
      </c>
      <c r="TPU6" s="137">
        <v>167.32</v>
      </c>
      <c r="TPV6" s="181" t="s">
        <v>817</v>
      </c>
      <c r="TPW6" s="545" t="s">
        <v>816</v>
      </c>
      <c r="TPX6" s="545"/>
      <c r="TPY6" s="545"/>
      <c r="TPZ6" s="545"/>
      <c r="TQA6" s="136" t="s">
        <v>168</v>
      </c>
      <c r="TQB6" s="137">
        <v>1</v>
      </c>
      <c r="TQC6" s="137">
        <v>167.32</v>
      </c>
      <c r="TQD6" s="181" t="s">
        <v>817</v>
      </c>
      <c r="TQE6" s="545" t="s">
        <v>816</v>
      </c>
      <c r="TQF6" s="545"/>
      <c r="TQG6" s="545"/>
      <c r="TQH6" s="545"/>
      <c r="TQI6" s="136" t="s">
        <v>168</v>
      </c>
      <c r="TQJ6" s="137">
        <v>1</v>
      </c>
      <c r="TQK6" s="137">
        <v>167.32</v>
      </c>
      <c r="TQL6" s="181" t="s">
        <v>817</v>
      </c>
      <c r="TQM6" s="545" t="s">
        <v>816</v>
      </c>
      <c r="TQN6" s="545"/>
      <c r="TQO6" s="545"/>
      <c r="TQP6" s="545"/>
      <c r="TQQ6" s="136" t="s">
        <v>168</v>
      </c>
      <c r="TQR6" s="137">
        <v>1</v>
      </c>
      <c r="TQS6" s="137">
        <v>167.32</v>
      </c>
      <c r="TQT6" s="181" t="s">
        <v>817</v>
      </c>
      <c r="TQU6" s="545" t="s">
        <v>816</v>
      </c>
      <c r="TQV6" s="545"/>
      <c r="TQW6" s="545"/>
      <c r="TQX6" s="545"/>
      <c r="TQY6" s="136" t="s">
        <v>168</v>
      </c>
      <c r="TQZ6" s="137">
        <v>1</v>
      </c>
      <c r="TRA6" s="137">
        <v>167.32</v>
      </c>
      <c r="TRB6" s="181" t="s">
        <v>817</v>
      </c>
      <c r="TRC6" s="545" t="s">
        <v>816</v>
      </c>
      <c r="TRD6" s="545"/>
      <c r="TRE6" s="545"/>
      <c r="TRF6" s="545"/>
      <c r="TRG6" s="136" t="s">
        <v>168</v>
      </c>
      <c r="TRH6" s="137">
        <v>1</v>
      </c>
      <c r="TRI6" s="137">
        <v>167.32</v>
      </c>
      <c r="TRJ6" s="181" t="s">
        <v>817</v>
      </c>
      <c r="TRK6" s="545" t="s">
        <v>816</v>
      </c>
      <c r="TRL6" s="545"/>
      <c r="TRM6" s="545"/>
      <c r="TRN6" s="545"/>
      <c r="TRO6" s="136" t="s">
        <v>168</v>
      </c>
      <c r="TRP6" s="137">
        <v>1</v>
      </c>
      <c r="TRQ6" s="137">
        <v>167.32</v>
      </c>
      <c r="TRR6" s="181" t="s">
        <v>817</v>
      </c>
      <c r="TRS6" s="545" t="s">
        <v>816</v>
      </c>
      <c r="TRT6" s="545"/>
      <c r="TRU6" s="545"/>
      <c r="TRV6" s="545"/>
      <c r="TRW6" s="136" t="s">
        <v>168</v>
      </c>
      <c r="TRX6" s="137">
        <v>1</v>
      </c>
      <c r="TRY6" s="137">
        <v>167.32</v>
      </c>
      <c r="TRZ6" s="181" t="s">
        <v>817</v>
      </c>
      <c r="TSA6" s="545" t="s">
        <v>816</v>
      </c>
      <c r="TSB6" s="545"/>
      <c r="TSC6" s="545"/>
      <c r="TSD6" s="545"/>
      <c r="TSE6" s="136" t="s">
        <v>168</v>
      </c>
      <c r="TSF6" s="137">
        <v>1</v>
      </c>
      <c r="TSG6" s="137">
        <v>167.32</v>
      </c>
      <c r="TSH6" s="181" t="s">
        <v>817</v>
      </c>
      <c r="TSI6" s="545" t="s">
        <v>816</v>
      </c>
      <c r="TSJ6" s="545"/>
      <c r="TSK6" s="545"/>
      <c r="TSL6" s="545"/>
      <c r="TSM6" s="136" t="s">
        <v>168</v>
      </c>
      <c r="TSN6" s="137">
        <v>1</v>
      </c>
      <c r="TSO6" s="137">
        <v>167.32</v>
      </c>
      <c r="TSP6" s="181" t="s">
        <v>817</v>
      </c>
      <c r="TSQ6" s="545" t="s">
        <v>816</v>
      </c>
      <c r="TSR6" s="545"/>
      <c r="TSS6" s="545"/>
      <c r="TST6" s="545"/>
      <c r="TSU6" s="136" t="s">
        <v>168</v>
      </c>
      <c r="TSV6" s="137">
        <v>1</v>
      </c>
      <c r="TSW6" s="137">
        <v>167.32</v>
      </c>
      <c r="TSX6" s="181" t="s">
        <v>817</v>
      </c>
      <c r="TSY6" s="545" t="s">
        <v>816</v>
      </c>
      <c r="TSZ6" s="545"/>
      <c r="TTA6" s="545"/>
      <c r="TTB6" s="545"/>
      <c r="TTC6" s="136" t="s">
        <v>168</v>
      </c>
      <c r="TTD6" s="137">
        <v>1</v>
      </c>
      <c r="TTE6" s="137">
        <v>167.32</v>
      </c>
      <c r="TTF6" s="181" t="s">
        <v>817</v>
      </c>
      <c r="TTG6" s="545" t="s">
        <v>816</v>
      </c>
      <c r="TTH6" s="545"/>
      <c r="TTI6" s="545"/>
      <c r="TTJ6" s="545"/>
      <c r="TTK6" s="136" t="s">
        <v>168</v>
      </c>
      <c r="TTL6" s="137">
        <v>1</v>
      </c>
      <c r="TTM6" s="137">
        <v>167.32</v>
      </c>
      <c r="TTN6" s="181" t="s">
        <v>817</v>
      </c>
      <c r="TTO6" s="545" t="s">
        <v>816</v>
      </c>
      <c r="TTP6" s="545"/>
      <c r="TTQ6" s="545"/>
      <c r="TTR6" s="545"/>
      <c r="TTS6" s="136" t="s">
        <v>168</v>
      </c>
      <c r="TTT6" s="137">
        <v>1</v>
      </c>
      <c r="TTU6" s="137">
        <v>167.32</v>
      </c>
      <c r="TTV6" s="181" t="s">
        <v>817</v>
      </c>
      <c r="TTW6" s="545" t="s">
        <v>816</v>
      </c>
      <c r="TTX6" s="545"/>
      <c r="TTY6" s="545"/>
      <c r="TTZ6" s="545"/>
      <c r="TUA6" s="136" t="s">
        <v>168</v>
      </c>
      <c r="TUB6" s="137">
        <v>1</v>
      </c>
      <c r="TUC6" s="137">
        <v>167.32</v>
      </c>
      <c r="TUD6" s="181" t="s">
        <v>817</v>
      </c>
      <c r="TUE6" s="545" t="s">
        <v>816</v>
      </c>
      <c r="TUF6" s="545"/>
      <c r="TUG6" s="545"/>
      <c r="TUH6" s="545"/>
      <c r="TUI6" s="136" t="s">
        <v>168</v>
      </c>
      <c r="TUJ6" s="137">
        <v>1</v>
      </c>
      <c r="TUK6" s="137">
        <v>167.32</v>
      </c>
      <c r="TUL6" s="181" t="s">
        <v>817</v>
      </c>
      <c r="TUM6" s="545" t="s">
        <v>816</v>
      </c>
      <c r="TUN6" s="545"/>
      <c r="TUO6" s="545"/>
      <c r="TUP6" s="545"/>
      <c r="TUQ6" s="136" t="s">
        <v>168</v>
      </c>
      <c r="TUR6" s="137">
        <v>1</v>
      </c>
      <c r="TUS6" s="137">
        <v>167.32</v>
      </c>
      <c r="TUT6" s="181" t="s">
        <v>817</v>
      </c>
      <c r="TUU6" s="545" t="s">
        <v>816</v>
      </c>
      <c r="TUV6" s="545"/>
      <c r="TUW6" s="545"/>
      <c r="TUX6" s="545"/>
      <c r="TUY6" s="136" t="s">
        <v>168</v>
      </c>
      <c r="TUZ6" s="137">
        <v>1</v>
      </c>
      <c r="TVA6" s="137">
        <v>167.32</v>
      </c>
      <c r="TVB6" s="181" t="s">
        <v>817</v>
      </c>
      <c r="TVC6" s="545" t="s">
        <v>816</v>
      </c>
      <c r="TVD6" s="545"/>
      <c r="TVE6" s="545"/>
      <c r="TVF6" s="545"/>
      <c r="TVG6" s="136" t="s">
        <v>168</v>
      </c>
      <c r="TVH6" s="137">
        <v>1</v>
      </c>
      <c r="TVI6" s="137">
        <v>167.32</v>
      </c>
      <c r="TVJ6" s="181" t="s">
        <v>817</v>
      </c>
      <c r="TVK6" s="545" t="s">
        <v>816</v>
      </c>
      <c r="TVL6" s="545"/>
      <c r="TVM6" s="545"/>
      <c r="TVN6" s="545"/>
      <c r="TVO6" s="136" t="s">
        <v>168</v>
      </c>
      <c r="TVP6" s="137">
        <v>1</v>
      </c>
      <c r="TVQ6" s="137">
        <v>167.32</v>
      </c>
      <c r="TVR6" s="181" t="s">
        <v>817</v>
      </c>
      <c r="TVS6" s="545" t="s">
        <v>816</v>
      </c>
      <c r="TVT6" s="545"/>
      <c r="TVU6" s="545"/>
      <c r="TVV6" s="545"/>
      <c r="TVW6" s="136" t="s">
        <v>168</v>
      </c>
      <c r="TVX6" s="137">
        <v>1</v>
      </c>
      <c r="TVY6" s="137">
        <v>167.32</v>
      </c>
      <c r="TVZ6" s="181" t="s">
        <v>817</v>
      </c>
      <c r="TWA6" s="545" t="s">
        <v>816</v>
      </c>
      <c r="TWB6" s="545"/>
      <c r="TWC6" s="545"/>
      <c r="TWD6" s="545"/>
      <c r="TWE6" s="136" t="s">
        <v>168</v>
      </c>
      <c r="TWF6" s="137">
        <v>1</v>
      </c>
      <c r="TWG6" s="137">
        <v>167.32</v>
      </c>
      <c r="TWH6" s="181" t="s">
        <v>817</v>
      </c>
      <c r="TWI6" s="545" t="s">
        <v>816</v>
      </c>
      <c r="TWJ6" s="545"/>
      <c r="TWK6" s="545"/>
      <c r="TWL6" s="545"/>
      <c r="TWM6" s="136" t="s">
        <v>168</v>
      </c>
      <c r="TWN6" s="137">
        <v>1</v>
      </c>
      <c r="TWO6" s="137">
        <v>167.32</v>
      </c>
      <c r="TWP6" s="181" t="s">
        <v>817</v>
      </c>
      <c r="TWQ6" s="545" t="s">
        <v>816</v>
      </c>
      <c r="TWR6" s="545"/>
      <c r="TWS6" s="545"/>
      <c r="TWT6" s="545"/>
      <c r="TWU6" s="136" t="s">
        <v>168</v>
      </c>
      <c r="TWV6" s="137">
        <v>1</v>
      </c>
      <c r="TWW6" s="137">
        <v>167.32</v>
      </c>
      <c r="TWX6" s="181" t="s">
        <v>817</v>
      </c>
      <c r="TWY6" s="545" t="s">
        <v>816</v>
      </c>
      <c r="TWZ6" s="545"/>
      <c r="TXA6" s="545"/>
      <c r="TXB6" s="545"/>
      <c r="TXC6" s="136" t="s">
        <v>168</v>
      </c>
      <c r="TXD6" s="137">
        <v>1</v>
      </c>
      <c r="TXE6" s="137">
        <v>167.32</v>
      </c>
      <c r="TXF6" s="181" t="s">
        <v>817</v>
      </c>
      <c r="TXG6" s="545" t="s">
        <v>816</v>
      </c>
      <c r="TXH6" s="545"/>
      <c r="TXI6" s="545"/>
      <c r="TXJ6" s="545"/>
      <c r="TXK6" s="136" t="s">
        <v>168</v>
      </c>
      <c r="TXL6" s="137">
        <v>1</v>
      </c>
      <c r="TXM6" s="137">
        <v>167.32</v>
      </c>
      <c r="TXN6" s="181" t="s">
        <v>817</v>
      </c>
      <c r="TXO6" s="545" t="s">
        <v>816</v>
      </c>
      <c r="TXP6" s="545"/>
      <c r="TXQ6" s="545"/>
      <c r="TXR6" s="545"/>
      <c r="TXS6" s="136" t="s">
        <v>168</v>
      </c>
      <c r="TXT6" s="137">
        <v>1</v>
      </c>
      <c r="TXU6" s="137">
        <v>167.32</v>
      </c>
      <c r="TXV6" s="181" t="s">
        <v>817</v>
      </c>
      <c r="TXW6" s="545" t="s">
        <v>816</v>
      </c>
      <c r="TXX6" s="545"/>
      <c r="TXY6" s="545"/>
      <c r="TXZ6" s="545"/>
      <c r="TYA6" s="136" t="s">
        <v>168</v>
      </c>
      <c r="TYB6" s="137">
        <v>1</v>
      </c>
      <c r="TYC6" s="137">
        <v>167.32</v>
      </c>
      <c r="TYD6" s="181" t="s">
        <v>817</v>
      </c>
      <c r="TYE6" s="545" t="s">
        <v>816</v>
      </c>
      <c r="TYF6" s="545"/>
      <c r="TYG6" s="545"/>
      <c r="TYH6" s="545"/>
      <c r="TYI6" s="136" t="s">
        <v>168</v>
      </c>
      <c r="TYJ6" s="137">
        <v>1</v>
      </c>
      <c r="TYK6" s="137">
        <v>167.32</v>
      </c>
      <c r="TYL6" s="181" t="s">
        <v>817</v>
      </c>
      <c r="TYM6" s="545" t="s">
        <v>816</v>
      </c>
      <c r="TYN6" s="545"/>
      <c r="TYO6" s="545"/>
      <c r="TYP6" s="545"/>
      <c r="TYQ6" s="136" t="s">
        <v>168</v>
      </c>
      <c r="TYR6" s="137">
        <v>1</v>
      </c>
      <c r="TYS6" s="137">
        <v>167.32</v>
      </c>
      <c r="TYT6" s="181" t="s">
        <v>817</v>
      </c>
      <c r="TYU6" s="545" t="s">
        <v>816</v>
      </c>
      <c r="TYV6" s="545"/>
      <c r="TYW6" s="545"/>
      <c r="TYX6" s="545"/>
      <c r="TYY6" s="136" t="s">
        <v>168</v>
      </c>
      <c r="TYZ6" s="137">
        <v>1</v>
      </c>
      <c r="TZA6" s="137">
        <v>167.32</v>
      </c>
      <c r="TZB6" s="181" t="s">
        <v>817</v>
      </c>
      <c r="TZC6" s="545" t="s">
        <v>816</v>
      </c>
      <c r="TZD6" s="545"/>
      <c r="TZE6" s="545"/>
      <c r="TZF6" s="545"/>
      <c r="TZG6" s="136" t="s">
        <v>168</v>
      </c>
      <c r="TZH6" s="137">
        <v>1</v>
      </c>
      <c r="TZI6" s="137">
        <v>167.32</v>
      </c>
      <c r="TZJ6" s="181" t="s">
        <v>817</v>
      </c>
      <c r="TZK6" s="545" t="s">
        <v>816</v>
      </c>
      <c r="TZL6" s="545"/>
      <c r="TZM6" s="545"/>
      <c r="TZN6" s="545"/>
      <c r="TZO6" s="136" t="s">
        <v>168</v>
      </c>
      <c r="TZP6" s="137">
        <v>1</v>
      </c>
      <c r="TZQ6" s="137">
        <v>167.32</v>
      </c>
      <c r="TZR6" s="181" t="s">
        <v>817</v>
      </c>
      <c r="TZS6" s="545" t="s">
        <v>816</v>
      </c>
      <c r="TZT6" s="545"/>
      <c r="TZU6" s="545"/>
      <c r="TZV6" s="545"/>
      <c r="TZW6" s="136" t="s">
        <v>168</v>
      </c>
      <c r="TZX6" s="137">
        <v>1</v>
      </c>
      <c r="TZY6" s="137">
        <v>167.32</v>
      </c>
      <c r="TZZ6" s="181" t="s">
        <v>817</v>
      </c>
      <c r="UAA6" s="545" t="s">
        <v>816</v>
      </c>
      <c r="UAB6" s="545"/>
      <c r="UAC6" s="545"/>
      <c r="UAD6" s="545"/>
      <c r="UAE6" s="136" t="s">
        <v>168</v>
      </c>
      <c r="UAF6" s="137">
        <v>1</v>
      </c>
      <c r="UAG6" s="137">
        <v>167.32</v>
      </c>
      <c r="UAH6" s="181" t="s">
        <v>817</v>
      </c>
      <c r="UAI6" s="545" t="s">
        <v>816</v>
      </c>
      <c r="UAJ6" s="545"/>
      <c r="UAK6" s="545"/>
      <c r="UAL6" s="545"/>
      <c r="UAM6" s="136" t="s">
        <v>168</v>
      </c>
      <c r="UAN6" s="137">
        <v>1</v>
      </c>
      <c r="UAO6" s="137">
        <v>167.32</v>
      </c>
      <c r="UAP6" s="181" t="s">
        <v>817</v>
      </c>
      <c r="UAQ6" s="545" t="s">
        <v>816</v>
      </c>
      <c r="UAR6" s="545"/>
      <c r="UAS6" s="545"/>
      <c r="UAT6" s="545"/>
      <c r="UAU6" s="136" t="s">
        <v>168</v>
      </c>
      <c r="UAV6" s="137">
        <v>1</v>
      </c>
      <c r="UAW6" s="137">
        <v>167.32</v>
      </c>
      <c r="UAX6" s="181" t="s">
        <v>817</v>
      </c>
      <c r="UAY6" s="545" t="s">
        <v>816</v>
      </c>
      <c r="UAZ6" s="545"/>
      <c r="UBA6" s="545"/>
      <c r="UBB6" s="545"/>
      <c r="UBC6" s="136" t="s">
        <v>168</v>
      </c>
      <c r="UBD6" s="137">
        <v>1</v>
      </c>
      <c r="UBE6" s="137">
        <v>167.32</v>
      </c>
      <c r="UBF6" s="181" t="s">
        <v>817</v>
      </c>
      <c r="UBG6" s="545" t="s">
        <v>816</v>
      </c>
      <c r="UBH6" s="545"/>
      <c r="UBI6" s="545"/>
      <c r="UBJ6" s="545"/>
      <c r="UBK6" s="136" t="s">
        <v>168</v>
      </c>
      <c r="UBL6" s="137">
        <v>1</v>
      </c>
      <c r="UBM6" s="137">
        <v>167.32</v>
      </c>
      <c r="UBN6" s="181" t="s">
        <v>817</v>
      </c>
      <c r="UBO6" s="545" t="s">
        <v>816</v>
      </c>
      <c r="UBP6" s="545"/>
      <c r="UBQ6" s="545"/>
      <c r="UBR6" s="545"/>
      <c r="UBS6" s="136" t="s">
        <v>168</v>
      </c>
      <c r="UBT6" s="137">
        <v>1</v>
      </c>
      <c r="UBU6" s="137">
        <v>167.32</v>
      </c>
      <c r="UBV6" s="181" t="s">
        <v>817</v>
      </c>
      <c r="UBW6" s="545" t="s">
        <v>816</v>
      </c>
      <c r="UBX6" s="545"/>
      <c r="UBY6" s="545"/>
      <c r="UBZ6" s="545"/>
      <c r="UCA6" s="136" t="s">
        <v>168</v>
      </c>
      <c r="UCB6" s="137">
        <v>1</v>
      </c>
      <c r="UCC6" s="137">
        <v>167.32</v>
      </c>
      <c r="UCD6" s="181" t="s">
        <v>817</v>
      </c>
      <c r="UCE6" s="545" t="s">
        <v>816</v>
      </c>
      <c r="UCF6" s="545"/>
      <c r="UCG6" s="545"/>
      <c r="UCH6" s="545"/>
      <c r="UCI6" s="136" t="s">
        <v>168</v>
      </c>
      <c r="UCJ6" s="137">
        <v>1</v>
      </c>
      <c r="UCK6" s="137">
        <v>167.32</v>
      </c>
      <c r="UCL6" s="181" t="s">
        <v>817</v>
      </c>
      <c r="UCM6" s="545" t="s">
        <v>816</v>
      </c>
      <c r="UCN6" s="545"/>
      <c r="UCO6" s="545"/>
      <c r="UCP6" s="545"/>
      <c r="UCQ6" s="136" t="s">
        <v>168</v>
      </c>
      <c r="UCR6" s="137">
        <v>1</v>
      </c>
      <c r="UCS6" s="137">
        <v>167.32</v>
      </c>
      <c r="UCT6" s="181" t="s">
        <v>817</v>
      </c>
      <c r="UCU6" s="545" t="s">
        <v>816</v>
      </c>
      <c r="UCV6" s="545"/>
      <c r="UCW6" s="545"/>
      <c r="UCX6" s="545"/>
      <c r="UCY6" s="136" t="s">
        <v>168</v>
      </c>
      <c r="UCZ6" s="137">
        <v>1</v>
      </c>
      <c r="UDA6" s="137">
        <v>167.32</v>
      </c>
      <c r="UDB6" s="181" t="s">
        <v>817</v>
      </c>
      <c r="UDC6" s="545" t="s">
        <v>816</v>
      </c>
      <c r="UDD6" s="545"/>
      <c r="UDE6" s="545"/>
      <c r="UDF6" s="545"/>
      <c r="UDG6" s="136" t="s">
        <v>168</v>
      </c>
      <c r="UDH6" s="137">
        <v>1</v>
      </c>
      <c r="UDI6" s="137">
        <v>167.32</v>
      </c>
      <c r="UDJ6" s="181" t="s">
        <v>817</v>
      </c>
      <c r="UDK6" s="545" t="s">
        <v>816</v>
      </c>
      <c r="UDL6" s="545"/>
      <c r="UDM6" s="545"/>
      <c r="UDN6" s="545"/>
      <c r="UDO6" s="136" t="s">
        <v>168</v>
      </c>
      <c r="UDP6" s="137">
        <v>1</v>
      </c>
      <c r="UDQ6" s="137">
        <v>167.32</v>
      </c>
      <c r="UDR6" s="181" t="s">
        <v>817</v>
      </c>
      <c r="UDS6" s="545" t="s">
        <v>816</v>
      </c>
      <c r="UDT6" s="545"/>
      <c r="UDU6" s="545"/>
      <c r="UDV6" s="545"/>
      <c r="UDW6" s="136" t="s">
        <v>168</v>
      </c>
      <c r="UDX6" s="137">
        <v>1</v>
      </c>
      <c r="UDY6" s="137">
        <v>167.32</v>
      </c>
      <c r="UDZ6" s="181" t="s">
        <v>817</v>
      </c>
      <c r="UEA6" s="545" t="s">
        <v>816</v>
      </c>
      <c r="UEB6" s="545"/>
      <c r="UEC6" s="545"/>
      <c r="UED6" s="545"/>
      <c r="UEE6" s="136" t="s">
        <v>168</v>
      </c>
      <c r="UEF6" s="137">
        <v>1</v>
      </c>
      <c r="UEG6" s="137">
        <v>167.32</v>
      </c>
      <c r="UEH6" s="181" t="s">
        <v>817</v>
      </c>
      <c r="UEI6" s="545" t="s">
        <v>816</v>
      </c>
      <c r="UEJ6" s="545"/>
      <c r="UEK6" s="545"/>
      <c r="UEL6" s="545"/>
      <c r="UEM6" s="136" t="s">
        <v>168</v>
      </c>
      <c r="UEN6" s="137">
        <v>1</v>
      </c>
      <c r="UEO6" s="137">
        <v>167.32</v>
      </c>
      <c r="UEP6" s="181" t="s">
        <v>817</v>
      </c>
      <c r="UEQ6" s="545" t="s">
        <v>816</v>
      </c>
      <c r="UER6" s="545"/>
      <c r="UES6" s="545"/>
      <c r="UET6" s="545"/>
      <c r="UEU6" s="136" t="s">
        <v>168</v>
      </c>
      <c r="UEV6" s="137">
        <v>1</v>
      </c>
      <c r="UEW6" s="137">
        <v>167.32</v>
      </c>
      <c r="UEX6" s="181" t="s">
        <v>817</v>
      </c>
      <c r="UEY6" s="545" t="s">
        <v>816</v>
      </c>
      <c r="UEZ6" s="545"/>
      <c r="UFA6" s="545"/>
      <c r="UFB6" s="545"/>
      <c r="UFC6" s="136" t="s">
        <v>168</v>
      </c>
      <c r="UFD6" s="137">
        <v>1</v>
      </c>
      <c r="UFE6" s="137">
        <v>167.32</v>
      </c>
      <c r="UFF6" s="181" t="s">
        <v>817</v>
      </c>
      <c r="UFG6" s="545" t="s">
        <v>816</v>
      </c>
      <c r="UFH6" s="545"/>
      <c r="UFI6" s="545"/>
      <c r="UFJ6" s="545"/>
      <c r="UFK6" s="136" t="s">
        <v>168</v>
      </c>
      <c r="UFL6" s="137">
        <v>1</v>
      </c>
      <c r="UFM6" s="137">
        <v>167.32</v>
      </c>
      <c r="UFN6" s="181" t="s">
        <v>817</v>
      </c>
      <c r="UFO6" s="545" t="s">
        <v>816</v>
      </c>
      <c r="UFP6" s="545"/>
      <c r="UFQ6" s="545"/>
      <c r="UFR6" s="545"/>
      <c r="UFS6" s="136" t="s">
        <v>168</v>
      </c>
      <c r="UFT6" s="137">
        <v>1</v>
      </c>
      <c r="UFU6" s="137">
        <v>167.32</v>
      </c>
      <c r="UFV6" s="181" t="s">
        <v>817</v>
      </c>
      <c r="UFW6" s="545" t="s">
        <v>816</v>
      </c>
      <c r="UFX6" s="545"/>
      <c r="UFY6" s="545"/>
      <c r="UFZ6" s="545"/>
      <c r="UGA6" s="136" t="s">
        <v>168</v>
      </c>
      <c r="UGB6" s="137">
        <v>1</v>
      </c>
      <c r="UGC6" s="137">
        <v>167.32</v>
      </c>
      <c r="UGD6" s="181" t="s">
        <v>817</v>
      </c>
      <c r="UGE6" s="545" t="s">
        <v>816</v>
      </c>
      <c r="UGF6" s="545"/>
      <c r="UGG6" s="545"/>
      <c r="UGH6" s="545"/>
      <c r="UGI6" s="136" t="s">
        <v>168</v>
      </c>
      <c r="UGJ6" s="137">
        <v>1</v>
      </c>
      <c r="UGK6" s="137">
        <v>167.32</v>
      </c>
      <c r="UGL6" s="181" t="s">
        <v>817</v>
      </c>
      <c r="UGM6" s="545" t="s">
        <v>816</v>
      </c>
      <c r="UGN6" s="545"/>
      <c r="UGO6" s="545"/>
      <c r="UGP6" s="545"/>
      <c r="UGQ6" s="136" t="s">
        <v>168</v>
      </c>
      <c r="UGR6" s="137">
        <v>1</v>
      </c>
      <c r="UGS6" s="137">
        <v>167.32</v>
      </c>
      <c r="UGT6" s="181" t="s">
        <v>817</v>
      </c>
      <c r="UGU6" s="545" t="s">
        <v>816</v>
      </c>
      <c r="UGV6" s="545"/>
      <c r="UGW6" s="545"/>
      <c r="UGX6" s="545"/>
      <c r="UGY6" s="136" t="s">
        <v>168</v>
      </c>
      <c r="UGZ6" s="137">
        <v>1</v>
      </c>
      <c r="UHA6" s="137">
        <v>167.32</v>
      </c>
      <c r="UHB6" s="181" t="s">
        <v>817</v>
      </c>
      <c r="UHC6" s="545" t="s">
        <v>816</v>
      </c>
      <c r="UHD6" s="545"/>
      <c r="UHE6" s="545"/>
      <c r="UHF6" s="545"/>
      <c r="UHG6" s="136" t="s">
        <v>168</v>
      </c>
      <c r="UHH6" s="137">
        <v>1</v>
      </c>
      <c r="UHI6" s="137">
        <v>167.32</v>
      </c>
      <c r="UHJ6" s="181" t="s">
        <v>817</v>
      </c>
      <c r="UHK6" s="545" t="s">
        <v>816</v>
      </c>
      <c r="UHL6" s="545"/>
      <c r="UHM6" s="545"/>
      <c r="UHN6" s="545"/>
      <c r="UHO6" s="136" t="s">
        <v>168</v>
      </c>
      <c r="UHP6" s="137">
        <v>1</v>
      </c>
      <c r="UHQ6" s="137">
        <v>167.32</v>
      </c>
      <c r="UHR6" s="181" t="s">
        <v>817</v>
      </c>
      <c r="UHS6" s="545" t="s">
        <v>816</v>
      </c>
      <c r="UHT6" s="545"/>
      <c r="UHU6" s="545"/>
      <c r="UHV6" s="545"/>
      <c r="UHW6" s="136" t="s">
        <v>168</v>
      </c>
      <c r="UHX6" s="137">
        <v>1</v>
      </c>
      <c r="UHY6" s="137">
        <v>167.32</v>
      </c>
      <c r="UHZ6" s="181" t="s">
        <v>817</v>
      </c>
      <c r="UIA6" s="545" t="s">
        <v>816</v>
      </c>
      <c r="UIB6" s="545"/>
      <c r="UIC6" s="545"/>
      <c r="UID6" s="545"/>
      <c r="UIE6" s="136" t="s">
        <v>168</v>
      </c>
      <c r="UIF6" s="137">
        <v>1</v>
      </c>
      <c r="UIG6" s="137">
        <v>167.32</v>
      </c>
      <c r="UIH6" s="181" t="s">
        <v>817</v>
      </c>
      <c r="UII6" s="545" t="s">
        <v>816</v>
      </c>
      <c r="UIJ6" s="545"/>
      <c r="UIK6" s="545"/>
      <c r="UIL6" s="545"/>
      <c r="UIM6" s="136" t="s">
        <v>168</v>
      </c>
      <c r="UIN6" s="137">
        <v>1</v>
      </c>
      <c r="UIO6" s="137">
        <v>167.32</v>
      </c>
      <c r="UIP6" s="181" t="s">
        <v>817</v>
      </c>
      <c r="UIQ6" s="545" t="s">
        <v>816</v>
      </c>
      <c r="UIR6" s="545"/>
      <c r="UIS6" s="545"/>
      <c r="UIT6" s="545"/>
      <c r="UIU6" s="136" t="s">
        <v>168</v>
      </c>
      <c r="UIV6" s="137">
        <v>1</v>
      </c>
      <c r="UIW6" s="137">
        <v>167.32</v>
      </c>
      <c r="UIX6" s="181" t="s">
        <v>817</v>
      </c>
      <c r="UIY6" s="545" t="s">
        <v>816</v>
      </c>
      <c r="UIZ6" s="545"/>
      <c r="UJA6" s="545"/>
      <c r="UJB6" s="545"/>
      <c r="UJC6" s="136" t="s">
        <v>168</v>
      </c>
      <c r="UJD6" s="137">
        <v>1</v>
      </c>
      <c r="UJE6" s="137">
        <v>167.32</v>
      </c>
      <c r="UJF6" s="181" t="s">
        <v>817</v>
      </c>
      <c r="UJG6" s="545" t="s">
        <v>816</v>
      </c>
      <c r="UJH6" s="545"/>
      <c r="UJI6" s="545"/>
      <c r="UJJ6" s="545"/>
      <c r="UJK6" s="136" t="s">
        <v>168</v>
      </c>
      <c r="UJL6" s="137">
        <v>1</v>
      </c>
      <c r="UJM6" s="137">
        <v>167.32</v>
      </c>
      <c r="UJN6" s="181" t="s">
        <v>817</v>
      </c>
      <c r="UJO6" s="545" t="s">
        <v>816</v>
      </c>
      <c r="UJP6" s="545"/>
      <c r="UJQ6" s="545"/>
      <c r="UJR6" s="545"/>
      <c r="UJS6" s="136" t="s">
        <v>168</v>
      </c>
      <c r="UJT6" s="137">
        <v>1</v>
      </c>
      <c r="UJU6" s="137">
        <v>167.32</v>
      </c>
      <c r="UJV6" s="181" t="s">
        <v>817</v>
      </c>
      <c r="UJW6" s="545" t="s">
        <v>816</v>
      </c>
      <c r="UJX6" s="545"/>
      <c r="UJY6" s="545"/>
      <c r="UJZ6" s="545"/>
      <c r="UKA6" s="136" t="s">
        <v>168</v>
      </c>
      <c r="UKB6" s="137">
        <v>1</v>
      </c>
      <c r="UKC6" s="137">
        <v>167.32</v>
      </c>
      <c r="UKD6" s="181" t="s">
        <v>817</v>
      </c>
      <c r="UKE6" s="545" t="s">
        <v>816</v>
      </c>
      <c r="UKF6" s="545"/>
      <c r="UKG6" s="545"/>
      <c r="UKH6" s="545"/>
      <c r="UKI6" s="136" t="s">
        <v>168</v>
      </c>
      <c r="UKJ6" s="137">
        <v>1</v>
      </c>
      <c r="UKK6" s="137">
        <v>167.32</v>
      </c>
      <c r="UKL6" s="181" t="s">
        <v>817</v>
      </c>
      <c r="UKM6" s="545" t="s">
        <v>816</v>
      </c>
      <c r="UKN6" s="545"/>
      <c r="UKO6" s="545"/>
      <c r="UKP6" s="545"/>
      <c r="UKQ6" s="136" t="s">
        <v>168</v>
      </c>
      <c r="UKR6" s="137">
        <v>1</v>
      </c>
      <c r="UKS6" s="137">
        <v>167.32</v>
      </c>
      <c r="UKT6" s="181" t="s">
        <v>817</v>
      </c>
      <c r="UKU6" s="545" t="s">
        <v>816</v>
      </c>
      <c r="UKV6" s="545"/>
      <c r="UKW6" s="545"/>
      <c r="UKX6" s="545"/>
      <c r="UKY6" s="136" t="s">
        <v>168</v>
      </c>
      <c r="UKZ6" s="137">
        <v>1</v>
      </c>
      <c r="ULA6" s="137">
        <v>167.32</v>
      </c>
      <c r="ULB6" s="181" t="s">
        <v>817</v>
      </c>
      <c r="ULC6" s="545" t="s">
        <v>816</v>
      </c>
      <c r="ULD6" s="545"/>
      <c r="ULE6" s="545"/>
      <c r="ULF6" s="545"/>
      <c r="ULG6" s="136" t="s">
        <v>168</v>
      </c>
      <c r="ULH6" s="137">
        <v>1</v>
      </c>
      <c r="ULI6" s="137">
        <v>167.32</v>
      </c>
      <c r="ULJ6" s="181" t="s">
        <v>817</v>
      </c>
      <c r="ULK6" s="545" t="s">
        <v>816</v>
      </c>
      <c r="ULL6" s="545"/>
      <c r="ULM6" s="545"/>
      <c r="ULN6" s="545"/>
      <c r="ULO6" s="136" t="s">
        <v>168</v>
      </c>
      <c r="ULP6" s="137">
        <v>1</v>
      </c>
      <c r="ULQ6" s="137">
        <v>167.32</v>
      </c>
      <c r="ULR6" s="181" t="s">
        <v>817</v>
      </c>
      <c r="ULS6" s="545" t="s">
        <v>816</v>
      </c>
      <c r="ULT6" s="545"/>
      <c r="ULU6" s="545"/>
      <c r="ULV6" s="545"/>
      <c r="ULW6" s="136" t="s">
        <v>168</v>
      </c>
      <c r="ULX6" s="137">
        <v>1</v>
      </c>
      <c r="ULY6" s="137">
        <v>167.32</v>
      </c>
      <c r="ULZ6" s="181" t="s">
        <v>817</v>
      </c>
      <c r="UMA6" s="545" t="s">
        <v>816</v>
      </c>
      <c r="UMB6" s="545"/>
      <c r="UMC6" s="545"/>
      <c r="UMD6" s="545"/>
      <c r="UME6" s="136" t="s">
        <v>168</v>
      </c>
      <c r="UMF6" s="137">
        <v>1</v>
      </c>
      <c r="UMG6" s="137">
        <v>167.32</v>
      </c>
      <c r="UMH6" s="181" t="s">
        <v>817</v>
      </c>
      <c r="UMI6" s="545" t="s">
        <v>816</v>
      </c>
      <c r="UMJ6" s="545"/>
      <c r="UMK6" s="545"/>
      <c r="UML6" s="545"/>
      <c r="UMM6" s="136" t="s">
        <v>168</v>
      </c>
      <c r="UMN6" s="137">
        <v>1</v>
      </c>
      <c r="UMO6" s="137">
        <v>167.32</v>
      </c>
      <c r="UMP6" s="181" t="s">
        <v>817</v>
      </c>
      <c r="UMQ6" s="545" t="s">
        <v>816</v>
      </c>
      <c r="UMR6" s="545"/>
      <c r="UMS6" s="545"/>
      <c r="UMT6" s="545"/>
      <c r="UMU6" s="136" t="s">
        <v>168</v>
      </c>
      <c r="UMV6" s="137">
        <v>1</v>
      </c>
      <c r="UMW6" s="137">
        <v>167.32</v>
      </c>
      <c r="UMX6" s="181" t="s">
        <v>817</v>
      </c>
      <c r="UMY6" s="545" t="s">
        <v>816</v>
      </c>
      <c r="UMZ6" s="545"/>
      <c r="UNA6" s="545"/>
      <c r="UNB6" s="545"/>
      <c r="UNC6" s="136" t="s">
        <v>168</v>
      </c>
      <c r="UND6" s="137">
        <v>1</v>
      </c>
      <c r="UNE6" s="137">
        <v>167.32</v>
      </c>
      <c r="UNF6" s="181" t="s">
        <v>817</v>
      </c>
      <c r="UNG6" s="545" t="s">
        <v>816</v>
      </c>
      <c r="UNH6" s="545"/>
      <c r="UNI6" s="545"/>
      <c r="UNJ6" s="545"/>
      <c r="UNK6" s="136" t="s">
        <v>168</v>
      </c>
      <c r="UNL6" s="137">
        <v>1</v>
      </c>
      <c r="UNM6" s="137">
        <v>167.32</v>
      </c>
      <c r="UNN6" s="181" t="s">
        <v>817</v>
      </c>
      <c r="UNO6" s="545" t="s">
        <v>816</v>
      </c>
      <c r="UNP6" s="545"/>
      <c r="UNQ6" s="545"/>
      <c r="UNR6" s="545"/>
      <c r="UNS6" s="136" t="s">
        <v>168</v>
      </c>
      <c r="UNT6" s="137">
        <v>1</v>
      </c>
      <c r="UNU6" s="137">
        <v>167.32</v>
      </c>
      <c r="UNV6" s="181" t="s">
        <v>817</v>
      </c>
      <c r="UNW6" s="545" t="s">
        <v>816</v>
      </c>
      <c r="UNX6" s="545"/>
      <c r="UNY6" s="545"/>
      <c r="UNZ6" s="545"/>
      <c r="UOA6" s="136" t="s">
        <v>168</v>
      </c>
      <c r="UOB6" s="137">
        <v>1</v>
      </c>
      <c r="UOC6" s="137">
        <v>167.32</v>
      </c>
      <c r="UOD6" s="181" t="s">
        <v>817</v>
      </c>
      <c r="UOE6" s="545" t="s">
        <v>816</v>
      </c>
      <c r="UOF6" s="545"/>
      <c r="UOG6" s="545"/>
      <c r="UOH6" s="545"/>
      <c r="UOI6" s="136" t="s">
        <v>168</v>
      </c>
      <c r="UOJ6" s="137">
        <v>1</v>
      </c>
      <c r="UOK6" s="137">
        <v>167.32</v>
      </c>
      <c r="UOL6" s="181" t="s">
        <v>817</v>
      </c>
      <c r="UOM6" s="545" t="s">
        <v>816</v>
      </c>
      <c r="UON6" s="545"/>
      <c r="UOO6" s="545"/>
      <c r="UOP6" s="545"/>
      <c r="UOQ6" s="136" t="s">
        <v>168</v>
      </c>
      <c r="UOR6" s="137">
        <v>1</v>
      </c>
      <c r="UOS6" s="137">
        <v>167.32</v>
      </c>
      <c r="UOT6" s="181" t="s">
        <v>817</v>
      </c>
      <c r="UOU6" s="545" t="s">
        <v>816</v>
      </c>
      <c r="UOV6" s="545"/>
      <c r="UOW6" s="545"/>
      <c r="UOX6" s="545"/>
      <c r="UOY6" s="136" t="s">
        <v>168</v>
      </c>
      <c r="UOZ6" s="137">
        <v>1</v>
      </c>
      <c r="UPA6" s="137">
        <v>167.32</v>
      </c>
      <c r="UPB6" s="181" t="s">
        <v>817</v>
      </c>
      <c r="UPC6" s="545" t="s">
        <v>816</v>
      </c>
      <c r="UPD6" s="545"/>
      <c r="UPE6" s="545"/>
      <c r="UPF6" s="545"/>
      <c r="UPG6" s="136" t="s">
        <v>168</v>
      </c>
      <c r="UPH6" s="137">
        <v>1</v>
      </c>
      <c r="UPI6" s="137">
        <v>167.32</v>
      </c>
      <c r="UPJ6" s="181" t="s">
        <v>817</v>
      </c>
      <c r="UPK6" s="545" t="s">
        <v>816</v>
      </c>
      <c r="UPL6" s="545"/>
      <c r="UPM6" s="545"/>
      <c r="UPN6" s="545"/>
      <c r="UPO6" s="136" t="s">
        <v>168</v>
      </c>
      <c r="UPP6" s="137">
        <v>1</v>
      </c>
      <c r="UPQ6" s="137">
        <v>167.32</v>
      </c>
      <c r="UPR6" s="181" t="s">
        <v>817</v>
      </c>
      <c r="UPS6" s="545" t="s">
        <v>816</v>
      </c>
      <c r="UPT6" s="545"/>
      <c r="UPU6" s="545"/>
      <c r="UPV6" s="545"/>
      <c r="UPW6" s="136" t="s">
        <v>168</v>
      </c>
      <c r="UPX6" s="137">
        <v>1</v>
      </c>
      <c r="UPY6" s="137">
        <v>167.32</v>
      </c>
      <c r="UPZ6" s="181" t="s">
        <v>817</v>
      </c>
      <c r="UQA6" s="545" t="s">
        <v>816</v>
      </c>
      <c r="UQB6" s="545"/>
      <c r="UQC6" s="545"/>
      <c r="UQD6" s="545"/>
      <c r="UQE6" s="136" t="s">
        <v>168</v>
      </c>
      <c r="UQF6" s="137">
        <v>1</v>
      </c>
      <c r="UQG6" s="137">
        <v>167.32</v>
      </c>
      <c r="UQH6" s="181" t="s">
        <v>817</v>
      </c>
      <c r="UQI6" s="545" t="s">
        <v>816</v>
      </c>
      <c r="UQJ6" s="545"/>
      <c r="UQK6" s="545"/>
      <c r="UQL6" s="545"/>
      <c r="UQM6" s="136" t="s">
        <v>168</v>
      </c>
      <c r="UQN6" s="137">
        <v>1</v>
      </c>
      <c r="UQO6" s="137">
        <v>167.32</v>
      </c>
      <c r="UQP6" s="181" t="s">
        <v>817</v>
      </c>
      <c r="UQQ6" s="545" t="s">
        <v>816</v>
      </c>
      <c r="UQR6" s="545"/>
      <c r="UQS6" s="545"/>
      <c r="UQT6" s="545"/>
      <c r="UQU6" s="136" t="s">
        <v>168</v>
      </c>
      <c r="UQV6" s="137">
        <v>1</v>
      </c>
      <c r="UQW6" s="137">
        <v>167.32</v>
      </c>
      <c r="UQX6" s="181" t="s">
        <v>817</v>
      </c>
      <c r="UQY6" s="545" t="s">
        <v>816</v>
      </c>
      <c r="UQZ6" s="545"/>
      <c r="URA6" s="545"/>
      <c r="URB6" s="545"/>
      <c r="URC6" s="136" t="s">
        <v>168</v>
      </c>
      <c r="URD6" s="137">
        <v>1</v>
      </c>
      <c r="URE6" s="137">
        <v>167.32</v>
      </c>
      <c r="URF6" s="181" t="s">
        <v>817</v>
      </c>
      <c r="URG6" s="545" t="s">
        <v>816</v>
      </c>
      <c r="URH6" s="545"/>
      <c r="URI6" s="545"/>
      <c r="URJ6" s="545"/>
      <c r="URK6" s="136" t="s">
        <v>168</v>
      </c>
      <c r="URL6" s="137">
        <v>1</v>
      </c>
      <c r="URM6" s="137">
        <v>167.32</v>
      </c>
      <c r="URN6" s="181" t="s">
        <v>817</v>
      </c>
      <c r="URO6" s="545" t="s">
        <v>816</v>
      </c>
      <c r="URP6" s="545"/>
      <c r="URQ6" s="545"/>
      <c r="URR6" s="545"/>
      <c r="URS6" s="136" t="s">
        <v>168</v>
      </c>
      <c r="URT6" s="137">
        <v>1</v>
      </c>
      <c r="URU6" s="137">
        <v>167.32</v>
      </c>
      <c r="URV6" s="181" t="s">
        <v>817</v>
      </c>
      <c r="URW6" s="545" t="s">
        <v>816</v>
      </c>
      <c r="URX6" s="545"/>
      <c r="URY6" s="545"/>
      <c r="URZ6" s="545"/>
      <c r="USA6" s="136" t="s">
        <v>168</v>
      </c>
      <c r="USB6" s="137">
        <v>1</v>
      </c>
      <c r="USC6" s="137">
        <v>167.32</v>
      </c>
      <c r="USD6" s="181" t="s">
        <v>817</v>
      </c>
      <c r="USE6" s="545" t="s">
        <v>816</v>
      </c>
      <c r="USF6" s="545"/>
      <c r="USG6" s="545"/>
      <c r="USH6" s="545"/>
      <c r="USI6" s="136" t="s">
        <v>168</v>
      </c>
      <c r="USJ6" s="137">
        <v>1</v>
      </c>
      <c r="USK6" s="137">
        <v>167.32</v>
      </c>
      <c r="USL6" s="181" t="s">
        <v>817</v>
      </c>
      <c r="USM6" s="545" t="s">
        <v>816</v>
      </c>
      <c r="USN6" s="545"/>
      <c r="USO6" s="545"/>
      <c r="USP6" s="545"/>
      <c r="USQ6" s="136" t="s">
        <v>168</v>
      </c>
      <c r="USR6" s="137">
        <v>1</v>
      </c>
      <c r="USS6" s="137">
        <v>167.32</v>
      </c>
      <c r="UST6" s="181" t="s">
        <v>817</v>
      </c>
      <c r="USU6" s="545" t="s">
        <v>816</v>
      </c>
      <c r="USV6" s="545"/>
      <c r="USW6" s="545"/>
      <c r="USX6" s="545"/>
      <c r="USY6" s="136" t="s">
        <v>168</v>
      </c>
      <c r="USZ6" s="137">
        <v>1</v>
      </c>
      <c r="UTA6" s="137">
        <v>167.32</v>
      </c>
      <c r="UTB6" s="181" t="s">
        <v>817</v>
      </c>
      <c r="UTC6" s="545" t="s">
        <v>816</v>
      </c>
      <c r="UTD6" s="545"/>
      <c r="UTE6" s="545"/>
      <c r="UTF6" s="545"/>
      <c r="UTG6" s="136" t="s">
        <v>168</v>
      </c>
      <c r="UTH6" s="137">
        <v>1</v>
      </c>
      <c r="UTI6" s="137">
        <v>167.32</v>
      </c>
      <c r="UTJ6" s="181" t="s">
        <v>817</v>
      </c>
      <c r="UTK6" s="545" t="s">
        <v>816</v>
      </c>
      <c r="UTL6" s="545"/>
      <c r="UTM6" s="545"/>
      <c r="UTN6" s="545"/>
      <c r="UTO6" s="136" t="s">
        <v>168</v>
      </c>
      <c r="UTP6" s="137">
        <v>1</v>
      </c>
      <c r="UTQ6" s="137">
        <v>167.32</v>
      </c>
      <c r="UTR6" s="181" t="s">
        <v>817</v>
      </c>
      <c r="UTS6" s="545" t="s">
        <v>816</v>
      </c>
      <c r="UTT6" s="545"/>
      <c r="UTU6" s="545"/>
      <c r="UTV6" s="545"/>
      <c r="UTW6" s="136" t="s">
        <v>168</v>
      </c>
      <c r="UTX6" s="137">
        <v>1</v>
      </c>
      <c r="UTY6" s="137">
        <v>167.32</v>
      </c>
      <c r="UTZ6" s="181" t="s">
        <v>817</v>
      </c>
      <c r="UUA6" s="545" t="s">
        <v>816</v>
      </c>
      <c r="UUB6" s="545"/>
      <c r="UUC6" s="545"/>
      <c r="UUD6" s="545"/>
      <c r="UUE6" s="136" t="s">
        <v>168</v>
      </c>
      <c r="UUF6" s="137">
        <v>1</v>
      </c>
      <c r="UUG6" s="137">
        <v>167.32</v>
      </c>
      <c r="UUH6" s="181" t="s">
        <v>817</v>
      </c>
      <c r="UUI6" s="545" t="s">
        <v>816</v>
      </c>
      <c r="UUJ6" s="545"/>
      <c r="UUK6" s="545"/>
      <c r="UUL6" s="545"/>
      <c r="UUM6" s="136" t="s">
        <v>168</v>
      </c>
      <c r="UUN6" s="137">
        <v>1</v>
      </c>
      <c r="UUO6" s="137">
        <v>167.32</v>
      </c>
      <c r="UUP6" s="181" t="s">
        <v>817</v>
      </c>
      <c r="UUQ6" s="545" t="s">
        <v>816</v>
      </c>
      <c r="UUR6" s="545"/>
      <c r="UUS6" s="545"/>
      <c r="UUT6" s="545"/>
      <c r="UUU6" s="136" t="s">
        <v>168</v>
      </c>
      <c r="UUV6" s="137">
        <v>1</v>
      </c>
      <c r="UUW6" s="137">
        <v>167.32</v>
      </c>
      <c r="UUX6" s="181" t="s">
        <v>817</v>
      </c>
      <c r="UUY6" s="545" t="s">
        <v>816</v>
      </c>
      <c r="UUZ6" s="545"/>
      <c r="UVA6" s="545"/>
      <c r="UVB6" s="545"/>
      <c r="UVC6" s="136" t="s">
        <v>168</v>
      </c>
      <c r="UVD6" s="137">
        <v>1</v>
      </c>
      <c r="UVE6" s="137">
        <v>167.32</v>
      </c>
      <c r="UVF6" s="181" t="s">
        <v>817</v>
      </c>
      <c r="UVG6" s="545" t="s">
        <v>816</v>
      </c>
      <c r="UVH6" s="545"/>
      <c r="UVI6" s="545"/>
      <c r="UVJ6" s="545"/>
      <c r="UVK6" s="136" t="s">
        <v>168</v>
      </c>
      <c r="UVL6" s="137">
        <v>1</v>
      </c>
      <c r="UVM6" s="137">
        <v>167.32</v>
      </c>
      <c r="UVN6" s="181" t="s">
        <v>817</v>
      </c>
      <c r="UVO6" s="545" t="s">
        <v>816</v>
      </c>
      <c r="UVP6" s="545"/>
      <c r="UVQ6" s="545"/>
      <c r="UVR6" s="545"/>
      <c r="UVS6" s="136" t="s">
        <v>168</v>
      </c>
      <c r="UVT6" s="137">
        <v>1</v>
      </c>
      <c r="UVU6" s="137">
        <v>167.32</v>
      </c>
      <c r="UVV6" s="181" t="s">
        <v>817</v>
      </c>
      <c r="UVW6" s="545" t="s">
        <v>816</v>
      </c>
      <c r="UVX6" s="545"/>
      <c r="UVY6" s="545"/>
      <c r="UVZ6" s="545"/>
      <c r="UWA6" s="136" t="s">
        <v>168</v>
      </c>
      <c r="UWB6" s="137">
        <v>1</v>
      </c>
      <c r="UWC6" s="137">
        <v>167.32</v>
      </c>
      <c r="UWD6" s="181" t="s">
        <v>817</v>
      </c>
      <c r="UWE6" s="545" t="s">
        <v>816</v>
      </c>
      <c r="UWF6" s="545"/>
      <c r="UWG6" s="545"/>
      <c r="UWH6" s="545"/>
      <c r="UWI6" s="136" t="s">
        <v>168</v>
      </c>
      <c r="UWJ6" s="137">
        <v>1</v>
      </c>
      <c r="UWK6" s="137">
        <v>167.32</v>
      </c>
      <c r="UWL6" s="181" t="s">
        <v>817</v>
      </c>
      <c r="UWM6" s="545" t="s">
        <v>816</v>
      </c>
      <c r="UWN6" s="545"/>
      <c r="UWO6" s="545"/>
      <c r="UWP6" s="545"/>
      <c r="UWQ6" s="136" t="s">
        <v>168</v>
      </c>
      <c r="UWR6" s="137">
        <v>1</v>
      </c>
      <c r="UWS6" s="137">
        <v>167.32</v>
      </c>
      <c r="UWT6" s="181" t="s">
        <v>817</v>
      </c>
      <c r="UWU6" s="545" t="s">
        <v>816</v>
      </c>
      <c r="UWV6" s="545"/>
      <c r="UWW6" s="545"/>
      <c r="UWX6" s="545"/>
      <c r="UWY6" s="136" t="s">
        <v>168</v>
      </c>
      <c r="UWZ6" s="137">
        <v>1</v>
      </c>
      <c r="UXA6" s="137">
        <v>167.32</v>
      </c>
      <c r="UXB6" s="181" t="s">
        <v>817</v>
      </c>
      <c r="UXC6" s="545" t="s">
        <v>816</v>
      </c>
      <c r="UXD6" s="545"/>
      <c r="UXE6" s="545"/>
      <c r="UXF6" s="545"/>
      <c r="UXG6" s="136" t="s">
        <v>168</v>
      </c>
      <c r="UXH6" s="137">
        <v>1</v>
      </c>
      <c r="UXI6" s="137">
        <v>167.32</v>
      </c>
      <c r="UXJ6" s="181" t="s">
        <v>817</v>
      </c>
      <c r="UXK6" s="545" t="s">
        <v>816</v>
      </c>
      <c r="UXL6" s="545"/>
      <c r="UXM6" s="545"/>
      <c r="UXN6" s="545"/>
      <c r="UXO6" s="136" t="s">
        <v>168</v>
      </c>
      <c r="UXP6" s="137">
        <v>1</v>
      </c>
      <c r="UXQ6" s="137">
        <v>167.32</v>
      </c>
      <c r="UXR6" s="181" t="s">
        <v>817</v>
      </c>
      <c r="UXS6" s="545" t="s">
        <v>816</v>
      </c>
      <c r="UXT6" s="545"/>
      <c r="UXU6" s="545"/>
      <c r="UXV6" s="545"/>
      <c r="UXW6" s="136" t="s">
        <v>168</v>
      </c>
      <c r="UXX6" s="137">
        <v>1</v>
      </c>
      <c r="UXY6" s="137">
        <v>167.32</v>
      </c>
      <c r="UXZ6" s="181" t="s">
        <v>817</v>
      </c>
      <c r="UYA6" s="545" t="s">
        <v>816</v>
      </c>
      <c r="UYB6" s="545"/>
      <c r="UYC6" s="545"/>
      <c r="UYD6" s="545"/>
      <c r="UYE6" s="136" t="s">
        <v>168</v>
      </c>
      <c r="UYF6" s="137">
        <v>1</v>
      </c>
      <c r="UYG6" s="137">
        <v>167.32</v>
      </c>
      <c r="UYH6" s="181" t="s">
        <v>817</v>
      </c>
      <c r="UYI6" s="545" t="s">
        <v>816</v>
      </c>
      <c r="UYJ6" s="545"/>
      <c r="UYK6" s="545"/>
      <c r="UYL6" s="545"/>
      <c r="UYM6" s="136" t="s">
        <v>168</v>
      </c>
      <c r="UYN6" s="137">
        <v>1</v>
      </c>
      <c r="UYO6" s="137">
        <v>167.32</v>
      </c>
      <c r="UYP6" s="181" t="s">
        <v>817</v>
      </c>
      <c r="UYQ6" s="545" t="s">
        <v>816</v>
      </c>
      <c r="UYR6" s="545"/>
      <c r="UYS6" s="545"/>
      <c r="UYT6" s="545"/>
      <c r="UYU6" s="136" t="s">
        <v>168</v>
      </c>
      <c r="UYV6" s="137">
        <v>1</v>
      </c>
      <c r="UYW6" s="137">
        <v>167.32</v>
      </c>
      <c r="UYX6" s="181" t="s">
        <v>817</v>
      </c>
      <c r="UYY6" s="545" t="s">
        <v>816</v>
      </c>
      <c r="UYZ6" s="545"/>
      <c r="UZA6" s="545"/>
      <c r="UZB6" s="545"/>
      <c r="UZC6" s="136" t="s">
        <v>168</v>
      </c>
      <c r="UZD6" s="137">
        <v>1</v>
      </c>
      <c r="UZE6" s="137">
        <v>167.32</v>
      </c>
      <c r="UZF6" s="181" t="s">
        <v>817</v>
      </c>
      <c r="UZG6" s="545" t="s">
        <v>816</v>
      </c>
      <c r="UZH6" s="545"/>
      <c r="UZI6" s="545"/>
      <c r="UZJ6" s="545"/>
      <c r="UZK6" s="136" t="s">
        <v>168</v>
      </c>
      <c r="UZL6" s="137">
        <v>1</v>
      </c>
      <c r="UZM6" s="137">
        <v>167.32</v>
      </c>
      <c r="UZN6" s="181" t="s">
        <v>817</v>
      </c>
      <c r="UZO6" s="545" t="s">
        <v>816</v>
      </c>
      <c r="UZP6" s="545"/>
      <c r="UZQ6" s="545"/>
      <c r="UZR6" s="545"/>
      <c r="UZS6" s="136" t="s">
        <v>168</v>
      </c>
      <c r="UZT6" s="137">
        <v>1</v>
      </c>
      <c r="UZU6" s="137">
        <v>167.32</v>
      </c>
      <c r="UZV6" s="181" t="s">
        <v>817</v>
      </c>
      <c r="UZW6" s="545" t="s">
        <v>816</v>
      </c>
      <c r="UZX6" s="545"/>
      <c r="UZY6" s="545"/>
      <c r="UZZ6" s="545"/>
      <c r="VAA6" s="136" t="s">
        <v>168</v>
      </c>
      <c r="VAB6" s="137">
        <v>1</v>
      </c>
      <c r="VAC6" s="137">
        <v>167.32</v>
      </c>
      <c r="VAD6" s="181" t="s">
        <v>817</v>
      </c>
      <c r="VAE6" s="545" t="s">
        <v>816</v>
      </c>
      <c r="VAF6" s="545"/>
      <c r="VAG6" s="545"/>
      <c r="VAH6" s="545"/>
      <c r="VAI6" s="136" t="s">
        <v>168</v>
      </c>
      <c r="VAJ6" s="137">
        <v>1</v>
      </c>
      <c r="VAK6" s="137">
        <v>167.32</v>
      </c>
      <c r="VAL6" s="181" t="s">
        <v>817</v>
      </c>
      <c r="VAM6" s="545" t="s">
        <v>816</v>
      </c>
      <c r="VAN6" s="545"/>
      <c r="VAO6" s="545"/>
      <c r="VAP6" s="545"/>
      <c r="VAQ6" s="136" t="s">
        <v>168</v>
      </c>
      <c r="VAR6" s="137">
        <v>1</v>
      </c>
      <c r="VAS6" s="137">
        <v>167.32</v>
      </c>
      <c r="VAT6" s="181" t="s">
        <v>817</v>
      </c>
      <c r="VAU6" s="545" t="s">
        <v>816</v>
      </c>
      <c r="VAV6" s="545"/>
      <c r="VAW6" s="545"/>
      <c r="VAX6" s="545"/>
      <c r="VAY6" s="136" t="s">
        <v>168</v>
      </c>
      <c r="VAZ6" s="137">
        <v>1</v>
      </c>
      <c r="VBA6" s="137">
        <v>167.32</v>
      </c>
      <c r="VBB6" s="181" t="s">
        <v>817</v>
      </c>
      <c r="VBC6" s="545" t="s">
        <v>816</v>
      </c>
      <c r="VBD6" s="545"/>
      <c r="VBE6" s="545"/>
      <c r="VBF6" s="545"/>
      <c r="VBG6" s="136" t="s">
        <v>168</v>
      </c>
      <c r="VBH6" s="137">
        <v>1</v>
      </c>
      <c r="VBI6" s="137">
        <v>167.32</v>
      </c>
      <c r="VBJ6" s="181" t="s">
        <v>817</v>
      </c>
      <c r="VBK6" s="545" t="s">
        <v>816</v>
      </c>
      <c r="VBL6" s="545"/>
      <c r="VBM6" s="545"/>
      <c r="VBN6" s="545"/>
      <c r="VBO6" s="136" t="s">
        <v>168</v>
      </c>
      <c r="VBP6" s="137">
        <v>1</v>
      </c>
      <c r="VBQ6" s="137">
        <v>167.32</v>
      </c>
      <c r="VBR6" s="181" t="s">
        <v>817</v>
      </c>
      <c r="VBS6" s="545" t="s">
        <v>816</v>
      </c>
      <c r="VBT6" s="545"/>
      <c r="VBU6" s="545"/>
      <c r="VBV6" s="545"/>
      <c r="VBW6" s="136" t="s">
        <v>168</v>
      </c>
      <c r="VBX6" s="137">
        <v>1</v>
      </c>
      <c r="VBY6" s="137">
        <v>167.32</v>
      </c>
      <c r="VBZ6" s="181" t="s">
        <v>817</v>
      </c>
      <c r="VCA6" s="545" t="s">
        <v>816</v>
      </c>
      <c r="VCB6" s="545"/>
      <c r="VCC6" s="545"/>
      <c r="VCD6" s="545"/>
      <c r="VCE6" s="136" t="s">
        <v>168</v>
      </c>
      <c r="VCF6" s="137">
        <v>1</v>
      </c>
      <c r="VCG6" s="137">
        <v>167.32</v>
      </c>
      <c r="VCH6" s="181" t="s">
        <v>817</v>
      </c>
      <c r="VCI6" s="545" t="s">
        <v>816</v>
      </c>
      <c r="VCJ6" s="545"/>
      <c r="VCK6" s="545"/>
      <c r="VCL6" s="545"/>
      <c r="VCM6" s="136" t="s">
        <v>168</v>
      </c>
      <c r="VCN6" s="137">
        <v>1</v>
      </c>
      <c r="VCO6" s="137">
        <v>167.32</v>
      </c>
      <c r="VCP6" s="181" t="s">
        <v>817</v>
      </c>
      <c r="VCQ6" s="545" t="s">
        <v>816</v>
      </c>
      <c r="VCR6" s="545"/>
      <c r="VCS6" s="545"/>
      <c r="VCT6" s="545"/>
      <c r="VCU6" s="136" t="s">
        <v>168</v>
      </c>
      <c r="VCV6" s="137">
        <v>1</v>
      </c>
      <c r="VCW6" s="137">
        <v>167.32</v>
      </c>
      <c r="VCX6" s="181" t="s">
        <v>817</v>
      </c>
      <c r="VCY6" s="545" t="s">
        <v>816</v>
      </c>
      <c r="VCZ6" s="545"/>
      <c r="VDA6" s="545"/>
      <c r="VDB6" s="545"/>
      <c r="VDC6" s="136" t="s">
        <v>168</v>
      </c>
      <c r="VDD6" s="137">
        <v>1</v>
      </c>
      <c r="VDE6" s="137">
        <v>167.32</v>
      </c>
      <c r="VDF6" s="181" t="s">
        <v>817</v>
      </c>
      <c r="VDG6" s="545" t="s">
        <v>816</v>
      </c>
      <c r="VDH6" s="545"/>
      <c r="VDI6" s="545"/>
      <c r="VDJ6" s="545"/>
      <c r="VDK6" s="136" t="s">
        <v>168</v>
      </c>
      <c r="VDL6" s="137">
        <v>1</v>
      </c>
      <c r="VDM6" s="137">
        <v>167.32</v>
      </c>
      <c r="VDN6" s="181" t="s">
        <v>817</v>
      </c>
      <c r="VDO6" s="545" t="s">
        <v>816</v>
      </c>
      <c r="VDP6" s="545"/>
      <c r="VDQ6" s="545"/>
      <c r="VDR6" s="545"/>
      <c r="VDS6" s="136" t="s">
        <v>168</v>
      </c>
      <c r="VDT6" s="137">
        <v>1</v>
      </c>
      <c r="VDU6" s="137">
        <v>167.32</v>
      </c>
      <c r="VDV6" s="181" t="s">
        <v>817</v>
      </c>
      <c r="VDW6" s="545" t="s">
        <v>816</v>
      </c>
      <c r="VDX6" s="545"/>
      <c r="VDY6" s="545"/>
      <c r="VDZ6" s="545"/>
      <c r="VEA6" s="136" t="s">
        <v>168</v>
      </c>
      <c r="VEB6" s="137">
        <v>1</v>
      </c>
      <c r="VEC6" s="137">
        <v>167.32</v>
      </c>
      <c r="VED6" s="181" t="s">
        <v>817</v>
      </c>
      <c r="VEE6" s="545" t="s">
        <v>816</v>
      </c>
      <c r="VEF6" s="545"/>
      <c r="VEG6" s="545"/>
      <c r="VEH6" s="545"/>
      <c r="VEI6" s="136" t="s">
        <v>168</v>
      </c>
      <c r="VEJ6" s="137">
        <v>1</v>
      </c>
      <c r="VEK6" s="137">
        <v>167.32</v>
      </c>
      <c r="VEL6" s="181" t="s">
        <v>817</v>
      </c>
      <c r="VEM6" s="545" t="s">
        <v>816</v>
      </c>
      <c r="VEN6" s="545"/>
      <c r="VEO6" s="545"/>
      <c r="VEP6" s="545"/>
      <c r="VEQ6" s="136" t="s">
        <v>168</v>
      </c>
      <c r="VER6" s="137">
        <v>1</v>
      </c>
      <c r="VES6" s="137">
        <v>167.32</v>
      </c>
      <c r="VET6" s="181" t="s">
        <v>817</v>
      </c>
      <c r="VEU6" s="545" t="s">
        <v>816</v>
      </c>
      <c r="VEV6" s="545"/>
      <c r="VEW6" s="545"/>
      <c r="VEX6" s="545"/>
      <c r="VEY6" s="136" t="s">
        <v>168</v>
      </c>
      <c r="VEZ6" s="137">
        <v>1</v>
      </c>
      <c r="VFA6" s="137">
        <v>167.32</v>
      </c>
      <c r="VFB6" s="181" t="s">
        <v>817</v>
      </c>
      <c r="VFC6" s="545" t="s">
        <v>816</v>
      </c>
      <c r="VFD6" s="545"/>
      <c r="VFE6" s="545"/>
      <c r="VFF6" s="545"/>
      <c r="VFG6" s="136" t="s">
        <v>168</v>
      </c>
      <c r="VFH6" s="137">
        <v>1</v>
      </c>
      <c r="VFI6" s="137">
        <v>167.32</v>
      </c>
      <c r="VFJ6" s="181" t="s">
        <v>817</v>
      </c>
      <c r="VFK6" s="545" t="s">
        <v>816</v>
      </c>
      <c r="VFL6" s="545"/>
      <c r="VFM6" s="545"/>
      <c r="VFN6" s="545"/>
      <c r="VFO6" s="136" t="s">
        <v>168</v>
      </c>
      <c r="VFP6" s="137">
        <v>1</v>
      </c>
      <c r="VFQ6" s="137">
        <v>167.32</v>
      </c>
      <c r="VFR6" s="181" t="s">
        <v>817</v>
      </c>
      <c r="VFS6" s="545" t="s">
        <v>816</v>
      </c>
      <c r="VFT6" s="545"/>
      <c r="VFU6" s="545"/>
      <c r="VFV6" s="545"/>
      <c r="VFW6" s="136" t="s">
        <v>168</v>
      </c>
      <c r="VFX6" s="137">
        <v>1</v>
      </c>
      <c r="VFY6" s="137">
        <v>167.32</v>
      </c>
      <c r="VFZ6" s="181" t="s">
        <v>817</v>
      </c>
      <c r="VGA6" s="545" t="s">
        <v>816</v>
      </c>
      <c r="VGB6" s="545"/>
      <c r="VGC6" s="545"/>
      <c r="VGD6" s="545"/>
      <c r="VGE6" s="136" t="s">
        <v>168</v>
      </c>
      <c r="VGF6" s="137">
        <v>1</v>
      </c>
      <c r="VGG6" s="137">
        <v>167.32</v>
      </c>
      <c r="VGH6" s="181" t="s">
        <v>817</v>
      </c>
      <c r="VGI6" s="545" t="s">
        <v>816</v>
      </c>
      <c r="VGJ6" s="545"/>
      <c r="VGK6" s="545"/>
      <c r="VGL6" s="545"/>
      <c r="VGM6" s="136" t="s">
        <v>168</v>
      </c>
      <c r="VGN6" s="137">
        <v>1</v>
      </c>
      <c r="VGO6" s="137">
        <v>167.32</v>
      </c>
      <c r="VGP6" s="181" t="s">
        <v>817</v>
      </c>
      <c r="VGQ6" s="545" t="s">
        <v>816</v>
      </c>
      <c r="VGR6" s="545"/>
      <c r="VGS6" s="545"/>
      <c r="VGT6" s="545"/>
      <c r="VGU6" s="136" t="s">
        <v>168</v>
      </c>
      <c r="VGV6" s="137">
        <v>1</v>
      </c>
      <c r="VGW6" s="137">
        <v>167.32</v>
      </c>
      <c r="VGX6" s="181" t="s">
        <v>817</v>
      </c>
      <c r="VGY6" s="545" t="s">
        <v>816</v>
      </c>
      <c r="VGZ6" s="545"/>
      <c r="VHA6" s="545"/>
      <c r="VHB6" s="545"/>
      <c r="VHC6" s="136" t="s">
        <v>168</v>
      </c>
      <c r="VHD6" s="137">
        <v>1</v>
      </c>
      <c r="VHE6" s="137">
        <v>167.32</v>
      </c>
      <c r="VHF6" s="181" t="s">
        <v>817</v>
      </c>
      <c r="VHG6" s="545" t="s">
        <v>816</v>
      </c>
      <c r="VHH6" s="545"/>
      <c r="VHI6" s="545"/>
      <c r="VHJ6" s="545"/>
      <c r="VHK6" s="136" t="s">
        <v>168</v>
      </c>
      <c r="VHL6" s="137">
        <v>1</v>
      </c>
      <c r="VHM6" s="137">
        <v>167.32</v>
      </c>
      <c r="VHN6" s="181" t="s">
        <v>817</v>
      </c>
      <c r="VHO6" s="545" t="s">
        <v>816</v>
      </c>
      <c r="VHP6" s="545"/>
      <c r="VHQ6" s="545"/>
      <c r="VHR6" s="545"/>
      <c r="VHS6" s="136" t="s">
        <v>168</v>
      </c>
      <c r="VHT6" s="137">
        <v>1</v>
      </c>
      <c r="VHU6" s="137">
        <v>167.32</v>
      </c>
      <c r="VHV6" s="181" t="s">
        <v>817</v>
      </c>
      <c r="VHW6" s="545" t="s">
        <v>816</v>
      </c>
      <c r="VHX6" s="545"/>
      <c r="VHY6" s="545"/>
      <c r="VHZ6" s="545"/>
      <c r="VIA6" s="136" t="s">
        <v>168</v>
      </c>
      <c r="VIB6" s="137">
        <v>1</v>
      </c>
      <c r="VIC6" s="137">
        <v>167.32</v>
      </c>
      <c r="VID6" s="181" t="s">
        <v>817</v>
      </c>
      <c r="VIE6" s="545" t="s">
        <v>816</v>
      </c>
      <c r="VIF6" s="545"/>
      <c r="VIG6" s="545"/>
      <c r="VIH6" s="545"/>
      <c r="VII6" s="136" t="s">
        <v>168</v>
      </c>
      <c r="VIJ6" s="137">
        <v>1</v>
      </c>
      <c r="VIK6" s="137">
        <v>167.32</v>
      </c>
      <c r="VIL6" s="181" t="s">
        <v>817</v>
      </c>
      <c r="VIM6" s="545" t="s">
        <v>816</v>
      </c>
      <c r="VIN6" s="545"/>
      <c r="VIO6" s="545"/>
      <c r="VIP6" s="545"/>
      <c r="VIQ6" s="136" t="s">
        <v>168</v>
      </c>
      <c r="VIR6" s="137">
        <v>1</v>
      </c>
      <c r="VIS6" s="137">
        <v>167.32</v>
      </c>
      <c r="VIT6" s="181" t="s">
        <v>817</v>
      </c>
      <c r="VIU6" s="545" t="s">
        <v>816</v>
      </c>
      <c r="VIV6" s="545"/>
      <c r="VIW6" s="545"/>
      <c r="VIX6" s="545"/>
      <c r="VIY6" s="136" t="s">
        <v>168</v>
      </c>
      <c r="VIZ6" s="137">
        <v>1</v>
      </c>
      <c r="VJA6" s="137">
        <v>167.32</v>
      </c>
      <c r="VJB6" s="181" t="s">
        <v>817</v>
      </c>
      <c r="VJC6" s="545" t="s">
        <v>816</v>
      </c>
      <c r="VJD6" s="545"/>
      <c r="VJE6" s="545"/>
      <c r="VJF6" s="545"/>
      <c r="VJG6" s="136" t="s">
        <v>168</v>
      </c>
      <c r="VJH6" s="137">
        <v>1</v>
      </c>
      <c r="VJI6" s="137">
        <v>167.32</v>
      </c>
      <c r="VJJ6" s="181" t="s">
        <v>817</v>
      </c>
      <c r="VJK6" s="545" t="s">
        <v>816</v>
      </c>
      <c r="VJL6" s="545"/>
      <c r="VJM6" s="545"/>
      <c r="VJN6" s="545"/>
      <c r="VJO6" s="136" t="s">
        <v>168</v>
      </c>
      <c r="VJP6" s="137">
        <v>1</v>
      </c>
      <c r="VJQ6" s="137">
        <v>167.32</v>
      </c>
      <c r="VJR6" s="181" t="s">
        <v>817</v>
      </c>
      <c r="VJS6" s="545" t="s">
        <v>816</v>
      </c>
      <c r="VJT6" s="545"/>
      <c r="VJU6" s="545"/>
      <c r="VJV6" s="545"/>
      <c r="VJW6" s="136" t="s">
        <v>168</v>
      </c>
      <c r="VJX6" s="137">
        <v>1</v>
      </c>
      <c r="VJY6" s="137">
        <v>167.32</v>
      </c>
      <c r="VJZ6" s="181" t="s">
        <v>817</v>
      </c>
      <c r="VKA6" s="545" t="s">
        <v>816</v>
      </c>
      <c r="VKB6" s="545"/>
      <c r="VKC6" s="545"/>
      <c r="VKD6" s="545"/>
      <c r="VKE6" s="136" t="s">
        <v>168</v>
      </c>
      <c r="VKF6" s="137">
        <v>1</v>
      </c>
      <c r="VKG6" s="137">
        <v>167.32</v>
      </c>
      <c r="VKH6" s="181" t="s">
        <v>817</v>
      </c>
      <c r="VKI6" s="545" t="s">
        <v>816</v>
      </c>
      <c r="VKJ6" s="545"/>
      <c r="VKK6" s="545"/>
      <c r="VKL6" s="545"/>
      <c r="VKM6" s="136" t="s">
        <v>168</v>
      </c>
      <c r="VKN6" s="137">
        <v>1</v>
      </c>
      <c r="VKO6" s="137">
        <v>167.32</v>
      </c>
      <c r="VKP6" s="181" t="s">
        <v>817</v>
      </c>
      <c r="VKQ6" s="545" t="s">
        <v>816</v>
      </c>
      <c r="VKR6" s="545"/>
      <c r="VKS6" s="545"/>
      <c r="VKT6" s="545"/>
      <c r="VKU6" s="136" t="s">
        <v>168</v>
      </c>
      <c r="VKV6" s="137">
        <v>1</v>
      </c>
      <c r="VKW6" s="137">
        <v>167.32</v>
      </c>
      <c r="VKX6" s="181" t="s">
        <v>817</v>
      </c>
      <c r="VKY6" s="545" t="s">
        <v>816</v>
      </c>
      <c r="VKZ6" s="545"/>
      <c r="VLA6" s="545"/>
      <c r="VLB6" s="545"/>
      <c r="VLC6" s="136" t="s">
        <v>168</v>
      </c>
      <c r="VLD6" s="137">
        <v>1</v>
      </c>
      <c r="VLE6" s="137">
        <v>167.32</v>
      </c>
      <c r="VLF6" s="181" t="s">
        <v>817</v>
      </c>
      <c r="VLG6" s="545" t="s">
        <v>816</v>
      </c>
      <c r="VLH6" s="545"/>
      <c r="VLI6" s="545"/>
      <c r="VLJ6" s="545"/>
      <c r="VLK6" s="136" t="s">
        <v>168</v>
      </c>
      <c r="VLL6" s="137">
        <v>1</v>
      </c>
      <c r="VLM6" s="137">
        <v>167.32</v>
      </c>
      <c r="VLN6" s="181" t="s">
        <v>817</v>
      </c>
      <c r="VLO6" s="545" t="s">
        <v>816</v>
      </c>
      <c r="VLP6" s="545"/>
      <c r="VLQ6" s="545"/>
      <c r="VLR6" s="545"/>
      <c r="VLS6" s="136" t="s">
        <v>168</v>
      </c>
      <c r="VLT6" s="137">
        <v>1</v>
      </c>
      <c r="VLU6" s="137">
        <v>167.32</v>
      </c>
      <c r="VLV6" s="181" t="s">
        <v>817</v>
      </c>
      <c r="VLW6" s="545" t="s">
        <v>816</v>
      </c>
      <c r="VLX6" s="545"/>
      <c r="VLY6" s="545"/>
      <c r="VLZ6" s="545"/>
      <c r="VMA6" s="136" t="s">
        <v>168</v>
      </c>
      <c r="VMB6" s="137">
        <v>1</v>
      </c>
      <c r="VMC6" s="137">
        <v>167.32</v>
      </c>
      <c r="VMD6" s="181" t="s">
        <v>817</v>
      </c>
      <c r="VME6" s="545" t="s">
        <v>816</v>
      </c>
      <c r="VMF6" s="545"/>
      <c r="VMG6" s="545"/>
      <c r="VMH6" s="545"/>
      <c r="VMI6" s="136" t="s">
        <v>168</v>
      </c>
      <c r="VMJ6" s="137">
        <v>1</v>
      </c>
      <c r="VMK6" s="137">
        <v>167.32</v>
      </c>
      <c r="VML6" s="181" t="s">
        <v>817</v>
      </c>
      <c r="VMM6" s="545" t="s">
        <v>816</v>
      </c>
      <c r="VMN6" s="545"/>
      <c r="VMO6" s="545"/>
      <c r="VMP6" s="545"/>
      <c r="VMQ6" s="136" t="s">
        <v>168</v>
      </c>
      <c r="VMR6" s="137">
        <v>1</v>
      </c>
      <c r="VMS6" s="137">
        <v>167.32</v>
      </c>
      <c r="VMT6" s="181" t="s">
        <v>817</v>
      </c>
      <c r="VMU6" s="545" t="s">
        <v>816</v>
      </c>
      <c r="VMV6" s="545"/>
      <c r="VMW6" s="545"/>
      <c r="VMX6" s="545"/>
      <c r="VMY6" s="136" t="s">
        <v>168</v>
      </c>
      <c r="VMZ6" s="137">
        <v>1</v>
      </c>
      <c r="VNA6" s="137">
        <v>167.32</v>
      </c>
      <c r="VNB6" s="181" t="s">
        <v>817</v>
      </c>
      <c r="VNC6" s="545" t="s">
        <v>816</v>
      </c>
      <c r="VND6" s="545"/>
      <c r="VNE6" s="545"/>
      <c r="VNF6" s="545"/>
      <c r="VNG6" s="136" t="s">
        <v>168</v>
      </c>
      <c r="VNH6" s="137">
        <v>1</v>
      </c>
      <c r="VNI6" s="137">
        <v>167.32</v>
      </c>
      <c r="VNJ6" s="181" t="s">
        <v>817</v>
      </c>
      <c r="VNK6" s="545" t="s">
        <v>816</v>
      </c>
      <c r="VNL6" s="545"/>
      <c r="VNM6" s="545"/>
      <c r="VNN6" s="545"/>
      <c r="VNO6" s="136" t="s">
        <v>168</v>
      </c>
      <c r="VNP6" s="137">
        <v>1</v>
      </c>
      <c r="VNQ6" s="137">
        <v>167.32</v>
      </c>
      <c r="VNR6" s="181" t="s">
        <v>817</v>
      </c>
      <c r="VNS6" s="545" t="s">
        <v>816</v>
      </c>
      <c r="VNT6" s="545"/>
      <c r="VNU6" s="545"/>
      <c r="VNV6" s="545"/>
      <c r="VNW6" s="136" t="s">
        <v>168</v>
      </c>
      <c r="VNX6" s="137">
        <v>1</v>
      </c>
      <c r="VNY6" s="137">
        <v>167.32</v>
      </c>
      <c r="VNZ6" s="181" t="s">
        <v>817</v>
      </c>
      <c r="VOA6" s="545" t="s">
        <v>816</v>
      </c>
      <c r="VOB6" s="545"/>
      <c r="VOC6" s="545"/>
      <c r="VOD6" s="545"/>
      <c r="VOE6" s="136" t="s">
        <v>168</v>
      </c>
      <c r="VOF6" s="137">
        <v>1</v>
      </c>
      <c r="VOG6" s="137">
        <v>167.32</v>
      </c>
      <c r="VOH6" s="181" t="s">
        <v>817</v>
      </c>
      <c r="VOI6" s="545" t="s">
        <v>816</v>
      </c>
      <c r="VOJ6" s="545"/>
      <c r="VOK6" s="545"/>
      <c r="VOL6" s="545"/>
      <c r="VOM6" s="136" t="s">
        <v>168</v>
      </c>
      <c r="VON6" s="137">
        <v>1</v>
      </c>
      <c r="VOO6" s="137">
        <v>167.32</v>
      </c>
      <c r="VOP6" s="181" t="s">
        <v>817</v>
      </c>
      <c r="VOQ6" s="545" t="s">
        <v>816</v>
      </c>
      <c r="VOR6" s="545"/>
      <c r="VOS6" s="545"/>
      <c r="VOT6" s="545"/>
      <c r="VOU6" s="136" t="s">
        <v>168</v>
      </c>
      <c r="VOV6" s="137">
        <v>1</v>
      </c>
      <c r="VOW6" s="137">
        <v>167.32</v>
      </c>
      <c r="VOX6" s="181" t="s">
        <v>817</v>
      </c>
      <c r="VOY6" s="545" t="s">
        <v>816</v>
      </c>
      <c r="VOZ6" s="545"/>
      <c r="VPA6" s="545"/>
      <c r="VPB6" s="545"/>
      <c r="VPC6" s="136" t="s">
        <v>168</v>
      </c>
      <c r="VPD6" s="137">
        <v>1</v>
      </c>
      <c r="VPE6" s="137">
        <v>167.32</v>
      </c>
      <c r="VPF6" s="181" t="s">
        <v>817</v>
      </c>
      <c r="VPG6" s="545" t="s">
        <v>816</v>
      </c>
      <c r="VPH6" s="545"/>
      <c r="VPI6" s="545"/>
      <c r="VPJ6" s="545"/>
      <c r="VPK6" s="136" t="s">
        <v>168</v>
      </c>
      <c r="VPL6" s="137">
        <v>1</v>
      </c>
      <c r="VPM6" s="137">
        <v>167.32</v>
      </c>
      <c r="VPN6" s="181" t="s">
        <v>817</v>
      </c>
      <c r="VPO6" s="545" t="s">
        <v>816</v>
      </c>
      <c r="VPP6" s="545"/>
      <c r="VPQ6" s="545"/>
      <c r="VPR6" s="545"/>
      <c r="VPS6" s="136" t="s">
        <v>168</v>
      </c>
      <c r="VPT6" s="137">
        <v>1</v>
      </c>
      <c r="VPU6" s="137">
        <v>167.32</v>
      </c>
      <c r="VPV6" s="181" t="s">
        <v>817</v>
      </c>
      <c r="VPW6" s="545" t="s">
        <v>816</v>
      </c>
      <c r="VPX6" s="545"/>
      <c r="VPY6" s="545"/>
      <c r="VPZ6" s="545"/>
      <c r="VQA6" s="136" t="s">
        <v>168</v>
      </c>
      <c r="VQB6" s="137">
        <v>1</v>
      </c>
      <c r="VQC6" s="137">
        <v>167.32</v>
      </c>
      <c r="VQD6" s="181" t="s">
        <v>817</v>
      </c>
      <c r="VQE6" s="545" t="s">
        <v>816</v>
      </c>
      <c r="VQF6" s="545"/>
      <c r="VQG6" s="545"/>
      <c r="VQH6" s="545"/>
      <c r="VQI6" s="136" t="s">
        <v>168</v>
      </c>
      <c r="VQJ6" s="137">
        <v>1</v>
      </c>
      <c r="VQK6" s="137">
        <v>167.32</v>
      </c>
      <c r="VQL6" s="181" t="s">
        <v>817</v>
      </c>
      <c r="VQM6" s="545" t="s">
        <v>816</v>
      </c>
      <c r="VQN6" s="545"/>
      <c r="VQO6" s="545"/>
      <c r="VQP6" s="545"/>
      <c r="VQQ6" s="136" t="s">
        <v>168</v>
      </c>
      <c r="VQR6" s="137">
        <v>1</v>
      </c>
      <c r="VQS6" s="137">
        <v>167.32</v>
      </c>
      <c r="VQT6" s="181" t="s">
        <v>817</v>
      </c>
      <c r="VQU6" s="545" t="s">
        <v>816</v>
      </c>
      <c r="VQV6" s="545"/>
      <c r="VQW6" s="545"/>
      <c r="VQX6" s="545"/>
      <c r="VQY6" s="136" t="s">
        <v>168</v>
      </c>
      <c r="VQZ6" s="137">
        <v>1</v>
      </c>
      <c r="VRA6" s="137">
        <v>167.32</v>
      </c>
      <c r="VRB6" s="181" t="s">
        <v>817</v>
      </c>
      <c r="VRC6" s="545" t="s">
        <v>816</v>
      </c>
      <c r="VRD6" s="545"/>
      <c r="VRE6" s="545"/>
      <c r="VRF6" s="545"/>
      <c r="VRG6" s="136" t="s">
        <v>168</v>
      </c>
      <c r="VRH6" s="137">
        <v>1</v>
      </c>
      <c r="VRI6" s="137">
        <v>167.32</v>
      </c>
      <c r="VRJ6" s="181" t="s">
        <v>817</v>
      </c>
      <c r="VRK6" s="545" t="s">
        <v>816</v>
      </c>
      <c r="VRL6" s="545"/>
      <c r="VRM6" s="545"/>
      <c r="VRN6" s="545"/>
      <c r="VRO6" s="136" t="s">
        <v>168</v>
      </c>
      <c r="VRP6" s="137">
        <v>1</v>
      </c>
      <c r="VRQ6" s="137">
        <v>167.32</v>
      </c>
      <c r="VRR6" s="181" t="s">
        <v>817</v>
      </c>
      <c r="VRS6" s="545" t="s">
        <v>816</v>
      </c>
      <c r="VRT6" s="545"/>
      <c r="VRU6" s="545"/>
      <c r="VRV6" s="545"/>
      <c r="VRW6" s="136" t="s">
        <v>168</v>
      </c>
      <c r="VRX6" s="137">
        <v>1</v>
      </c>
      <c r="VRY6" s="137">
        <v>167.32</v>
      </c>
      <c r="VRZ6" s="181" t="s">
        <v>817</v>
      </c>
      <c r="VSA6" s="545" t="s">
        <v>816</v>
      </c>
      <c r="VSB6" s="545"/>
      <c r="VSC6" s="545"/>
      <c r="VSD6" s="545"/>
      <c r="VSE6" s="136" t="s">
        <v>168</v>
      </c>
      <c r="VSF6" s="137">
        <v>1</v>
      </c>
      <c r="VSG6" s="137">
        <v>167.32</v>
      </c>
      <c r="VSH6" s="181" t="s">
        <v>817</v>
      </c>
      <c r="VSI6" s="545" t="s">
        <v>816</v>
      </c>
      <c r="VSJ6" s="545"/>
      <c r="VSK6" s="545"/>
      <c r="VSL6" s="545"/>
      <c r="VSM6" s="136" t="s">
        <v>168</v>
      </c>
      <c r="VSN6" s="137">
        <v>1</v>
      </c>
      <c r="VSO6" s="137">
        <v>167.32</v>
      </c>
      <c r="VSP6" s="181" t="s">
        <v>817</v>
      </c>
      <c r="VSQ6" s="545" t="s">
        <v>816</v>
      </c>
      <c r="VSR6" s="545"/>
      <c r="VSS6" s="545"/>
      <c r="VST6" s="545"/>
      <c r="VSU6" s="136" t="s">
        <v>168</v>
      </c>
      <c r="VSV6" s="137">
        <v>1</v>
      </c>
      <c r="VSW6" s="137">
        <v>167.32</v>
      </c>
      <c r="VSX6" s="181" t="s">
        <v>817</v>
      </c>
      <c r="VSY6" s="545" t="s">
        <v>816</v>
      </c>
      <c r="VSZ6" s="545"/>
      <c r="VTA6" s="545"/>
      <c r="VTB6" s="545"/>
      <c r="VTC6" s="136" t="s">
        <v>168</v>
      </c>
      <c r="VTD6" s="137">
        <v>1</v>
      </c>
      <c r="VTE6" s="137">
        <v>167.32</v>
      </c>
      <c r="VTF6" s="181" t="s">
        <v>817</v>
      </c>
      <c r="VTG6" s="545" t="s">
        <v>816</v>
      </c>
      <c r="VTH6" s="545"/>
      <c r="VTI6" s="545"/>
      <c r="VTJ6" s="545"/>
      <c r="VTK6" s="136" t="s">
        <v>168</v>
      </c>
      <c r="VTL6" s="137">
        <v>1</v>
      </c>
      <c r="VTM6" s="137">
        <v>167.32</v>
      </c>
      <c r="VTN6" s="181" t="s">
        <v>817</v>
      </c>
      <c r="VTO6" s="545" t="s">
        <v>816</v>
      </c>
      <c r="VTP6" s="545"/>
      <c r="VTQ6" s="545"/>
      <c r="VTR6" s="545"/>
      <c r="VTS6" s="136" t="s">
        <v>168</v>
      </c>
      <c r="VTT6" s="137">
        <v>1</v>
      </c>
      <c r="VTU6" s="137">
        <v>167.32</v>
      </c>
      <c r="VTV6" s="181" t="s">
        <v>817</v>
      </c>
      <c r="VTW6" s="545" t="s">
        <v>816</v>
      </c>
      <c r="VTX6" s="545"/>
      <c r="VTY6" s="545"/>
      <c r="VTZ6" s="545"/>
      <c r="VUA6" s="136" t="s">
        <v>168</v>
      </c>
      <c r="VUB6" s="137">
        <v>1</v>
      </c>
      <c r="VUC6" s="137">
        <v>167.32</v>
      </c>
      <c r="VUD6" s="181" t="s">
        <v>817</v>
      </c>
      <c r="VUE6" s="545" t="s">
        <v>816</v>
      </c>
      <c r="VUF6" s="545"/>
      <c r="VUG6" s="545"/>
      <c r="VUH6" s="545"/>
      <c r="VUI6" s="136" t="s">
        <v>168</v>
      </c>
      <c r="VUJ6" s="137">
        <v>1</v>
      </c>
      <c r="VUK6" s="137">
        <v>167.32</v>
      </c>
      <c r="VUL6" s="181" t="s">
        <v>817</v>
      </c>
      <c r="VUM6" s="545" t="s">
        <v>816</v>
      </c>
      <c r="VUN6" s="545"/>
      <c r="VUO6" s="545"/>
      <c r="VUP6" s="545"/>
      <c r="VUQ6" s="136" t="s">
        <v>168</v>
      </c>
      <c r="VUR6" s="137">
        <v>1</v>
      </c>
      <c r="VUS6" s="137">
        <v>167.32</v>
      </c>
      <c r="VUT6" s="181" t="s">
        <v>817</v>
      </c>
      <c r="VUU6" s="545" t="s">
        <v>816</v>
      </c>
      <c r="VUV6" s="545"/>
      <c r="VUW6" s="545"/>
      <c r="VUX6" s="545"/>
      <c r="VUY6" s="136" t="s">
        <v>168</v>
      </c>
      <c r="VUZ6" s="137">
        <v>1</v>
      </c>
      <c r="VVA6" s="137">
        <v>167.32</v>
      </c>
      <c r="VVB6" s="181" t="s">
        <v>817</v>
      </c>
      <c r="VVC6" s="545" t="s">
        <v>816</v>
      </c>
      <c r="VVD6" s="545"/>
      <c r="VVE6" s="545"/>
      <c r="VVF6" s="545"/>
      <c r="VVG6" s="136" t="s">
        <v>168</v>
      </c>
      <c r="VVH6" s="137">
        <v>1</v>
      </c>
      <c r="VVI6" s="137">
        <v>167.32</v>
      </c>
      <c r="VVJ6" s="181" t="s">
        <v>817</v>
      </c>
      <c r="VVK6" s="545" t="s">
        <v>816</v>
      </c>
      <c r="VVL6" s="545"/>
      <c r="VVM6" s="545"/>
      <c r="VVN6" s="545"/>
      <c r="VVO6" s="136" t="s">
        <v>168</v>
      </c>
      <c r="VVP6" s="137">
        <v>1</v>
      </c>
      <c r="VVQ6" s="137">
        <v>167.32</v>
      </c>
      <c r="VVR6" s="181" t="s">
        <v>817</v>
      </c>
      <c r="VVS6" s="545" t="s">
        <v>816</v>
      </c>
      <c r="VVT6" s="545"/>
      <c r="VVU6" s="545"/>
      <c r="VVV6" s="545"/>
      <c r="VVW6" s="136" t="s">
        <v>168</v>
      </c>
      <c r="VVX6" s="137">
        <v>1</v>
      </c>
      <c r="VVY6" s="137">
        <v>167.32</v>
      </c>
      <c r="VVZ6" s="181" t="s">
        <v>817</v>
      </c>
      <c r="VWA6" s="545" t="s">
        <v>816</v>
      </c>
      <c r="VWB6" s="545"/>
      <c r="VWC6" s="545"/>
      <c r="VWD6" s="545"/>
      <c r="VWE6" s="136" t="s">
        <v>168</v>
      </c>
      <c r="VWF6" s="137">
        <v>1</v>
      </c>
      <c r="VWG6" s="137">
        <v>167.32</v>
      </c>
      <c r="VWH6" s="181" t="s">
        <v>817</v>
      </c>
      <c r="VWI6" s="545" t="s">
        <v>816</v>
      </c>
      <c r="VWJ6" s="545"/>
      <c r="VWK6" s="545"/>
      <c r="VWL6" s="545"/>
      <c r="VWM6" s="136" t="s">
        <v>168</v>
      </c>
      <c r="VWN6" s="137">
        <v>1</v>
      </c>
      <c r="VWO6" s="137">
        <v>167.32</v>
      </c>
      <c r="VWP6" s="181" t="s">
        <v>817</v>
      </c>
      <c r="VWQ6" s="545" t="s">
        <v>816</v>
      </c>
      <c r="VWR6" s="545"/>
      <c r="VWS6" s="545"/>
      <c r="VWT6" s="545"/>
      <c r="VWU6" s="136" t="s">
        <v>168</v>
      </c>
      <c r="VWV6" s="137">
        <v>1</v>
      </c>
      <c r="VWW6" s="137">
        <v>167.32</v>
      </c>
      <c r="VWX6" s="181" t="s">
        <v>817</v>
      </c>
      <c r="VWY6" s="545" t="s">
        <v>816</v>
      </c>
      <c r="VWZ6" s="545"/>
      <c r="VXA6" s="545"/>
      <c r="VXB6" s="545"/>
      <c r="VXC6" s="136" t="s">
        <v>168</v>
      </c>
      <c r="VXD6" s="137">
        <v>1</v>
      </c>
      <c r="VXE6" s="137">
        <v>167.32</v>
      </c>
      <c r="VXF6" s="181" t="s">
        <v>817</v>
      </c>
      <c r="VXG6" s="545" t="s">
        <v>816</v>
      </c>
      <c r="VXH6" s="545"/>
      <c r="VXI6" s="545"/>
      <c r="VXJ6" s="545"/>
      <c r="VXK6" s="136" t="s">
        <v>168</v>
      </c>
      <c r="VXL6" s="137">
        <v>1</v>
      </c>
      <c r="VXM6" s="137">
        <v>167.32</v>
      </c>
      <c r="VXN6" s="181" t="s">
        <v>817</v>
      </c>
      <c r="VXO6" s="545" t="s">
        <v>816</v>
      </c>
      <c r="VXP6" s="545"/>
      <c r="VXQ6" s="545"/>
      <c r="VXR6" s="545"/>
      <c r="VXS6" s="136" t="s">
        <v>168</v>
      </c>
      <c r="VXT6" s="137">
        <v>1</v>
      </c>
      <c r="VXU6" s="137">
        <v>167.32</v>
      </c>
      <c r="VXV6" s="181" t="s">
        <v>817</v>
      </c>
      <c r="VXW6" s="545" t="s">
        <v>816</v>
      </c>
      <c r="VXX6" s="545"/>
      <c r="VXY6" s="545"/>
      <c r="VXZ6" s="545"/>
      <c r="VYA6" s="136" t="s">
        <v>168</v>
      </c>
      <c r="VYB6" s="137">
        <v>1</v>
      </c>
      <c r="VYC6" s="137">
        <v>167.32</v>
      </c>
      <c r="VYD6" s="181" t="s">
        <v>817</v>
      </c>
      <c r="VYE6" s="545" t="s">
        <v>816</v>
      </c>
      <c r="VYF6" s="545"/>
      <c r="VYG6" s="545"/>
      <c r="VYH6" s="545"/>
      <c r="VYI6" s="136" t="s">
        <v>168</v>
      </c>
      <c r="VYJ6" s="137">
        <v>1</v>
      </c>
      <c r="VYK6" s="137">
        <v>167.32</v>
      </c>
      <c r="VYL6" s="181" t="s">
        <v>817</v>
      </c>
      <c r="VYM6" s="545" t="s">
        <v>816</v>
      </c>
      <c r="VYN6" s="545"/>
      <c r="VYO6" s="545"/>
      <c r="VYP6" s="545"/>
      <c r="VYQ6" s="136" t="s">
        <v>168</v>
      </c>
      <c r="VYR6" s="137">
        <v>1</v>
      </c>
      <c r="VYS6" s="137">
        <v>167.32</v>
      </c>
      <c r="VYT6" s="181" t="s">
        <v>817</v>
      </c>
      <c r="VYU6" s="545" t="s">
        <v>816</v>
      </c>
      <c r="VYV6" s="545"/>
      <c r="VYW6" s="545"/>
      <c r="VYX6" s="545"/>
      <c r="VYY6" s="136" t="s">
        <v>168</v>
      </c>
      <c r="VYZ6" s="137">
        <v>1</v>
      </c>
      <c r="VZA6" s="137">
        <v>167.32</v>
      </c>
      <c r="VZB6" s="181" t="s">
        <v>817</v>
      </c>
      <c r="VZC6" s="545" t="s">
        <v>816</v>
      </c>
      <c r="VZD6" s="545"/>
      <c r="VZE6" s="545"/>
      <c r="VZF6" s="545"/>
      <c r="VZG6" s="136" t="s">
        <v>168</v>
      </c>
      <c r="VZH6" s="137">
        <v>1</v>
      </c>
      <c r="VZI6" s="137">
        <v>167.32</v>
      </c>
      <c r="VZJ6" s="181" t="s">
        <v>817</v>
      </c>
      <c r="VZK6" s="545" t="s">
        <v>816</v>
      </c>
      <c r="VZL6" s="545"/>
      <c r="VZM6" s="545"/>
      <c r="VZN6" s="545"/>
      <c r="VZO6" s="136" t="s">
        <v>168</v>
      </c>
      <c r="VZP6" s="137">
        <v>1</v>
      </c>
      <c r="VZQ6" s="137">
        <v>167.32</v>
      </c>
      <c r="VZR6" s="181" t="s">
        <v>817</v>
      </c>
      <c r="VZS6" s="545" t="s">
        <v>816</v>
      </c>
      <c r="VZT6" s="545"/>
      <c r="VZU6" s="545"/>
      <c r="VZV6" s="545"/>
      <c r="VZW6" s="136" t="s">
        <v>168</v>
      </c>
      <c r="VZX6" s="137">
        <v>1</v>
      </c>
      <c r="VZY6" s="137">
        <v>167.32</v>
      </c>
      <c r="VZZ6" s="181" t="s">
        <v>817</v>
      </c>
      <c r="WAA6" s="545" t="s">
        <v>816</v>
      </c>
      <c r="WAB6" s="545"/>
      <c r="WAC6" s="545"/>
      <c r="WAD6" s="545"/>
      <c r="WAE6" s="136" t="s">
        <v>168</v>
      </c>
      <c r="WAF6" s="137">
        <v>1</v>
      </c>
      <c r="WAG6" s="137">
        <v>167.32</v>
      </c>
      <c r="WAH6" s="181" t="s">
        <v>817</v>
      </c>
      <c r="WAI6" s="545" t="s">
        <v>816</v>
      </c>
      <c r="WAJ6" s="545"/>
      <c r="WAK6" s="545"/>
      <c r="WAL6" s="545"/>
      <c r="WAM6" s="136" t="s">
        <v>168</v>
      </c>
      <c r="WAN6" s="137">
        <v>1</v>
      </c>
      <c r="WAO6" s="137">
        <v>167.32</v>
      </c>
      <c r="WAP6" s="181" t="s">
        <v>817</v>
      </c>
      <c r="WAQ6" s="545" t="s">
        <v>816</v>
      </c>
      <c r="WAR6" s="545"/>
      <c r="WAS6" s="545"/>
      <c r="WAT6" s="545"/>
      <c r="WAU6" s="136" t="s">
        <v>168</v>
      </c>
      <c r="WAV6" s="137">
        <v>1</v>
      </c>
      <c r="WAW6" s="137">
        <v>167.32</v>
      </c>
      <c r="WAX6" s="181" t="s">
        <v>817</v>
      </c>
      <c r="WAY6" s="545" t="s">
        <v>816</v>
      </c>
      <c r="WAZ6" s="545"/>
      <c r="WBA6" s="545"/>
      <c r="WBB6" s="545"/>
      <c r="WBC6" s="136" t="s">
        <v>168</v>
      </c>
      <c r="WBD6" s="137">
        <v>1</v>
      </c>
      <c r="WBE6" s="137">
        <v>167.32</v>
      </c>
      <c r="WBF6" s="181" t="s">
        <v>817</v>
      </c>
      <c r="WBG6" s="545" t="s">
        <v>816</v>
      </c>
      <c r="WBH6" s="545"/>
      <c r="WBI6" s="545"/>
      <c r="WBJ6" s="545"/>
      <c r="WBK6" s="136" t="s">
        <v>168</v>
      </c>
      <c r="WBL6" s="137">
        <v>1</v>
      </c>
      <c r="WBM6" s="137">
        <v>167.32</v>
      </c>
      <c r="WBN6" s="181" t="s">
        <v>817</v>
      </c>
      <c r="WBO6" s="545" t="s">
        <v>816</v>
      </c>
      <c r="WBP6" s="545"/>
      <c r="WBQ6" s="545"/>
      <c r="WBR6" s="545"/>
      <c r="WBS6" s="136" t="s">
        <v>168</v>
      </c>
      <c r="WBT6" s="137">
        <v>1</v>
      </c>
      <c r="WBU6" s="137">
        <v>167.32</v>
      </c>
      <c r="WBV6" s="181" t="s">
        <v>817</v>
      </c>
      <c r="WBW6" s="545" t="s">
        <v>816</v>
      </c>
      <c r="WBX6" s="545"/>
      <c r="WBY6" s="545"/>
      <c r="WBZ6" s="545"/>
      <c r="WCA6" s="136" t="s">
        <v>168</v>
      </c>
      <c r="WCB6" s="137">
        <v>1</v>
      </c>
      <c r="WCC6" s="137">
        <v>167.32</v>
      </c>
      <c r="WCD6" s="181" t="s">
        <v>817</v>
      </c>
      <c r="WCE6" s="545" t="s">
        <v>816</v>
      </c>
      <c r="WCF6" s="545"/>
      <c r="WCG6" s="545"/>
      <c r="WCH6" s="545"/>
      <c r="WCI6" s="136" t="s">
        <v>168</v>
      </c>
      <c r="WCJ6" s="137">
        <v>1</v>
      </c>
      <c r="WCK6" s="137">
        <v>167.32</v>
      </c>
      <c r="WCL6" s="181" t="s">
        <v>817</v>
      </c>
      <c r="WCM6" s="545" t="s">
        <v>816</v>
      </c>
      <c r="WCN6" s="545"/>
      <c r="WCO6" s="545"/>
      <c r="WCP6" s="545"/>
      <c r="WCQ6" s="136" t="s">
        <v>168</v>
      </c>
      <c r="WCR6" s="137">
        <v>1</v>
      </c>
      <c r="WCS6" s="137">
        <v>167.32</v>
      </c>
      <c r="WCT6" s="181" t="s">
        <v>817</v>
      </c>
      <c r="WCU6" s="545" t="s">
        <v>816</v>
      </c>
      <c r="WCV6" s="545"/>
      <c r="WCW6" s="545"/>
      <c r="WCX6" s="545"/>
      <c r="WCY6" s="136" t="s">
        <v>168</v>
      </c>
      <c r="WCZ6" s="137">
        <v>1</v>
      </c>
      <c r="WDA6" s="137">
        <v>167.32</v>
      </c>
      <c r="WDB6" s="181" t="s">
        <v>817</v>
      </c>
      <c r="WDC6" s="545" t="s">
        <v>816</v>
      </c>
      <c r="WDD6" s="545"/>
      <c r="WDE6" s="545"/>
      <c r="WDF6" s="545"/>
      <c r="WDG6" s="136" t="s">
        <v>168</v>
      </c>
      <c r="WDH6" s="137">
        <v>1</v>
      </c>
      <c r="WDI6" s="137">
        <v>167.32</v>
      </c>
      <c r="WDJ6" s="181" t="s">
        <v>817</v>
      </c>
      <c r="WDK6" s="545" t="s">
        <v>816</v>
      </c>
      <c r="WDL6" s="545"/>
      <c r="WDM6" s="545"/>
      <c r="WDN6" s="545"/>
      <c r="WDO6" s="136" t="s">
        <v>168</v>
      </c>
      <c r="WDP6" s="137">
        <v>1</v>
      </c>
      <c r="WDQ6" s="137">
        <v>167.32</v>
      </c>
      <c r="WDR6" s="181" t="s">
        <v>817</v>
      </c>
      <c r="WDS6" s="545" t="s">
        <v>816</v>
      </c>
      <c r="WDT6" s="545"/>
      <c r="WDU6" s="545"/>
      <c r="WDV6" s="545"/>
      <c r="WDW6" s="136" t="s">
        <v>168</v>
      </c>
      <c r="WDX6" s="137">
        <v>1</v>
      </c>
      <c r="WDY6" s="137">
        <v>167.32</v>
      </c>
      <c r="WDZ6" s="181" t="s">
        <v>817</v>
      </c>
      <c r="WEA6" s="545" t="s">
        <v>816</v>
      </c>
      <c r="WEB6" s="545"/>
      <c r="WEC6" s="545"/>
      <c r="WED6" s="545"/>
      <c r="WEE6" s="136" t="s">
        <v>168</v>
      </c>
      <c r="WEF6" s="137">
        <v>1</v>
      </c>
      <c r="WEG6" s="137">
        <v>167.32</v>
      </c>
      <c r="WEH6" s="181" t="s">
        <v>817</v>
      </c>
      <c r="WEI6" s="545" t="s">
        <v>816</v>
      </c>
      <c r="WEJ6" s="545"/>
      <c r="WEK6" s="545"/>
      <c r="WEL6" s="545"/>
      <c r="WEM6" s="136" t="s">
        <v>168</v>
      </c>
      <c r="WEN6" s="137">
        <v>1</v>
      </c>
      <c r="WEO6" s="137">
        <v>167.32</v>
      </c>
      <c r="WEP6" s="181" t="s">
        <v>817</v>
      </c>
      <c r="WEQ6" s="545" t="s">
        <v>816</v>
      </c>
      <c r="WER6" s="545"/>
      <c r="WES6" s="545"/>
      <c r="WET6" s="545"/>
      <c r="WEU6" s="136" t="s">
        <v>168</v>
      </c>
      <c r="WEV6" s="137">
        <v>1</v>
      </c>
      <c r="WEW6" s="137">
        <v>167.32</v>
      </c>
      <c r="WEX6" s="181" t="s">
        <v>817</v>
      </c>
      <c r="WEY6" s="545" t="s">
        <v>816</v>
      </c>
      <c r="WEZ6" s="545"/>
      <c r="WFA6" s="545"/>
      <c r="WFB6" s="545"/>
      <c r="WFC6" s="136" t="s">
        <v>168</v>
      </c>
      <c r="WFD6" s="137">
        <v>1</v>
      </c>
      <c r="WFE6" s="137">
        <v>167.32</v>
      </c>
      <c r="WFF6" s="181" t="s">
        <v>817</v>
      </c>
      <c r="WFG6" s="545" t="s">
        <v>816</v>
      </c>
      <c r="WFH6" s="545"/>
      <c r="WFI6" s="545"/>
      <c r="WFJ6" s="545"/>
      <c r="WFK6" s="136" t="s">
        <v>168</v>
      </c>
      <c r="WFL6" s="137">
        <v>1</v>
      </c>
      <c r="WFM6" s="137">
        <v>167.32</v>
      </c>
      <c r="WFN6" s="181" t="s">
        <v>817</v>
      </c>
      <c r="WFO6" s="545" t="s">
        <v>816</v>
      </c>
      <c r="WFP6" s="545"/>
      <c r="WFQ6" s="545"/>
      <c r="WFR6" s="545"/>
      <c r="WFS6" s="136" t="s">
        <v>168</v>
      </c>
      <c r="WFT6" s="137">
        <v>1</v>
      </c>
      <c r="WFU6" s="137">
        <v>167.32</v>
      </c>
      <c r="WFV6" s="181" t="s">
        <v>817</v>
      </c>
      <c r="WFW6" s="545" t="s">
        <v>816</v>
      </c>
      <c r="WFX6" s="545"/>
      <c r="WFY6" s="545"/>
      <c r="WFZ6" s="545"/>
      <c r="WGA6" s="136" t="s">
        <v>168</v>
      </c>
      <c r="WGB6" s="137">
        <v>1</v>
      </c>
      <c r="WGC6" s="137">
        <v>167.32</v>
      </c>
      <c r="WGD6" s="181" t="s">
        <v>817</v>
      </c>
      <c r="WGE6" s="545" t="s">
        <v>816</v>
      </c>
      <c r="WGF6" s="545"/>
      <c r="WGG6" s="545"/>
      <c r="WGH6" s="545"/>
      <c r="WGI6" s="136" t="s">
        <v>168</v>
      </c>
      <c r="WGJ6" s="137">
        <v>1</v>
      </c>
      <c r="WGK6" s="137">
        <v>167.32</v>
      </c>
      <c r="WGL6" s="181" t="s">
        <v>817</v>
      </c>
      <c r="WGM6" s="545" t="s">
        <v>816</v>
      </c>
      <c r="WGN6" s="545"/>
      <c r="WGO6" s="545"/>
      <c r="WGP6" s="545"/>
      <c r="WGQ6" s="136" t="s">
        <v>168</v>
      </c>
      <c r="WGR6" s="137">
        <v>1</v>
      </c>
      <c r="WGS6" s="137">
        <v>167.32</v>
      </c>
      <c r="WGT6" s="181" t="s">
        <v>817</v>
      </c>
      <c r="WGU6" s="545" t="s">
        <v>816</v>
      </c>
      <c r="WGV6" s="545"/>
      <c r="WGW6" s="545"/>
      <c r="WGX6" s="545"/>
      <c r="WGY6" s="136" t="s">
        <v>168</v>
      </c>
      <c r="WGZ6" s="137">
        <v>1</v>
      </c>
      <c r="WHA6" s="137">
        <v>167.32</v>
      </c>
      <c r="WHB6" s="181" t="s">
        <v>817</v>
      </c>
      <c r="WHC6" s="545" t="s">
        <v>816</v>
      </c>
      <c r="WHD6" s="545"/>
      <c r="WHE6" s="545"/>
      <c r="WHF6" s="545"/>
      <c r="WHG6" s="136" t="s">
        <v>168</v>
      </c>
      <c r="WHH6" s="137">
        <v>1</v>
      </c>
      <c r="WHI6" s="137">
        <v>167.32</v>
      </c>
      <c r="WHJ6" s="181" t="s">
        <v>817</v>
      </c>
      <c r="WHK6" s="545" t="s">
        <v>816</v>
      </c>
      <c r="WHL6" s="545"/>
      <c r="WHM6" s="545"/>
      <c r="WHN6" s="545"/>
      <c r="WHO6" s="136" t="s">
        <v>168</v>
      </c>
      <c r="WHP6" s="137">
        <v>1</v>
      </c>
      <c r="WHQ6" s="137">
        <v>167.32</v>
      </c>
      <c r="WHR6" s="181" t="s">
        <v>817</v>
      </c>
      <c r="WHS6" s="545" t="s">
        <v>816</v>
      </c>
      <c r="WHT6" s="545"/>
      <c r="WHU6" s="545"/>
      <c r="WHV6" s="545"/>
      <c r="WHW6" s="136" t="s">
        <v>168</v>
      </c>
      <c r="WHX6" s="137">
        <v>1</v>
      </c>
      <c r="WHY6" s="137">
        <v>167.32</v>
      </c>
      <c r="WHZ6" s="181" t="s">
        <v>817</v>
      </c>
      <c r="WIA6" s="545" t="s">
        <v>816</v>
      </c>
      <c r="WIB6" s="545"/>
      <c r="WIC6" s="545"/>
      <c r="WID6" s="545"/>
      <c r="WIE6" s="136" t="s">
        <v>168</v>
      </c>
      <c r="WIF6" s="137">
        <v>1</v>
      </c>
      <c r="WIG6" s="137">
        <v>167.32</v>
      </c>
      <c r="WIH6" s="181" t="s">
        <v>817</v>
      </c>
      <c r="WII6" s="545" t="s">
        <v>816</v>
      </c>
      <c r="WIJ6" s="545"/>
      <c r="WIK6" s="545"/>
      <c r="WIL6" s="545"/>
      <c r="WIM6" s="136" t="s">
        <v>168</v>
      </c>
      <c r="WIN6" s="137">
        <v>1</v>
      </c>
      <c r="WIO6" s="137">
        <v>167.32</v>
      </c>
      <c r="WIP6" s="181" t="s">
        <v>817</v>
      </c>
      <c r="WIQ6" s="545" t="s">
        <v>816</v>
      </c>
      <c r="WIR6" s="545"/>
      <c r="WIS6" s="545"/>
      <c r="WIT6" s="545"/>
      <c r="WIU6" s="136" t="s">
        <v>168</v>
      </c>
      <c r="WIV6" s="137">
        <v>1</v>
      </c>
      <c r="WIW6" s="137">
        <v>167.32</v>
      </c>
      <c r="WIX6" s="181" t="s">
        <v>817</v>
      </c>
      <c r="WIY6" s="545" t="s">
        <v>816</v>
      </c>
      <c r="WIZ6" s="545"/>
      <c r="WJA6" s="545"/>
      <c r="WJB6" s="545"/>
      <c r="WJC6" s="136" t="s">
        <v>168</v>
      </c>
      <c r="WJD6" s="137">
        <v>1</v>
      </c>
      <c r="WJE6" s="137">
        <v>167.32</v>
      </c>
      <c r="WJF6" s="181" t="s">
        <v>817</v>
      </c>
      <c r="WJG6" s="545" t="s">
        <v>816</v>
      </c>
      <c r="WJH6" s="545"/>
      <c r="WJI6" s="545"/>
      <c r="WJJ6" s="545"/>
      <c r="WJK6" s="136" t="s">
        <v>168</v>
      </c>
      <c r="WJL6" s="137">
        <v>1</v>
      </c>
      <c r="WJM6" s="137">
        <v>167.32</v>
      </c>
      <c r="WJN6" s="181" t="s">
        <v>817</v>
      </c>
      <c r="WJO6" s="545" t="s">
        <v>816</v>
      </c>
      <c r="WJP6" s="545"/>
      <c r="WJQ6" s="545"/>
      <c r="WJR6" s="545"/>
      <c r="WJS6" s="136" t="s">
        <v>168</v>
      </c>
      <c r="WJT6" s="137">
        <v>1</v>
      </c>
      <c r="WJU6" s="137">
        <v>167.32</v>
      </c>
      <c r="WJV6" s="181" t="s">
        <v>817</v>
      </c>
      <c r="WJW6" s="545" t="s">
        <v>816</v>
      </c>
      <c r="WJX6" s="545"/>
      <c r="WJY6" s="545"/>
      <c r="WJZ6" s="545"/>
      <c r="WKA6" s="136" t="s">
        <v>168</v>
      </c>
      <c r="WKB6" s="137">
        <v>1</v>
      </c>
      <c r="WKC6" s="137">
        <v>167.32</v>
      </c>
      <c r="WKD6" s="181" t="s">
        <v>817</v>
      </c>
      <c r="WKE6" s="545" t="s">
        <v>816</v>
      </c>
      <c r="WKF6" s="545"/>
      <c r="WKG6" s="545"/>
      <c r="WKH6" s="545"/>
      <c r="WKI6" s="136" t="s">
        <v>168</v>
      </c>
      <c r="WKJ6" s="137">
        <v>1</v>
      </c>
      <c r="WKK6" s="137">
        <v>167.32</v>
      </c>
      <c r="WKL6" s="181" t="s">
        <v>817</v>
      </c>
      <c r="WKM6" s="545" t="s">
        <v>816</v>
      </c>
      <c r="WKN6" s="545"/>
      <c r="WKO6" s="545"/>
      <c r="WKP6" s="545"/>
      <c r="WKQ6" s="136" t="s">
        <v>168</v>
      </c>
      <c r="WKR6" s="137">
        <v>1</v>
      </c>
      <c r="WKS6" s="137">
        <v>167.32</v>
      </c>
      <c r="WKT6" s="181" t="s">
        <v>817</v>
      </c>
      <c r="WKU6" s="545" t="s">
        <v>816</v>
      </c>
      <c r="WKV6" s="545"/>
      <c r="WKW6" s="545"/>
      <c r="WKX6" s="545"/>
      <c r="WKY6" s="136" t="s">
        <v>168</v>
      </c>
      <c r="WKZ6" s="137">
        <v>1</v>
      </c>
      <c r="WLA6" s="137">
        <v>167.32</v>
      </c>
      <c r="WLB6" s="181" t="s">
        <v>817</v>
      </c>
      <c r="WLC6" s="545" t="s">
        <v>816</v>
      </c>
      <c r="WLD6" s="545"/>
      <c r="WLE6" s="545"/>
      <c r="WLF6" s="545"/>
      <c r="WLG6" s="136" t="s">
        <v>168</v>
      </c>
      <c r="WLH6" s="137">
        <v>1</v>
      </c>
      <c r="WLI6" s="137">
        <v>167.32</v>
      </c>
      <c r="WLJ6" s="181" t="s">
        <v>817</v>
      </c>
      <c r="WLK6" s="545" t="s">
        <v>816</v>
      </c>
      <c r="WLL6" s="545"/>
      <c r="WLM6" s="545"/>
      <c r="WLN6" s="545"/>
      <c r="WLO6" s="136" t="s">
        <v>168</v>
      </c>
      <c r="WLP6" s="137">
        <v>1</v>
      </c>
      <c r="WLQ6" s="137">
        <v>167.32</v>
      </c>
      <c r="WLR6" s="181" t="s">
        <v>817</v>
      </c>
      <c r="WLS6" s="545" t="s">
        <v>816</v>
      </c>
      <c r="WLT6" s="545"/>
      <c r="WLU6" s="545"/>
      <c r="WLV6" s="545"/>
      <c r="WLW6" s="136" t="s">
        <v>168</v>
      </c>
      <c r="WLX6" s="137">
        <v>1</v>
      </c>
      <c r="WLY6" s="137">
        <v>167.32</v>
      </c>
      <c r="WLZ6" s="181" t="s">
        <v>817</v>
      </c>
      <c r="WMA6" s="545" t="s">
        <v>816</v>
      </c>
      <c r="WMB6" s="545"/>
      <c r="WMC6" s="545"/>
      <c r="WMD6" s="545"/>
      <c r="WME6" s="136" t="s">
        <v>168</v>
      </c>
      <c r="WMF6" s="137">
        <v>1</v>
      </c>
      <c r="WMG6" s="137">
        <v>167.32</v>
      </c>
      <c r="WMH6" s="181" t="s">
        <v>817</v>
      </c>
      <c r="WMI6" s="545" t="s">
        <v>816</v>
      </c>
      <c r="WMJ6" s="545"/>
      <c r="WMK6" s="545"/>
      <c r="WML6" s="545"/>
      <c r="WMM6" s="136" t="s">
        <v>168</v>
      </c>
      <c r="WMN6" s="137">
        <v>1</v>
      </c>
      <c r="WMO6" s="137">
        <v>167.32</v>
      </c>
      <c r="WMP6" s="181" t="s">
        <v>817</v>
      </c>
      <c r="WMQ6" s="545" t="s">
        <v>816</v>
      </c>
      <c r="WMR6" s="545"/>
      <c r="WMS6" s="545"/>
      <c r="WMT6" s="545"/>
      <c r="WMU6" s="136" t="s">
        <v>168</v>
      </c>
      <c r="WMV6" s="137">
        <v>1</v>
      </c>
      <c r="WMW6" s="137">
        <v>167.32</v>
      </c>
      <c r="WMX6" s="181" t="s">
        <v>817</v>
      </c>
      <c r="WMY6" s="545" t="s">
        <v>816</v>
      </c>
      <c r="WMZ6" s="545"/>
      <c r="WNA6" s="545"/>
      <c r="WNB6" s="545"/>
      <c r="WNC6" s="136" t="s">
        <v>168</v>
      </c>
      <c r="WND6" s="137">
        <v>1</v>
      </c>
      <c r="WNE6" s="137">
        <v>167.32</v>
      </c>
      <c r="WNF6" s="181" t="s">
        <v>817</v>
      </c>
      <c r="WNG6" s="545" t="s">
        <v>816</v>
      </c>
      <c r="WNH6" s="545"/>
      <c r="WNI6" s="545"/>
      <c r="WNJ6" s="545"/>
      <c r="WNK6" s="136" t="s">
        <v>168</v>
      </c>
      <c r="WNL6" s="137">
        <v>1</v>
      </c>
      <c r="WNM6" s="137">
        <v>167.32</v>
      </c>
      <c r="WNN6" s="181" t="s">
        <v>817</v>
      </c>
      <c r="WNO6" s="545" t="s">
        <v>816</v>
      </c>
      <c r="WNP6" s="545"/>
      <c r="WNQ6" s="545"/>
      <c r="WNR6" s="545"/>
      <c r="WNS6" s="136" t="s">
        <v>168</v>
      </c>
      <c r="WNT6" s="137">
        <v>1</v>
      </c>
      <c r="WNU6" s="137">
        <v>167.32</v>
      </c>
      <c r="WNV6" s="181" t="s">
        <v>817</v>
      </c>
      <c r="WNW6" s="545" t="s">
        <v>816</v>
      </c>
      <c r="WNX6" s="545"/>
      <c r="WNY6" s="545"/>
      <c r="WNZ6" s="545"/>
      <c r="WOA6" s="136" t="s">
        <v>168</v>
      </c>
      <c r="WOB6" s="137">
        <v>1</v>
      </c>
      <c r="WOC6" s="137">
        <v>167.32</v>
      </c>
      <c r="WOD6" s="181" t="s">
        <v>817</v>
      </c>
      <c r="WOE6" s="545" t="s">
        <v>816</v>
      </c>
      <c r="WOF6" s="545"/>
      <c r="WOG6" s="545"/>
      <c r="WOH6" s="545"/>
      <c r="WOI6" s="136" t="s">
        <v>168</v>
      </c>
      <c r="WOJ6" s="137">
        <v>1</v>
      </c>
      <c r="WOK6" s="137">
        <v>167.32</v>
      </c>
      <c r="WOL6" s="181" t="s">
        <v>817</v>
      </c>
      <c r="WOM6" s="545" t="s">
        <v>816</v>
      </c>
      <c r="WON6" s="545"/>
      <c r="WOO6" s="545"/>
      <c r="WOP6" s="545"/>
      <c r="WOQ6" s="136" t="s">
        <v>168</v>
      </c>
      <c r="WOR6" s="137">
        <v>1</v>
      </c>
      <c r="WOS6" s="137">
        <v>167.32</v>
      </c>
      <c r="WOT6" s="181" t="s">
        <v>817</v>
      </c>
      <c r="WOU6" s="545" t="s">
        <v>816</v>
      </c>
      <c r="WOV6" s="545"/>
      <c r="WOW6" s="545"/>
      <c r="WOX6" s="545"/>
      <c r="WOY6" s="136" t="s">
        <v>168</v>
      </c>
      <c r="WOZ6" s="137">
        <v>1</v>
      </c>
      <c r="WPA6" s="137">
        <v>167.32</v>
      </c>
      <c r="WPB6" s="181" t="s">
        <v>817</v>
      </c>
      <c r="WPC6" s="545" t="s">
        <v>816</v>
      </c>
      <c r="WPD6" s="545"/>
      <c r="WPE6" s="545"/>
      <c r="WPF6" s="545"/>
      <c r="WPG6" s="136" t="s">
        <v>168</v>
      </c>
      <c r="WPH6" s="137">
        <v>1</v>
      </c>
      <c r="WPI6" s="137">
        <v>167.32</v>
      </c>
      <c r="WPJ6" s="181" t="s">
        <v>817</v>
      </c>
      <c r="WPK6" s="545" t="s">
        <v>816</v>
      </c>
      <c r="WPL6" s="545"/>
      <c r="WPM6" s="545"/>
      <c r="WPN6" s="545"/>
      <c r="WPO6" s="136" t="s">
        <v>168</v>
      </c>
      <c r="WPP6" s="137">
        <v>1</v>
      </c>
      <c r="WPQ6" s="137">
        <v>167.32</v>
      </c>
      <c r="WPR6" s="181" t="s">
        <v>817</v>
      </c>
      <c r="WPS6" s="545" t="s">
        <v>816</v>
      </c>
      <c r="WPT6" s="545"/>
      <c r="WPU6" s="545"/>
      <c r="WPV6" s="545"/>
      <c r="WPW6" s="136" t="s">
        <v>168</v>
      </c>
      <c r="WPX6" s="137">
        <v>1</v>
      </c>
      <c r="WPY6" s="137">
        <v>167.32</v>
      </c>
      <c r="WPZ6" s="181" t="s">
        <v>817</v>
      </c>
      <c r="WQA6" s="545" t="s">
        <v>816</v>
      </c>
      <c r="WQB6" s="545"/>
      <c r="WQC6" s="545"/>
      <c r="WQD6" s="545"/>
      <c r="WQE6" s="136" t="s">
        <v>168</v>
      </c>
      <c r="WQF6" s="137">
        <v>1</v>
      </c>
      <c r="WQG6" s="137">
        <v>167.32</v>
      </c>
      <c r="WQH6" s="181" t="s">
        <v>817</v>
      </c>
      <c r="WQI6" s="545" t="s">
        <v>816</v>
      </c>
      <c r="WQJ6" s="545"/>
      <c r="WQK6" s="545"/>
      <c r="WQL6" s="545"/>
      <c r="WQM6" s="136" t="s">
        <v>168</v>
      </c>
      <c r="WQN6" s="137">
        <v>1</v>
      </c>
      <c r="WQO6" s="137">
        <v>167.32</v>
      </c>
      <c r="WQP6" s="181" t="s">
        <v>817</v>
      </c>
      <c r="WQQ6" s="545" t="s">
        <v>816</v>
      </c>
      <c r="WQR6" s="545"/>
      <c r="WQS6" s="545"/>
      <c r="WQT6" s="545"/>
      <c r="WQU6" s="136" t="s">
        <v>168</v>
      </c>
      <c r="WQV6" s="137">
        <v>1</v>
      </c>
      <c r="WQW6" s="137">
        <v>167.32</v>
      </c>
      <c r="WQX6" s="181" t="s">
        <v>817</v>
      </c>
      <c r="WQY6" s="545" t="s">
        <v>816</v>
      </c>
      <c r="WQZ6" s="545"/>
      <c r="WRA6" s="545"/>
      <c r="WRB6" s="545"/>
      <c r="WRC6" s="136" t="s">
        <v>168</v>
      </c>
      <c r="WRD6" s="137">
        <v>1</v>
      </c>
      <c r="WRE6" s="137">
        <v>167.32</v>
      </c>
      <c r="WRF6" s="181" t="s">
        <v>817</v>
      </c>
      <c r="WRG6" s="545" t="s">
        <v>816</v>
      </c>
      <c r="WRH6" s="545"/>
      <c r="WRI6" s="545"/>
      <c r="WRJ6" s="545"/>
      <c r="WRK6" s="136" t="s">
        <v>168</v>
      </c>
      <c r="WRL6" s="137">
        <v>1</v>
      </c>
      <c r="WRM6" s="137">
        <v>167.32</v>
      </c>
      <c r="WRN6" s="181" t="s">
        <v>817</v>
      </c>
      <c r="WRO6" s="545" t="s">
        <v>816</v>
      </c>
      <c r="WRP6" s="545"/>
      <c r="WRQ6" s="545"/>
      <c r="WRR6" s="545"/>
      <c r="WRS6" s="136" t="s">
        <v>168</v>
      </c>
      <c r="WRT6" s="137">
        <v>1</v>
      </c>
      <c r="WRU6" s="137">
        <v>167.32</v>
      </c>
      <c r="WRV6" s="181" t="s">
        <v>817</v>
      </c>
      <c r="WRW6" s="545" t="s">
        <v>816</v>
      </c>
      <c r="WRX6" s="545"/>
      <c r="WRY6" s="545"/>
      <c r="WRZ6" s="545"/>
      <c r="WSA6" s="136" t="s">
        <v>168</v>
      </c>
      <c r="WSB6" s="137">
        <v>1</v>
      </c>
      <c r="WSC6" s="137">
        <v>167.32</v>
      </c>
      <c r="WSD6" s="181" t="s">
        <v>817</v>
      </c>
      <c r="WSE6" s="545" t="s">
        <v>816</v>
      </c>
      <c r="WSF6" s="545"/>
      <c r="WSG6" s="545"/>
      <c r="WSH6" s="545"/>
      <c r="WSI6" s="136" t="s">
        <v>168</v>
      </c>
      <c r="WSJ6" s="137">
        <v>1</v>
      </c>
      <c r="WSK6" s="137">
        <v>167.32</v>
      </c>
      <c r="WSL6" s="181" t="s">
        <v>817</v>
      </c>
      <c r="WSM6" s="545" t="s">
        <v>816</v>
      </c>
      <c r="WSN6" s="545"/>
      <c r="WSO6" s="545"/>
      <c r="WSP6" s="545"/>
      <c r="WSQ6" s="136" t="s">
        <v>168</v>
      </c>
      <c r="WSR6" s="137">
        <v>1</v>
      </c>
      <c r="WSS6" s="137">
        <v>167.32</v>
      </c>
      <c r="WST6" s="181" t="s">
        <v>817</v>
      </c>
      <c r="WSU6" s="545" t="s">
        <v>816</v>
      </c>
      <c r="WSV6" s="545"/>
      <c r="WSW6" s="545"/>
      <c r="WSX6" s="545"/>
      <c r="WSY6" s="136" t="s">
        <v>168</v>
      </c>
      <c r="WSZ6" s="137">
        <v>1</v>
      </c>
      <c r="WTA6" s="137">
        <v>167.32</v>
      </c>
      <c r="WTB6" s="181" t="s">
        <v>817</v>
      </c>
      <c r="WTC6" s="545" t="s">
        <v>816</v>
      </c>
      <c r="WTD6" s="545"/>
      <c r="WTE6" s="545"/>
      <c r="WTF6" s="545"/>
      <c r="WTG6" s="136" t="s">
        <v>168</v>
      </c>
      <c r="WTH6" s="137">
        <v>1</v>
      </c>
      <c r="WTI6" s="137">
        <v>167.32</v>
      </c>
      <c r="WTJ6" s="181" t="s">
        <v>817</v>
      </c>
      <c r="WTK6" s="545" t="s">
        <v>816</v>
      </c>
      <c r="WTL6" s="545"/>
      <c r="WTM6" s="545"/>
      <c r="WTN6" s="545"/>
      <c r="WTO6" s="136" t="s">
        <v>168</v>
      </c>
      <c r="WTP6" s="137">
        <v>1</v>
      </c>
      <c r="WTQ6" s="137">
        <v>167.32</v>
      </c>
      <c r="WTR6" s="181" t="s">
        <v>817</v>
      </c>
      <c r="WTS6" s="545" t="s">
        <v>816</v>
      </c>
      <c r="WTT6" s="545"/>
      <c r="WTU6" s="545"/>
      <c r="WTV6" s="545"/>
      <c r="WTW6" s="136" t="s">
        <v>168</v>
      </c>
      <c r="WTX6" s="137">
        <v>1</v>
      </c>
      <c r="WTY6" s="137">
        <v>167.32</v>
      </c>
      <c r="WTZ6" s="181" t="s">
        <v>817</v>
      </c>
      <c r="WUA6" s="545" t="s">
        <v>816</v>
      </c>
      <c r="WUB6" s="545"/>
      <c r="WUC6" s="545"/>
      <c r="WUD6" s="545"/>
      <c r="WUE6" s="136" t="s">
        <v>168</v>
      </c>
      <c r="WUF6" s="137">
        <v>1</v>
      </c>
      <c r="WUG6" s="137">
        <v>167.32</v>
      </c>
      <c r="WUH6" s="181" t="s">
        <v>817</v>
      </c>
      <c r="WUI6" s="545" t="s">
        <v>816</v>
      </c>
      <c r="WUJ6" s="545"/>
      <c r="WUK6" s="545"/>
      <c r="WUL6" s="545"/>
      <c r="WUM6" s="136" t="s">
        <v>168</v>
      </c>
      <c r="WUN6" s="137">
        <v>1</v>
      </c>
      <c r="WUO6" s="137">
        <v>167.32</v>
      </c>
      <c r="WUP6" s="181" t="s">
        <v>817</v>
      </c>
      <c r="WUQ6" s="545" t="s">
        <v>816</v>
      </c>
      <c r="WUR6" s="545"/>
      <c r="WUS6" s="545"/>
      <c r="WUT6" s="545"/>
      <c r="WUU6" s="136" t="s">
        <v>168</v>
      </c>
      <c r="WUV6" s="137">
        <v>1</v>
      </c>
      <c r="WUW6" s="137">
        <v>167.32</v>
      </c>
      <c r="WUX6" s="181" t="s">
        <v>817</v>
      </c>
      <c r="WUY6" s="545" t="s">
        <v>816</v>
      </c>
      <c r="WUZ6" s="545"/>
      <c r="WVA6" s="545"/>
      <c r="WVB6" s="545"/>
      <c r="WVC6" s="136" t="s">
        <v>168</v>
      </c>
      <c r="WVD6" s="137">
        <v>1</v>
      </c>
      <c r="WVE6" s="137">
        <v>167.32</v>
      </c>
      <c r="WVF6" s="181" t="s">
        <v>817</v>
      </c>
      <c r="WVG6" s="545" t="s">
        <v>816</v>
      </c>
      <c r="WVH6" s="545"/>
      <c r="WVI6" s="545"/>
      <c r="WVJ6" s="545"/>
      <c r="WVK6" s="136" t="s">
        <v>168</v>
      </c>
      <c r="WVL6" s="137">
        <v>1</v>
      </c>
      <c r="WVM6" s="137">
        <v>167.32</v>
      </c>
      <c r="WVN6" s="181" t="s">
        <v>817</v>
      </c>
      <c r="WVO6" s="545" t="s">
        <v>816</v>
      </c>
      <c r="WVP6" s="545"/>
      <c r="WVQ6" s="545"/>
      <c r="WVR6" s="545"/>
      <c r="WVS6" s="136" t="s">
        <v>168</v>
      </c>
      <c r="WVT6" s="137">
        <v>1</v>
      </c>
      <c r="WVU6" s="137">
        <v>167.32</v>
      </c>
      <c r="WVV6" s="181" t="s">
        <v>817</v>
      </c>
      <c r="WVW6" s="545" t="s">
        <v>816</v>
      </c>
      <c r="WVX6" s="545"/>
      <c r="WVY6" s="545"/>
      <c r="WVZ6" s="545"/>
      <c r="WWA6" s="136" t="s">
        <v>168</v>
      </c>
      <c r="WWB6" s="137">
        <v>1</v>
      </c>
      <c r="WWC6" s="137">
        <v>167.32</v>
      </c>
      <c r="WWD6" s="181" t="s">
        <v>817</v>
      </c>
      <c r="WWE6" s="545" t="s">
        <v>816</v>
      </c>
      <c r="WWF6" s="545"/>
      <c r="WWG6" s="545"/>
      <c r="WWH6" s="545"/>
      <c r="WWI6" s="136" t="s">
        <v>168</v>
      </c>
      <c r="WWJ6" s="137">
        <v>1</v>
      </c>
      <c r="WWK6" s="137">
        <v>167.32</v>
      </c>
      <c r="WWL6" s="181" t="s">
        <v>817</v>
      </c>
      <c r="WWM6" s="545" t="s">
        <v>816</v>
      </c>
      <c r="WWN6" s="545"/>
      <c r="WWO6" s="545"/>
      <c r="WWP6" s="545"/>
      <c r="WWQ6" s="136" t="s">
        <v>168</v>
      </c>
      <c r="WWR6" s="137">
        <v>1</v>
      </c>
      <c r="WWS6" s="137">
        <v>167.32</v>
      </c>
      <c r="WWT6" s="181" t="s">
        <v>817</v>
      </c>
      <c r="WWU6" s="545" t="s">
        <v>816</v>
      </c>
      <c r="WWV6" s="545"/>
      <c r="WWW6" s="545"/>
      <c r="WWX6" s="545"/>
      <c r="WWY6" s="136" t="s">
        <v>168</v>
      </c>
      <c r="WWZ6" s="137">
        <v>1</v>
      </c>
      <c r="WXA6" s="137">
        <v>167.32</v>
      </c>
      <c r="WXB6" s="181" t="s">
        <v>817</v>
      </c>
      <c r="WXC6" s="545" t="s">
        <v>816</v>
      </c>
      <c r="WXD6" s="545"/>
      <c r="WXE6" s="545"/>
      <c r="WXF6" s="545"/>
      <c r="WXG6" s="136" t="s">
        <v>168</v>
      </c>
      <c r="WXH6" s="137">
        <v>1</v>
      </c>
      <c r="WXI6" s="137">
        <v>167.32</v>
      </c>
      <c r="WXJ6" s="181" t="s">
        <v>817</v>
      </c>
      <c r="WXK6" s="545" t="s">
        <v>816</v>
      </c>
      <c r="WXL6" s="545"/>
      <c r="WXM6" s="545"/>
      <c r="WXN6" s="545"/>
      <c r="WXO6" s="136" t="s">
        <v>168</v>
      </c>
      <c r="WXP6" s="137">
        <v>1</v>
      </c>
      <c r="WXQ6" s="137">
        <v>167.32</v>
      </c>
      <c r="WXR6" s="181" t="s">
        <v>817</v>
      </c>
      <c r="WXS6" s="545" t="s">
        <v>816</v>
      </c>
      <c r="WXT6" s="545"/>
      <c r="WXU6" s="545"/>
      <c r="WXV6" s="545"/>
      <c r="WXW6" s="136" t="s">
        <v>168</v>
      </c>
      <c r="WXX6" s="137">
        <v>1</v>
      </c>
      <c r="WXY6" s="137">
        <v>167.32</v>
      </c>
      <c r="WXZ6" s="181" t="s">
        <v>817</v>
      </c>
      <c r="WYA6" s="545" t="s">
        <v>816</v>
      </c>
      <c r="WYB6" s="545"/>
      <c r="WYC6" s="545"/>
      <c r="WYD6" s="545"/>
      <c r="WYE6" s="136" t="s">
        <v>168</v>
      </c>
      <c r="WYF6" s="137">
        <v>1</v>
      </c>
      <c r="WYG6" s="137">
        <v>167.32</v>
      </c>
      <c r="WYH6" s="181" t="s">
        <v>817</v>
      </c>
      <c r="WYI6" s="545" t="s">
        <v>816</v>
      </c>
      <c r="WYJ6" s="545"/>
      <c r="WYK6" s="545"/>
      <c r="WYL6" s="545"/>
      <c r="WYM6" s="136" t="s">
        <v>168</v>
      </c>
      <c r="WYN6" s="137">
        <v>1</v>
      </c>
      <c r="WYO6" s="137">
        <v>167.32</v>
      </c>
      <c r="WYP6" s="181" t="s">
        <v>817</v>
      </c>
      <c r="WYQ6" s="545" t="s">
        <v>816</v>
      </c>
      <c r="WYR6" s="545"/>
      <c r="WYS6" s="545"/>
      <c r="WYT6" s="545"/>
      <c r="WYU6" s="136" t="s">
        <v>168</v>
      </c>
      <c r="WYV6" s="137">
        <v>1</v>
      </c>
      <c r="WYW6" s="137">
        <v>167.32</v>
      </c>
      <c r="WYX6" s="181" t="s">
        <v>817</v>
      </c>
      <c r="WYY6" s="545" t="s">
        <v>816</v>
      </c>
      <c r="WYZ6" s="545"/>
      <c r="WZA6" s="545"/>
      <c r="WZB6" s="545"/>
      <c r="WZC6" s="136" t="s">
        <v>168</v>
      </c>
      <c r="WZD6" s="137">
        <v>1</v>
      </c>
      <c r="WZE6" s="137">
        <v>167.32</v>
      </c>
      <c r="WZF6" s="181" t="s">
        <v>817</v>
      </c>
      <c r="WZG6" s="545" t="s">
        <v>816</v>
      </c>
      <c r="WZH6" s="545"/>
      <c r="WZI6" s="545"/>
      <c r="WZJ6" s="545"/>
      <c r="WZK6" s="136" t="s">
        <v>168</v>
      </c>
      <c r="WZL6" s="137">
        <v>1</v>
      </c>
      <c r="WZM6" s="137">
        <v>167.32</v>
      </c>
      <c r="WZN6" s="181" t="s">
        <v>817</v>
      </c>
      <c r="WZO6" s="545" t="s">
        <v>816</v>
      </c>
      <c r="WZP6" s="545"/>
      <c r="WZQ6" s="545"/>
      <c r="WZR6" s="545"/>
      <c r="WZS6" s="136" t="s">
        <v>168</v>
      </c>
      <c r="WZT6" s="137">
        <v>1</v>
      </c>
      <c r="WZU6" s="137">
        <v>167.32</v>
      </c>
      <c r="WZV6" s="181" t="s">
        <v>817</v>
      </c>
      <c r="WZW6" s="545" t="s">
        <v>816</v>
      </c>
      <c r="WZX6" s="545"/>
      <c r="WZY6" s="545"/>
      <c r="WZZ6" s="545"/>
      <c r="XAA6" s="136" t="s">
        <v>168</v>
      </c>
      <c r="XAB6" s="137">
        <v>1</v>
      </c>
      <c r="XAC6" s="137">
        <v>167.32</v>
      </c>
      <c r="XAD6" s="181" t="s">
        <v>817</v>
      </c>
      <c r="XAE6" s="545" t="s">
        <v>816</v>
      </c>
      <c r="XAF6" s="545"/>
      <c r="XAG6" s="545"/>
      <c r="XAH6" s="545"/>
      <c r="XAI6" s="136" t="s">
        <v>168</v>
      </c>
      <c r="XAJ6" s="137">
        <v>1</v>
      </c>
      <c r="XAK6" s="137">
        <v>167.32</v>
      </c>
      <c r="XAL6" s="181" t="s">
        <v>817</v>
      </c>
      <c r="XAM6" s="545" t="s">
        <v>816</v>
      </c>
      <c r="XAN6" s="545"/>
      <c r="XAO6" s="545"/>
      <c r="XAP6" s="545"/>
      <c r="XAQ6" s="136" t="s">
        <v>168</v>
      </c>
      <c r="XAR6" s="137">
        <v>1</v>
      </c>
      <c r="XAS6" s="137">
        <v>167.32</v>
      </c>
      <c r="XAT6" s="181" t="s">
        <v>817</v>
      </c>
      <c r="XAU6" s="545" t="s">
        <v>816</v>
      </c>
      <c r="XAV6" s="545"/>
      <c r="XAW6" s="545"/>
      <c r="XAX6" s="545"/>
      <c r="XAY6" s="136" t="s">
        <v>168</v>
      </c>
      <c r="XAZ6" s="137">
        <v>1</v>
      </c>
      <c r="XBA6" s="137">
        <v>167.32</v>
      </c>
      <c r="XBB6" s="181" t="s">
        <v>817</v>
      </c>
      <c r="XBC6" s="545" t="s">
        <v>816</v>
      </c>
      <c r="XBD6" s="545"/>
      <c r="XBE6" s="545"/>
      <c r="XBF6" s="545"/>
      <c r="XBG6" s="136" t="s">
        <v>168</v>
      </c>
      <c r="XBH6" s="137">
        <v>1</v>
      </c>
      <c r="XBI6" s="137">
        <v>167.32</v>
      </c>
      <c r="XBJ6" s="181" t="s">
        <v>817</v>
      </c>
      <c r="XBK6" s="545" t="s">
        <v>816</v>
      </c>
      <c r="XBL6" s="545"/>
      <c r="XBM6" s="545"/>
      <c r="XBN6" s="545"/>
      <c r="XBO6" s="136" t="s">
        <v>168</v>
      </c>
      <c r="XBP6" s="137">
        <v>1</v>
      </c>
      <c r="XBQ6" s="137">
        <v>167.32</v>
      </c>
      <c r="XBR6" s="181" t="s">
        <v>817</v>
      </c>
      <c r="XBS6" s="545" t="s">
        <v>816</v>
      </c>
      <c r="XBT6" s="545"/>
      <c r="XBU6" s="545"/>
      <c r="XBV6" s="545"/>
      <c r="XBW6" s="136" t="s">
        <v>168</v>
      </c>
      <c r="XBX6" s="137">
        <v>1</v>
      </c>
      <c r="XBY6" s="137">
        <v>167.32</v>
      </c>
      <c r="XBZ6" s="181" t="s">
        <v>817</v>
      </c>
      <c r="XCA6" s="545" t="s">
        <v>816</v>
      </c>
      <c r="XCB6" s="545"/>
      <c r="XCC6" s="545"/>
      <c r="XCD6" s="545"/>
      <c r="XCE6" s="136" t="s">
        <v>168</v>
      </c>
      <c r="XCF6" s="137">
        <v>1</v>
      </c>
      <c r="XCG6" s="137">
        <v>167.32</v>
      </c>
      <c r="XCH6" s="181" t="s">
        <v>817</v>
      </c>
      <c r="XCI6" s="545" t="s">
        <v>816</v>
      </c>
      <c r="XCJ6" s="545"/>
      <c r="XCK6" s="545"/>
      <c r="XCL6" s="545"/>
      <c r="XCM6" s="136" t="s">
        <v>168</v>
      </c>
      <c r="XCN6" s="137">
        <v>1</v>
      </c>
      <c r="XCO6" s="137">
        <v>167.32</v>
      </c>
      <c r="XCP6" s="181" t="s">
        <v>817</v>
      </c>
      <c r="XCQ6" s="545" t="s">
        <v>816</v>
      </c>
      <c r="XCR6" s="545"/>
      <c r="XCS6" s="545"/>
      <c r="XCT6" s="545"/>
      <c r="XCU6" s="136" t="s">
        <v>168</v>
      </c>
      <c r="XCV6" s="137">
        <v>1</v>
      </c>
      <c r="XCW6" s="137">
        <v>167.32</v>
      </c>
      <c r="XCX6" s="181" t="s">
        <v>817</v>
      </c>
      <c r="XCY6" s="545" t="s">
        <v>816</v>
      </c>
      <c r="XCZ6" s="545"/>
      <c r="XDA6" s="545"/>
      <c r="XDB6" s="545"/>
      <c r="XDC6" s="136" t="s">
        <v>168</v>
      </c>
      <c r="XDD6" s="137">
        <v>1</v>
      </c>
      <c r="XDE6" s="137">
        <v>167.32</v>
      </c>
      <c r="XDF6" s="181" t="s">
        <v>817</v>
      </c>
      <c r="XDG6" s="545" t="s">
        <v>816</v>
      </c>
      <c r="XDH6" s="545"/>
      <c r="XDI6" s="545"/>
      <c r="XDJ6" s="545"/>
      <c r="XDK6" s="136" t="s">
        <v>168</v>
      </c>
      <c r="XDL6" s="137">
        <v>1</v>
      </c>
      <c r="XDM6" s="137">
        <v>167.32</v>
      </c>
      <c r="XDN6" s="181" t="s">
        <v>817</v>
      </c>
      <c r="XDO6" s="545" t="s">
        <v>816</v>
      </c>
      <c r="XDP6" s="545"/>
      <c r="XDQ6" s="545"/>
      <c r="XDR6" s="545"/>
      <c r="XDS6" s="136" t="s">
        <v>168</v>
      </c>
      <c r="XDT6" s="137">
        <v>1</v>
      </c>
      <c r="XDU6" s="137">
        <v>167.32</v>
      </c>
      <c r="XDV6" s="181" t="s">
        <v>817</v>
      </c>
      <c r="XDW6" s="545" t="s">
        <v>816</v>
      </c>
      <c r="XDX6" s="545"/>
      <c r="XDY6" s="545"/>
      <c r="XDZ6" s="545"/>
      <c r="XEA6" s="136" t="s">
        <v>168</v>
      </c>
      <c r="XEB6" s="137">
        <v>1</v>
      </c>
      <c r="XEC6" s="137">
        <v>167.32</v>
      </c>
      <c r="XED6" s="181" t="s">
        <v>817</v>
      </c>
      <c r="XEE6" s="545" t="s">
        <v>816</v>
      </c>
      <c r="XEF6" s="545"/>
      <c r="XEG6" s="545"/>
      <c r="XEH6" s="545"/>
      <c r="XEI6" s="136" t="s">
        <v>168</v>
      </c>
      <c r="XEJ6" s="137">
        <v>1</v>
      </c>
      <c r="XEK6" s="137">
        <v>167.32</v>
      </c>
      <c r="XEL6" s="181" t="s">
        <v>817</v>
      </c>
      <c r="XEM6" s="545" t="s">
        <v>816</v>
      </c>
      <c r="XEN6" s="545"/>
      <c r="XEO6" s="545"/>
      <c r="XEP6" s="545"/>
      <c r="XEQ6" s="136" t="s">
        <v>168</v>
      </c>
      <c r="XER6" s="137">
        <v>1</v>
      </c>
      <c r="XES6" s="137">
        <v>167.32</v>
      </c>
      <c r="XET6" s="181" t="s">
        <v>817</v>
      </c>
      <c r="XEU6" s="545" t="s">
        <v>816</v>
      </c>
      <c r="XEV6" s="545"/>
      <c r="XEW6" s="545"/>
      <c r="XEX6" s="545"/>
      <c r="XEY6" s="136" t="s">
        <v>168</v>
      </c>
      <c r="XEZ6" s="137">
        <v>1</v>
      </c>
      <c r="XFA6" s="137">
        <v>167.32</v>
      </c>
    </row>
    <row r="7" spans="1:16381" s="131" customFormat="1" ht="22.15" customHeight="1" x14ac:dyDescent="0.25">
      <c r="A7" s="344" t="s">
        <v>802</v>
      </c>
      <c r="B7" s="344"/>
      <c r="C7" s="344"/>
      <c r="D7" s="344"/>
      <c r="E7" s="136" t="s">
        <v>168</v>
      </c>
      <c r="F7" s="368">
        <v>1</v>
      </c>
      <c r="G7" s="344"/>
      <c r="H7" s="344"/>
      <c r="I7" s="344"/>
      <c r="J7" s="344"/>
      <c r="K7" s="136"/>
      <c r="L7" s="137"/>
      <c r="M7" s="137"/>
      <c r="N7" s="136"/>
      <c r="O7" s="344"/>
      <c r="P7" s="344"/>
      <c r="Q7" s="344"/>
      <c r="R7" s="344"/>
      <c r="S7" s="136"/>
      <c r="T7" s="137"/>
      <c r="U7" s="137"/>
      <c r="V7" s="136"/>
      <c r="W7" s="344"/>
      <c r="X7" s="344"/>
      <c r="Y7" s="344"/>
      <c r="Z7" s="344"/>
      <c r="AA7" s="136"/>
      <c r="AB7" s="137"/>
      <c r="AC7" s="137"/>
      <c r="AD7" s="136"/>
      <c r="AE7" s="344"/>
      <c r="AF7" s="344"/>
      <c r="AG7" s="344"/>
      <c r="AH7" s="344"/>
      <c r="AI7" s="136"/>
      <c r="AJ7" s="137"/>
      <c r="AK7" s="137"/>
      <c r="AL7" s="136"/>
      <c r="AM7" s="344"/>
      <c r="AN7" s="344"/>
      <c r="AO7" s="344"/>
      <c r="AP7" s="344"/>
      <c r="AQ7" s="136"/>
      <c r="AR7" s="137"/>
      <c r="AS7" s="137"/>
      <c r="AT7" s="136"/>
      <c r="AU7" s="344"/>
      <c r="AV7" s="344"/>
      <c r="AW7" s="344"/>
      <c r="AX7" s="344"/>
      <c r="AY7" s="136"/>
      <c r="AZ7" s="137"/>
      <c r="BA7" s="137"/>
      <c r="BB7" s="136"/>
      <c r="BC7" s="344"/>
      <c r="BD7" s="344"/>
      <c r="BE7" s="344"/>
      <c r="BF7" s="344"/>
      <c r="BG7" s="136"/>
      <c r="BH7" s="137"/>
      <c r="BI7" s="137"/>
      <c r="BJ7" s="136"/>
      <c r="BK7" s="344"/>
      <c r="BL7" s="344"/>
      <c r="BM7" s="344"/>
      <c r="BN7" s="344"/>
      <c r="BO7" s="136"/>
      <c r="BP7" s="137"/>
      <c r="BQ7" s="137"/>
      <c r="BR7" s="136"/>
      <c r="BS7" s="344"/>
      <c r="BT7" s="344"/>
      <c r="BU7" s="344"/>
      <c r="BV7" s="344"/>
      <c r="BW7" s="136"/>
      <c r="BX7" s="137"/>
      <c r="BY7" s="137"/>
      <c r="BZ7" s="136"/>
      <c r="CA7" s="344"/>
      <c r="CB7" s="344"/>
      <c r="CC7" s="344"/>
      <c r="CD7" s="344"/>
      <c r="CE7" s="136"/>
      <c r="CF7" s="137"/>
      <c r="CG7" s="137"/>
      <c r="CH7" s="136"/>
      <c r="CI7" s="344"/>
      <c r="CJ7" s="344"/>
      <c r="CK7" s="344"/>
      <c r="CL7" s="344"/>
      <c r="CM7" s="136"/>
      <c r="CN7" s="137"/>
      <c r="CO7" s="137"/>
      <c r="CP7" s="136"/>
      <c r="CQ7" s="344"/>
      <c r="CR7" s="344"/>
      <c r="CS7" s="344"/>
      <c r="CT7" s="344"/>
      <c r="CU7" s="136"/>
      <c r="CV7" s="137"/>
      <c r="CW7" s="137"/>
      <c r="CX7" s="136"/>
      <c r="CY7" s="344"/>
      <c r="CZ7" s="344"/>
      <c r="DA7" s="344"/>
      <c r="DB7" s="344"/>
      <c r="DC7" s="136"/>
      <c r="DD7" s="137"/>
      <c r="DE7" s="137"/>
      <c r="DF7" s="136"/>
      <c r="DG7" s="344"/>
      <c r="DH7" s="344"/>
      <c r="DI7" s="344"/>
      <c r="DJ7" s="344"/>
      <c r="DK7" s="136"/>
      <c r="DL7" s="137"/>
      <c r="DM7" s="137"/>
      <c r="DN7" s="136"/>
      <c r="DO7" s="344"/>
      <c r="DP7" s="344"/>
      <c r="DQ7" s="344"/>
      <c r="DR7" s="344"/>
      <c r="DS7" s="136"/>
      <c r="DT7" s="137"/>
      <c r="DU7" s="137"/>
      <c r="DV7" s="136"/>
      <c r="DW7" s="344"/>
      <c r="DX7" s="344"/>
      <c r="DY7" s="344"/>
      <c r="DZ7" s="344"/>
      <c r="EA7" s="136"/>
      <c r="EB7" s="137"/>
      <c r="EC7" s="137"/>
      <c r="ED7" s="136"/>
      <c r="EE7" s="344"/>
      <c r="EF7" s="344"/>
      <c r="EG7" s="344"/>
      <c r="EH7" s="344"/>
      <c r="EI7" s="136"/>
      <c r="EJ7" s="137"/>
      <c r="EK7" s="137"/>
      <c r="EL7" s="136"/>
      <c r="EM7" s="344"/>
      <c r="EN7" s="344"/>
      <c r="EO7" s="344"/>
      <c r="EP7" s="344"/>
      <c r="EQ7" s="136"/>
      <c r="ER7" s="137"/>
      <c r="ES7" s="137"/>
      <c r="ET7" s="136"/>
      <c r="EU7" s="344"/>
      <c r="EV7" s="344"/>
      <c r="EW7" s="344"/>
      <c r="EX7" s="344"/>
      <c r="EY7" s="136"/>
      <c r="EZ7" s="137"/>
      <c r="FA7" s="137"/>
      <c r="FB7" s="136"/>
      <c r="FC7" s="344"/>
      <c r="FD7" s="344"/>
      <c r="FE7" s="344"/>
      <c r="FF7" s="344"/>
      <c r="FG7" s="136"/>
      <c r="FH7" s="137"/>
      <c r="FI7" s="137"/>
      <c r="FJ7" s="136"/>
      <c r="FK7" s="344"/>
      <c r="FL7" s="344"/>
      <c r="FM7" s="344"/>
      <c r="FN7" s="344"/>
      <c r="FO7" s="136"/>
      <c r="FP7" s="137"/>
      <c r="FQ7" s="137"/>
      <c r="FR7" s="136"/>
      <c r="FS7" s="344"/>
      <c r="FT7" s="344"/>
      <c r="FU7" s="344"/>
      <c r="FV7" s="344"/>
      <c r="FW7" s="136"/>
      <c r="FX7" s="137"/>
      <c r="FY7" s="137"/>
      <c r="FZ7" s="136"/>
      <c r="GA7" s="344"/>
      <c r="GB7" s="344"/>
      <c r="GC7" s="344"/>
      <c r="GD7" s="344"/>
      <c r="GE7" s="136"/>
      <c r="GF7" s="137"/>
      <c r="GG7" s="137"/>
      <c r="GH7" s="136"/>
      <c r="GI7" s="344"/>
      <c r="GJ7" s="344"/>
      <c r="GK7" s="344"/>
      <c r="GL7" s="344"/>
      <c r="GM7" s="136"/>
      <c r="GN7" s="137"/>
      <c r="GO7" s="137"/>
      <c r="GP7" s="136"/>
      <c r="GQ7" s="344"/>
      <c r="GR7" s="344"/>
      <c r="GS7" s="344"/>
      <c r="GT7" s="344"/>
      <c r="GU7" s="136"/>
      <c r="GV7" s="137"/>
      <c r="GW7" s="137"/>
      <c r="GX7" s="136"/>
      <c r="GY7" s="344"/>
      <c r="GZ7" s="344"/>
      <c r="HA7" s="344"/>
      <c r="HB7" s="344"/>
      <c r="HC7" s="136"/>
      <c r="HD7" s="137"/>
      <c r="HE7" s="137"/>
      <c r="HF7" s="136"/>
      <c r="HG7" s="344"/>
      <c r="HH7" s="344"/>
      <c r="HI7" s="344"/>
      <c r="HJ7" s="344"/>
      <c r="HK7" s="136"/>
      <c r="HL7" s="137"/>
      <c r="HM7" s="137"/>
      <c r="HN7" s="136"/>
      <c r="HO7" s="344"/>
      <c r="HP7" s="344"/>
      <c r="HQ7" s="344"/>
      <c r="HR7" s="344"/>
      <c r="HS7" s="136"/>
      <c r="HT7" s="137"/>
      <c r="HU7" s="137"/>
      <c r="HV7" s="136"/>
      <c r="HW7" s="344"/>
      <c r="HX7" s="344"/>
      <c r="HY7" s="344"/>
      <c r="HZ7" s="344"/>
      <c r="IA7" s="136"/>
      <c r="IB7" s="137"/>
      <c r="IC7" s="137"/>
      <c r="ID7" s="136"/>
      <c r="IE7" s="344"/>
      <c r="IF7" s="344"/>
      <c r="IG7" s="344"/>
      <c r="IH7" s="344"/>
      <c r="II7" s="136"/>
      <c r="IJ7" s="137"/>
      <c r="IK7" s="137"/>
      <c r="IL7" s="136"/>
      <c r="IM7" s="344"/>
      <c r="IN7" s="344"/>
      <c r="IO7" s="344"/>
      <c r="IP7" s="344"/>
      <c r="IQ7" s="136"/>
      <c r="IR7" s="137"/>
      <c r="IS7" s="137"/>
      <c r="IT7" s="136"/>
      <c r="IU7" s="344"/>
      <c r="IV7" s="344"/>
      <c r="IW7" s="344"/>
      <c r="IX7" s="344"/>
      <c r="IY7" s="136"/>
      <c r="IZ7" s="137"/>
      <c r="JA7" s="137"/>
      <c r="JB7" s="136"/>
      <c r="JC7" s="344"/>
      <c r="JD7" s="344"/>
      <c r="JE7" s="344"/>
      <c r="JF7" s="344"/>
      <c r="JG7" s="136"/>
      <c r="JH7" s="137"/>
      <c r="JI7" s="137"/>
      <c r="JJ7" s="136"/>
      <c r="JK7" s="344"/>
      <c r="JL7" s="344"/>
      <c r="JM7" s="344"/>
      <c r="JN7" s="344"/>
      <c r="JO7" s="136"/>
      <c r="JP7" s="137"/>
      <c r="JQ7" s="137"/>
      <c r="JR7" s="136"/>
      <c r="JS7" s="344"/>
      <c r="JT7" s="344"/>
      <c r="JU7" s="344"/>
      <c r="JV7" s="344"/>
      <c r="JW7" s="136"/>
      <c r="JX7" s="137"/>
      <c r="JY7" s="137"/>
      <c r="JZ7" s="136"/>
      <c r="KA7" s="344"/>
      <c r="KB7" s="344"/>
      <c r="KC7" s="344"/>
      <c r="KD7" s="344"/>
      <c r="KE7" s="136"/>
      <c r="KF7" s="137"/>
      <c r="KG7" s="137"/>
      <c r="KH7" s="136"/>
      <c r="KI7" s="344"/>
      <c r="KJ7" s="344"/>
      <c r="KK7" s="344"/>
      <c r="KL7" s="344"/>
      <c r="KM7" s="136"/>
      <c r="KN7" s="137"/>
      <c r="KO7" s="137"/>
      <c r="KP7" s="136"/>
      <c r="KQ7" s="344"/>
      <c r="KR7" s="344"/>
      <c r="KS7" s="344"/>
      <c r="KT7" s="344"/>
      <c r="KU7" s="136"/>
      <c r="KV7" s="137"/>
      <c r="KW7" s="137"/>
      <c r="KX7" s="136"/>
      <c r="KY7" s="344"/>
      <c r="KZ7" s="344"/>
      <c r="LA7" s="344"/>
      <c r="LB7" s="344"/>
      <c r="LC7" s="136"/>
      <c r="LD7" s="137"/>
      <c r="LE7" s="137"/>
      <c r="LF7" s="136"/>
      <c r="LG7" s="344"/>
      <c r="LH7" s="344"/>
      <c r="LI7" s="344"/>
      <c r="LJ7" s="344"/>
      <c r="LK7" s="136"/>
      <c r="LL7" s="137"/>
      <c r="LM7" s="137"/>
      <c r="LN7" s="136"/>
      <c r="LO7" s="344"/>
      <c r="LP7" s="344"/>
      <c r="LQ7" s="344"/>
      <c r="LR7" s="344"/>
      <c r="LS7" s="136"/>
      <c r="LT7" s="137"/>
      <c r="LU7" s="137"/>
      <c r="LV7" s="136"/>
      <c r="LW7" s="344"/>
      <c r="LX7" s="344"/>
      <c r="LY7" s="344"/>
      <c r="LZ7" s="344"/>
      <c r="MA7" s="136"/>
      <c r="MB7" s="137"/>
      <c r="MC7" s="137"/>
      <c r="MD7" s="136"/>
      <c r="ME7" s="344"/>
      <c r="MF7" s="344"/>
      <c r="MG7" s="344"/>
      <c r="MH7" s="344"/>
      <c r="MI7" s="136"/>
      <c r="MJ7" s="137"/>
      <c r="MK7" s="137"/>
      <c r="ML7" s="136"/>
      <c r="MM7" s="344"/>
      <c r="MN7" s="344"/>
      <c r="MO7" s="344"/>
      <c r="MP7" s="344"/>
      <c r="MQ7" s="136"/>
      <c r="MR7" s="137"/>
      <c r="MS7" s="137"/>
      <c r="MT7" s="136"/>
      <c r="MU7" s="344"/>
      <c r="MV7" s="344"/>
      <c r="MW7" s="344"/>
      <c r="MX7" s="344"/>
      <c r="MY7" s="136"/>
      <c r="MZ7" s="137"/>
      <c r="NA7" s="137"/>
      <c r="NB7" s="136"/>
      <c r="NC7" s="344"/>
      <c r="ND7" s="344"/>
      <c r="NE7" s="344"/>
      <c r="NF7" s="344"/>
      <c r="NG7" s="136"/>
      <c r="NH7" s="137"/>
      <c r="NI7" s="137"/>
      <c r="NJ7" s="136"/>
      <c r="NK7" s="344"/>
      <c r="NL7" s="344"/>
      <c r="NM7" s="344"/>
      <c r="NN7" s="344"/>
      <c r="NO7" s="136"/>
      <c r="NP7" s="137"/>
      <c r="NQ7" s="137"/>
      <c r="NR7" s="136"/>
      <c r="NS7" s="344"/>
      <c r="NT7" s="344"/>
      <c r="NU7" s="344"/>
      <c r="NV7" s="344"/>
      <c r="NW7" s="136"/>
      <c r="NX7" s="137"/>
      <c r="NY7" s="137"/>
      <c r="NZ7" s="136"/>
      <c r="OA7" s="344"/>
      <c r="OB7" s="344"/>
      <c r="OC7" s="344"/>
      <c r="OD7" s="344"/>
      <c r="OE7" s="136"/>
      <c r="OF7" s="137"/>
      <c r="OG7" s="137"/>
      <c r="OH7" s="136"/>
      <c r="OI7" s="344"/>
      <c r="OJ7" s="344"/>
      <c r="OK7" s="344"/>
      <c r="OL7" s="344"/>
      <c r="OM7" s="136"/>
      <c r="ON7" s="137"/>
      <c r="OO7" s="137"/>
      <c r="OP7" s="136"/>
      <c r="OQ7" s="344"/>
      <c r="OR7" s="344"/>
      <c r="OS7" s="344"/>
      <c r="OT7" s="344"/>
      <c r="OU7" s="136"/>
      <c r="OV7" s="137"/>
      <c r="OW7" s="137"/>
      <c r="OX7" s="136"/>
      <c r="OY7" s="344"/>
      <c r="OZ7" s="344"/>
      <c r="PA7" s="344"/>
      <c r="PB7" s="344"/>
      <c r="PC7" s="136"/>
      <c r="PD7" s="137"/>
      <c r="PE7" s="137"/>
      <c r="PF7" s="136"/>
      <c r="PG7" s="344"/>
      <c r="PH7" s="344"/>
      <c r="PI7" s="344"/>
      <c r="PJ7" s="344"/>
      <c r="PK7" s="136"/>
      <c r="PL7" s="137"/>
      <c r="PM7" s="137"/>
      <c r="PN7" s="136"/>
      <c r="PO7" s="344"/>
      <c r="PP7" s="344"/>
      <c r="PQ7" s="344"/>
      <c r="PR7" s="344"/>
      <c r="PS7" s="136"/>
      <c r="PT7" s="137"/>
      <c r="PU7" s="137"/>
      <c r="PV7" s="136"/>
      <c r="PW7" s="344"/>
      <c r="PX7" s="344"/>
      <c r="PY7" s="344"/>
      <c r="PZ7" s="344"/>
      <c r="QA7" s="136"/>
      <c r="QB7" s="137"/>
      <c r="QC7" s="137"/>
      <c r="QD7" s="136"/>
      <c r="QE7" s="344"/>
      <c r="QF7" s="344"/>
      <c r="QG7" s="344"/>
      <c r="QH7" s="344"/>
      <c r="QI7" s="136"/>
      <c r="QJ7" s="137"/>
      <c r="QK7" s="137"/>
      <c r="QL7" s="136"/>
      <c r="QM7" s="344"/>
      <c r="QN7" s="344"/>
      <c r="QO7" s="344"/>
      <c r="QP7" s="344"/>
      <c r="QQ7" s="136"/>
      <c r="QR7" s="137"/>
      <c r="QS7" s="137"/>
      <c r="QT7" s="136"/>
      <c r="QU7" s="344"/>
      <c r="QV7" s="344"/>
      <c r="QW7" s="344"/>
      <c r="QX7" s="344"/>
      <c r="QY7" s="136"/>
      <c r="QZ7" s="137"/>
      <c r="RA7" s="137"/>
      <c r="RB7" s="136"/>
      <c r="RC7" s="344"/>
      <c r="RD7" s="344"/>
      <c r="RE7" s="344"/>
      <c r="RF7" s="344"/>
      <c r="RG7" s="136"/>
      <c r="RH7" s="137"/>
      <c r="RI7" s="137"/>
      <c r="RJ7" s="136"/>
      <c r="RK7" s="344"/>
      <c r="RL7" s="344"/>
      <c r="RM7" s="344"/>
      <c r="RN7" s="344"/>
      <c r="RO7" s="136"/>
      <c r="RP7" s="137"/>
      <c r="RQ7" s="137"/>
      <c r="RR7" s="136"/>
      <c r="RS7" s="344"/>
      <c r="RT7" s="344"/>
      <c r="RU7" s="344"/>
      <c r="RV7" s="344"/>
      <c r="RW7" s="136"/>
      <c r="RX7" s="137"/>
      <c r="RY7" s="137"/>
      <c r="RZ7" s="136"/>
      <c r="SA7" s="344"/>
      <c r="SB7" s="344"/>
      <c r="SC7" s="344"/>
      <c r="SD7" s="344"/>
      <c r="SE7" s="136"/>
      <c r="SF7" s="137"/>
      <c r="SG7" s="137"/>
      <c r="SH7" s="136"/>
      <c r="SI7" s="344"/>
      <c r="SJ7" s="344"/>
      <c r="SK7" s="344"/>
      <c r="SL7" s="344"/>
      <c r="SM7" s="136"/>
      <c r="SN7" s="137"/>
      <c r="SO7" s="137"/>
      <c r="SP7" s="136"/>
      <c r="SQ7" s="344"/>
      <c r="SR7" s="344"/>
      <c r="SS7" s="344"/>
      <c r="ST7" s="344"/>
      <c r="SU7" s="136"/>
      <c r="SV7" s="137"/>
      <c r="SW7" s="137"/>
      <c r="SX7" s="136"/>
      <c r="SY7" s="344"/>
      <c r="SZ7" s="344"/>
      <c r="TA7" s="344"/>
      <c r="TB7" s="344"/>
      <c r="TC7" s="136"/>
      <c r="TD7" s="137"/>
      <c r="TE7" s="137"/>
      <c r="TF7" s="136"/>
      <c r="TG7" s="344"/>
      <c r="TH7" s="344"/>
      <c r="TI7" s="344"/>
      <c r="TJ7" s="344"/>
      <c r="TK7" s="136"/>
      <c r="TL7" s="137"/>
      <c r="TM7" s="137"/>
      <c r="TN7" s="136"/>
      <c r="TO7" s="344"/>
      <c r="TP7" s="344"/>
      <c r="TQ7" s="344"/>
      <c r="TR7" s="344"/>
      <c r="TS7" s="136"/>
      <c r="TT7" s="137"/>
      <c r="TU7" s="137"/>
      <c r="TV7" s="136"/>
      <c r="TW7" s="344"/>
      <c r="TX7" s="344"/>
      <c r="TY7" s="344"/>
      <c r="TZ7" s="344"/>
      <c r="UA7" s="136"/>
      <c r="UB7" s="137"/>
      <c r="UC7" s="137"/>
      <c r="UD7" s="136"/>
      <c r="UE7" s="344"/>
      <c r="UF7" s="344"/>
      <c r="UG7" s="344"/>
      <c r="UH7" s="344"/>
      <c r="UI7" s="136"/>
      <c r="UJ7" s="137"/>
      <c r="UK7" s="137"/>
      <c r="UL7" s="136"/>
      <c r="UM7" s="344"/>
      <c r="UN7" s="344"/>
      <c r="UO7" s="344"/>
      <c r="UP7" s="344"/>
      <c r="UQ7" s="136"/>
      <c r="UR7" s="137"/>
      <c r="US7" s="137"/>
      <c r="UT7" s="136"/>
      <c r="UU7" s="344"/>
      <c r="UV7" s="344"/>
      <c r="UW7" s="344"/>
      <c r="UX7" s="344"/>
      <c r="UY7" s="136"/>
      <c r="UZ7" s="137"/>
      <c r="VA7" s="137"/>
      <c r="VB7" s="136"/>
      <c r="VC7" s="344"/>
      <c r="VD7" s="344"/>
      <c r="VE7" s="344"/>
      <c r="VF7" s="344"/>
      <c r="VG7" s="136"/>
      <c r="VH7" s="137"/>
      <c r="VI7" s="137"/>
      <c r="VJ7" s="136"/>
      <c r="VK7" s="344"/>
      <c r="VL7" s="344"/>
      <c r="VM7" s="344"/>
      <c r="VN7" s="344"/>
      <c r="VO7" s="136"/>
      <c r="VP7" s="137"/>
      <c r="VQ7" s="137"/>
      <c r="VR7" s="136"/>
      <c r="VS7" s="344"/>
      <c r="VT7" s="344"/>
      <c r="VU7" s="344"/>
      <c r="VV7" s="344"/>
      <c r="VW7" s="136"/>
      <c r="VX7" s="137"/>
      <c r="VY7" s="137"/>
      <c r="VZ7" s="136"/>
      <c r="WA7" s="344"/>
      <c r="WB7" s="344"/>
      <c r="WC7" s="344"/>
      <c r="WD7" s="344"/>
      <c r="WE7" s="136"/>
      <c r="WF7" s="137"/>
      <c r="WG7" s="137"/>
      <c r="WH7" s="136"/>
      <c r="WI7" s="344"/>
      <c r="WJ7" s="344"/>
      <c r="WK7" s="344"/>
      <c r="WL7" s="344"/>
      <c r="WM7" s="136"/>
      <c r="WN7" s="137"/>
      <c r="WO7" s="137"/>
      <c r="WP7" s="136"/>
      <c r="WQ7" s="344"/>
      <c r="WR7" s="344"/>
      <c r="WS7" s="344"/>
      <c r="WT7" s="344"/>
      <c r="WU7" s="136"/>
      <c r="WV7" s="137"/>
      <c r="WW7" s="137"/>
      <c r="WX7" s="136"/>
      <c r="WY7" s="344"/>
      <c r="WZ7" s="344"/>
      <c r="XA7" s="344"/>
      <c r="XB7" s="344"/>
      <c r="XC7" s="136"/>
      <c r="XD7" s="137"/>
      <c r="XE7" s="137"/>
      <c r="XF7" s="136"/>
      <c r="XG7" s="344"/>
      <c r="XH7" s="344"/>
      <c r="XI7" s="344"/>
      <c r="XJ7" s="344"/>
      <c r="XK7" s="136"/>
      <c r="XL7" s="137"/>
      <c r="XM7" s="137"/>
      <c r="XN7" s="136"/>
      <c r="XO7" s="344"/>
      <c r="XP7" s="344"/>
      <c r="XQ7" s="344"/>
      <c r="XR7" s="344"/>
      <c r="XS7" s="136"/>
      <c r="XT7" s="137"/>
      <c r="XU7" s="137"/>
      <c r="XV7" s="136"/>
      <c r="XW7" s="344"/>
      <c r="XX7" s="344"/>
      <c r="XY7" s="344"/>
      <c r="XZ7" s="344"/>
      <c r="YA7" s="136"/>
      <c r="YB7" s="137"/>
      <c r="YC7" s="137"/>
      <c r="YD7" s="136"/>
      <c r="YE7" s="344"/>
      <c r="YF7" s="344"/>
      <c r="YG7" s="344"/>
      <c r="YH7" s="344"/>
      <c r="YI7" s="136"/>
      <c r="YJ7" s="137"/>
      <c r="YK7" s="137"/>
      <c r="YL7" s="136"/>
      <c r="YM7" s="344"/>
      <c r="YN7" s="344"/>
      <c r="YO7" s="344"/>
      <c r="YP7" s="344"/>
      <c r="YQ7" s="136"/>
      <c r="YR7" s="137"/>
      <c r="YS7" s="137"/>
      <c r="YT7" s="136"/>
      <c r="YU7" s="344"/>
      <c r="YV7" s="344"/>
      <c r="YW7" s="344"/>
      <c r="YX7" s="344"/>
      <c r="YY7" s="136"/>
      <c r="YZ7" s="137"/>
      <c r="ZA7" s="137"/>
      <c r="ZB7" s="136"/>
      <c r="ZC7" s="344"/>
      <c r="ZD7" s="344"/>
      <c r="ZE7" s="344"/>
      <c r="ZF7" s="344"/>
      <c r="ZG7" s="136"/>
      <c r="ZH7" s="137"/>
      <c r="ZI7" s="137"/>
      <c r="ZJ7" s="136"/>
      <c r="ZK7" s="344"/>
      <c r="ZL7" s="344"/>
      <c r="ZM7" s="344"/>
      <c r="ZN7" s="344"/>
      <c r="ZO7" s="136"/>
      <c r="ZP7" s="137"/>
      <c r="ZQ7" s="137"/>
      <c r="ZR7" s="136"/>
      <c r="ZS7" s="344"/>
      <c r="ZT7" s="344"/>
      <c r="ZU7" s="344"/>
      <c r="ZV7" s="344"/>
      <c r="ZW7" s="136"/>
      <c r="ZX7" s="137"/>
      <c r="ZY7" s="137"/>
      <c r="ZZ7" s="136"/>
      <c r="AAA7" s="344"/>
      <c r="AAB7" s="344"/>
      <c r="AAC7" s="344"/>
      <c r="AAD7" s="344"/>
      <c r="AAE7" s="136"/>
      <c r="AAF7" s="137"/>
      <c r="AAG7" s="137"/>
      <c r="AAH7" s="136"/>
      <c r="AAI7" s="344"/>
      <c r="AAJ7" s="344"/>
      <c r="AAK7" s="344"/>
      <c r="AAL7" s="344"/>
      <c r="AAM7" s="136"/>
      <c r="AAN7" s="137"/>
      <c r="AAO7" s="137"/>
      <c r="AAP7" s="136"/>
      <c r="AAQ7" s="344"/>
      <c r="AAR7" s="344"/>
      <c r="AAS7" s="344"/>
      <c r="AAT7" s="344"/>
      <c r="AAU7" s="136"/>
      <c r="AAV7" s="137"/>
      <c r="AAW7" s="137"/>
      <c r="AAX7" s="136"/>
      <c r="AAY7" s="344"/>
      <c r="AAZ7" s="344"/>
      <c r="ABA7" s="344"/>
      <c r="ABB7" s="344"/>
      <c r="ABC7" s="136"/>
      <c r="ABD7" s="137"/>
      <c r="ABE7" s="137"/>
      <c r="ABF7" s="136"/>
      <c r="ABG7" s="344"/>
      <c r="ABH7" s="344"/>
      <c r="ABI7" s="344"/>
      <c r="ABJ7" s="344"/>
      <c r="ABK7" s="136"/>
      <c r="ABL7" s="137"/>
      <c r="ABM7" s="137"/>
      <c r="ABN7" s="136"/>
      <c r="ABO7" s="344"/>
      <c r="ABP7" s="344"/>
      <c r="ABQ7" s="344"/>
      <c r="ABR7" s="344"/>
      <c r="ABS7" s="136"/>
      <c r="ABT7" s="137"/>
      <c r="ABU7" s="137"/>
      <c r="ABV7" s="136"/>
      <c r="ABW7" s="344"/>
      <c r="ABX7" s="344"/>
      <c r="ABY7" s="344"/>
      <c r="ABZ7" s="344"/>
      <c r="ACA7" s="136"/>
      <c r="ACB7" s="137"/>
      <c r="ACC7" s="137"/>
      <c r="ACD7" s="136"/>
      <c r="ACE7" s="344"/>
      <c r="ACF7" s="344"/>
      <c r="ACG7" s="344"/>
      <c r="ACH7" s="344"/>
      <c r="ACI7" s="136"/>
      <c r="ACJ7" s="137"/>
      <c r="ACK7" s="137"/>
      <c r="ACL7" s="136"/>
      <c r="ACM7" s="344"/>
      <c r="ACN7" s="344"/>
      <c r="ACO7" s="344"/>
      <c r="ACP7" s="344"/>
      <c r="ACQ7" s="136"/>
      <c r="ACR7" s="137"/>
      <c r="ACS7" s="137"/>
      <c r="ACT7" s="136"/>
      <c r="ACU7" s="344"/>
      <c r="ACV7" s="344"/>
      <c r="ACW7" s="344"/>
      <c r="ACX7" s="344"/>
      <c r="ACY7" s="136"/>
      <c r="ACZ7" s="137"/>
      <c r="ADA7" s="137"/>
      <c r="ADB7" s="136"/>
      <c r="ADC7" s="344"/>
      <c r="ADD7" s="344"/>
      <c r="ADE7" s="344"/>
      <c r="ADF7" s="344"/>
      <c r="ADG7" s="136"/>
      <c r="ADH7" s="137"/>
      <c r="ADI7" s="137"/>
      <c r="ADJ7" s="136"/>
      <c r="ADK7" s="344"/>
      <c r="ADL7" s="344"/>
      <c r="ADM7" s="344"/>
      <c r="ADN7" s="344"/>
      <c r="ADO7" s="136"/>
      <c r="ADP7" s="137"/>
      <c r="ADQ7" s="137"/>
      <c r="ADR7" s="136"/>
      <c r="ADS7" s="344"/>
      <c r="ADT7" s="344"/>
      <c r="ADU7" s="344"/>
      <c r="ADV7" s="344"/>
      <c r="ADW7" s="136"/>
      <c r="ADX7" s="137"/>
      <c r="ADY7" s="137"/>
      <c r="ADZ7" s="136"/>
      <c r="AEA7" s="344"/>
      <c r="AEB7" s="344"/>
      <c r="AEC7" s="344"/>
      <c r="AED7" s="344"/>
      <c r="AEE7" s="136"/>
      <c r="AEF7" s="137"/>
      <c r="AEG7" s="137"/>
      <c r="AEH7" s="136"/>
      <c r="AEI7" s="344"/>
      <c r="AEJ7" s="344"/>
      <c r="AEK7" s="344"/>
      <c r="AEL7" s="344"/>
      <c r="AEM7" s="136"/>
      <c r="AEN7" s="137"/>
      <c r="AEO7" s="137"/>
      <c r="AEP7" s="136"/>
      <c r="AEQ7" s="344"/>
      <c r="AER7" s="344"/>
      <c r="AES7" s="344"/>
      <c r="AET7" s="344"/>
      <c r="AEU7" s="136"/>
      <c r="AEV7" s="137"/>
      <c r="AEW7" s="137"/>
      <c r="AEX7" s="136"/>
      <c r="AEY7" s="344"/>
      <c r="AEZ7" s="344"/>
      <c r="AFA7" s="344"/>
      <c r="AFB7" s="344"/>
      <c r="AFC7" s="136"/>
      <c r="AFD7" s="137"/>
      <c r="AFE7" s="137"/>
      <c r="AFF7" s="136"/>
      <c r="AFG7" s="344"/>
      <c r="AFH7" s="344"/>
      <c r="AFI7" s="344"/>
      <c r="AFJ7" s="344"/>
      <c r="AFK7" s="136"/>
      <c r="AFL7" s="137"/>
      <c r="AFM7" s="137"/>
      <c r="AFN7" s="136"/>
      <c r="AFO7" s="344"/>
      <c r="AFP7" s="344"/>
      <c r="AFQ7" s="344"/>
      <c r="AFR7" s="344"/>
      <c r="AFS7" s="136"/>
      <c r="AFT7" s="137"/>
      <c r="AFU7" s="137"/>
      <c r="AFV7" s="136"/>
      <c r="AFW7" s="344"/>
      <c r="AFX7" s="344"/>
      <c r="AFY7" s="344"/>
      <c r="AFZ7" s="344"/>
      <c r="AGA7" s="136"/>
      <c r="AGB7" s="137"/>
      <c r="AGC7" s="137"/>
      <c r="AGD7" s="136"/>
      <c r="AGE7" s="344"/>
      <c r="AGF7" s="344"/>
      <c r="AGG7" s="344"/>
      <c r="AGH7" s="344"/>
      <c r="AGI7" s="136"/>
      <c r="AGJ7" s="137"/>
      <c r="AGK7" s="137"/>
      <c r="AGL7" s="136"/>
      <c r="AGM7" s="344"/>
      <c r="AGN7" s="344"/>
      <c r="AGO7" s="344"/>
      <c r="AGP7" s="344"/>
      <c r="AGQ7" s="136"/>
      <c r="AGR7" s="137"/>
      <c r="AGS7" s="137"/>
      <c r="AGT7" s="136"/>
      <c r="AGU7" s="344"/>
      <c r="AGV7" s="344"/>
      <c r="AGW7" s="344"/>
      <c r="AGX7" s="344"/>
      <c r="AGY7" s="136"/>
      <c r="AGZ7" s="137"/>
      <c r="AHA7" s="137"/>
      <c r="AHB7" s="136"/>
      <c r="AHC7" s="344"/>
      <c r="AHD7" s="344"/>
      <c r="AHE7" s="344"/>
      <c r="AHF7" s="344"/>
      <c r="AHG7" s="136"/>
      <c r="AHH7" s="137"/>
      <c r="AHI7" s="137"/>
      <c r="AHJ7" s="136"/>
      <c r="AHK7" s="344"/>
      <c r="AHL7" s="344"/>
      <c r="AHM7" s="344"/>
      <c r="AHN7" s="344"/>
      <c r="AHO7" s="136"/>
      <c r="AHP7" s="137"/>
      <c r="AHQ7" s="137"/>
      <c r="AHR7" s="136"/>
      <c r="AHS7" s="344"/>
      <c r="AHT7" s="344"/>
      <c r="AHU7" s="344"/>
      <c r="AHV7" s="344"/>
      <c r="AHW7" s="136"/>
      <c r="AHX7" s="137"/>
      <c r="AHY7" s="137"/>
      <c r="AHZ7" s="136"/>
      <c r="AIA7" s="344"/>
      <c r="AIB7" s="344"/>
      <c r="AIC7" s="344"/>
      <c r="AID7" s="344"/>
      <c r="AIE7" s="136"/>
      <c r="AIF7" s="137"/>
      <c r="AIG7" s="137"/>
      <c r="AIH7" s="136"/>
      <c r="AII7" s="344"/>
      <c r="AIJ7" s="344"/>
      <c r="AIK7" s="344"/>
      <c r="AIL7" s="344"/>
      <c r="AIM7" s="136"/>
      <c r="AIN7" s="137"/>
      <c r="AIO7" s="137"/>
      <c r="AIP7" s="136"/>
      <c r="AIQ7" s="344"/>
      <c r="AIR7" s="344"/>
      <c r="AIS7" s="344"/>
      <c r="AIT7" s="344"/>
      <c r="AIU7" s="136"/>
      <c r="AIV7" s="137"/>
      <c r="AIW7" s="137"/>
      <c r="AIX7" s="136"/>
      <c r="AIY7" s="344"/>
      <c r="AIZ7" s="344"/>
      <c r="AJA7" s="344"/>
      <c r="AJB7" s="344"/>
      <c r="AJC7" s="136"/>
      <c r="AJD7" s="137"/>
      <c r="AJE7" s="137"/>
      <c r="AJF7" s="136"/>
      <c r="AJG7" s="344"/>
      <c r="AJH7" s="344"/>
      <c r="AJI7" s="344"/>
      <c r="AJJ7" s="344"/>
      <c r="AJK7" s="136"/>
      <c r="AJL7" s="137"/>
      <c r="AJM7" s="137"/>
      <c r="AJN7" s="136"/>
      <c r="AJO7" s="344"/>
      <c r="AJP7" s="344"/>
      <c r="AJQ7" s="344"/>
      <c r="AJR7" s="344"/>
      <c r="AJS7" s="136"/>
      <c r="AJT7" s="137"/>
      <c r="AJU7" s="137"/>
      <c r="AJV7" s="136"/>
      <c r="AJW7" s="344"/>
      <c r="AJX7" s="344"/>
      <c r="AJY7" s="344"/>
      <c r="AJZ7" s="344"/>
      <c r="AKA7" s="136"/>
      <c r="AKB7" s="137"/>
      <c r="AKC7" s="137"/>
      <c r="AKD7" s="136"/>
      <c r="AKE7" s="344"/>
      <c r="AKF7" s="344"/>
      <c r="AKG7" s="344"/>
      <c r="AKH7" s="344"/>
      <c r="AKI7" s="136"/>
      <c r="AKJ7" s="137"/>
      <c r="AKK7" s="137"/>
      <c r="AKL7" s="136"/>
      <c r="AKM7" s="344"/>
      <c r="AKN7" s="344"/>
      <c r="AKO7" s="344"/>
      <c r="AKP7" s="344"/>
      <c r="AKQ7" s="136"/>
      <c r="AKR7" s="137"/>
      <c r="AKS7" s="137"/>
      <c r="AKT7" s="136"/>
      <c r="AKU7" s="344"/>
      <c r="AKV7" s="344"/>
      <c r="AKW7" s="344"/>
      <c r="AKX7" s="344"/>
      <c r="AKY7" s="136"/>
      <c r="AKZ7" s="137"/>
      <c r="ALA7" s="137"/>
      <c r="ALB7" s="136"/>
      <c r="ALC7" s="344"/>
      <c r="ALD7" s="344"/>
      <c r="ALE7" s="344"/>
      <c r="ALF7" s="344"/>
      <c r="ALG7" s="136"/>
      <c r="ALH7" s="137"/>
      <c r="ALI7" s="137"/>
      <c r="ALJ7" s="136"/>
      <c r="ALK7" s="344"/>
      <c r="ALL7" s="344"/>
      <c r="ALM7" s="344"/>
      <c r="ALN7" s="344"/>
      <c r="ALO7" s="136"/>
      <c r="ALP7" s="137"/>
      <c r="ALQ7" s="137"/>
      <c r="ALR7" s="136"/>
      <c r="ALS7" s="344"/>
      <c r="ALT7" s="344"/>
      <c r="ALU7" s="344"/>
      <c r="ALV7" s="344"/>
      <c r="ALW7" s="136"/>
      <c r="ALX7" s="137"/>
      <c r="ALY7" s="137"/>
      <c r="ALZ7" s="136"/>
      <c r="AMA7" s="344"/>
      <c r="AMB7" s="344"/>
      <c r="AMC7" s="344"/>
      <c r="AMD7" s="344"/>
      <c r="AME7" s="136"/>
      <c r="AMF7" s="137"/>
      <c r="AMG7" s="137"/>
      <c r="AMH7" s="136"/>
      <c r="AMI7" s="344"/>
      <c r="AMJ7" s="344"/>
      <c r="AMK7" s="344"/>
      <c r="AML7" s="344"/>
      <c r="AMM7" s="136"/>
      <c r="AMN7" s="137"/>
      <c r="AMO7" s="137"/>
      <c r="AMP7" s="136"/>
      <c r="AMQ7" s="344"/>
      <c r="AMR7" s="344"/>
      <c r="AMS7" s="344"/>
      <c r="AMT7" s="344"/>
      <c r="AMU7" s="136"/>
      <c r="AMV7" s="137"/>
      <c r="AMW7" s="137"/>
      <c r="AMX7" s="136"/>
      <c r="AMY7" s="344"/>
      <c r="AMZ7" s="344"/>
      <c r="ANA7" s="344"/>
      <c r="ANB7" s="344"/>
      <c r="ANC7" s="136"/>
      <c r="AND7" s="137"/>
      <c r="ANE7" s="137"/>
      <c r="ANF7" s="136"/>
      <c r="ANG7" s="344"/>
      <c r="ANH7" s="344"/>
      <c r="ANI7" s="344"/>
      <c r="ANJ7" s="344"/>
      <c r="ANK7" s="136"/>
      <c r="ANL7" s="137"/>
      <c r="ANM7" s="137"/>
      <c r="ANN7" s="136"/>
      <c r="ANO7" s="344"/>
      <c r="ANP7" s="344"/>
      <c r="ANQ7" s="344"/>
      <c r="ANR7" s="344"/>
      <c r="ANS7" s="136"/>
      <c r="ANT7" s="137"/>
      <c r="ANU7" s="137"/>
      <c r="ANV7" s="136"/>
      <c r="ANW7" s="344"/>
      <c r="ANX7" s="344"/>
      <c r="ANY7" s="344"/>
      <c r="ANZ7" s="344"/>
      <c r="AOA7" s="136"/>
      <c r="AOB7" s="137"/>
      <c r="AOC7" s="137"/>
      <c r="AOD7" s="136"/>
      <c r="AOE7" s="344"/>
      <c r="AOF7" s="344"/>
      <c r="AOG7" s="344"/>
      <c r="AOH7" s="344"/>
      <c r="AOI7" s="136"/>
      <c r="AOJ7" s="137"/>
      <c r="AOK7" s="137"/>
      <c r="AOL7" s="136"/>
      <c r="AOM7" s="344"/>
      <c r="AON7" s="344"/>
      <c r="AOO7" s="344"/>
      <c r="AOP7" s="344"/>
      <c r="AOQ7" s="136"/>
      <c r="AOR7" s="137"/>
      <c r="AOS7" s="137"/>
      <c r="AOT7" s="136"/>
      <c r="AOU7" s="344"/>
      <c r="AOV7" s="344"/>
      <c r="AOW7" s="344"/>
      <c r="AOX7" s="344"/>
      <c r="AOY7" s="136"/>
      <c r="AOZ7" s="137"/>
      <c r="APA7" s="137"/>
      <c r="APB7" s="136"/>
      <c r="APC7" s="344"/>
      <c r="APD7" s="344"/>
      <c r="APE7" s="344"/>
      <c r="APF7" s="344"/>
      <c r="APG7" s="136"/>
      <c r="APH7" s="137"/>
      <c r="API7" s="137"/>
      <c r="APJ7" s="136"/>
      <c r="APK7" s="344"/>
      <c r="APL7" s="344"/>
      <c r="APM7" s="344"/>
      <c r="APN7" s="344"/>
      <c r="APO7" s="136"/>
      <c r="APP7" s="137"/>
      <c r="APQ7" s="137"/>
      <c r="APR7" s="136"/>
      <c r="APS7" s="344"/>
      <c r="APT7" s="344"/>
      <c r="APU7" s="344"/>
      <c r="APV7" s="344"/>
      <c r="APW7" s="136"/>
      <c r="APX7" s="137"/>
      <c r="APY7" s="137"/>
      <c r="APZ7" s="136"/>
      <c r="AQA7" s="344"/>
      <c r="AQB7" s="344"/>
      <c r="AQC7" s="344"/>
      <c r="AQD7" s="344"/>
      <c r="AQE7" s="136"/>
      <c r="AQF7" s="137"/>
      <c r="AQG7" s="137"/>
      <c r="AQH7" s="136"/>
      <c r="AQI7" s="344"/>
      <c r="AQJ7" s="344"/>
      <c r="AQK7" s="344"/>
      <c r="AQL7" s="344"/>
      <c r="AQM7" s="136"/>
      <c r="AQN7" s="137"/>
      <c r="AQO7" s="137"/>
      <c r="AQP7" s="136"/>
      <c r="AQQ7" s="344"/>
      <c r="AQR7" s="344"/>
      <c r="AQS7" s="344"/>
      <c r="AQT7" s="344"/>
      <c r="AQU7" s="136"/>
      <c r="AQV7" s="137"/>
      <c r="AQW7" s="137"/>
      <c r="AQX7" s="136"/>
      <c r="AQY7" s="344"/>
      <c r="AQZ7" s="344"/>
      <c r="ARA7" s="344"/>
      <c r="ARB7" s="344"/>
      <c r="ARC7" s="136"/>
      <c r="ARD7" s="137"/>
      <c r="ARE7" s="137"/>
      <c r="ARF7" s="136"/>
      <c r="ARG7" s="344"/>
      <c r="ARH7" s="344"/>
      <c r="ARI7" s="344"/>
      <c r="ARJ7" s="344"/>
      <c r="ARK7" s="136"/>
      <c r="ARL7" s="137"/>
      <c r="ARM7" s="137"/>
      <c r="ARN7" s="136"/>
      <c r="ARO7" s="344"/>
      <c r="ARP7" s="344"/>
      <c r="ARQ7" s="344"/>
      <c r="ARR7" s="344"/>
      <c r="ARS7" s="136"/>
      <c r="ART7" s="137"/>
      <c r="ARU7" s="137"/>
      <c r="ARV7" s="136"/>
      <c r="ARW7" s="344"/>
      <c r="ARX7" s="344"/>
      <c r="ARY7" s="344"/>
      <c r="ARZ7" s="344"/>
      <c r="ASA7" s="136"/>
      <c r="ASB7" s="137"/>
      <c r="ASC7" s="137"/>
      <c r="ASD7" s="136"/>
      <c r="ASE7" s="344"/>
      <c r="ASF7" s="344"/>
      <c r="ASG7" s="344"/>
      <c r="ASH7" s="344"/>
      <c r="ASI7" s="136"/>
      <c r="ASJ7" s="137"/>
      <c r="ASK7" s="137"/>
      <c r="ASL7" s="136"/>
      <c r="ASM7" s="344"/>
      <c r="ASN7" s="344"/>
      <c r="ASO7" s="344"/>
      <c r="ASP7" s="344"/>
      <c r="ASQ7" s="136"/>
      <c r="ASR7" s="137"/>
      <c r="ASS7" s="137"/>
      <c r="AST7" s="136"/>
      <c r="ASU7" s="344"/>
      <c r="ASV7" s="344"/>
      <c r="ASW7" s="344"/>
      <c r="ASX7" s="344"/>
      <c r="ASY7" s="136"/>
      <c r="ASZ7" s="137"/>
      <c r="ATA7" s="137"/>
      <c r="ATB7" s="136"/>
      <c r="ATC7" s="344"/>
      <c r="ATD7" s="344"/>
      <c r="ATE7" s="344"/>
      <c r="ATF7" s="344"/>
      <c r="ATG7" s="136"/>
      <c r="ATH7" s="137"/>
      <c r="ATI7" s="137"/>
      <c r="ATJ7" s="136"/>
      <c r="ATK7" s="344"/>
      <c r="ATL7" s="344"/>
      <c r="ATM7" s="344"/>
      <c r="ATN7" s="344"/>
      <c r="ATO7" s="136"/>
      <c r="ATP7" s="137"/>
      <c r="ATQ7" s="137"/>
      <c r="ATR7" s="136"/>
      <c r="ATS7" s="344"/>
      <c r="ATT7" s="344"/>
      <c r="ATU7" s="344"/>
      <c r="ATV7" s="344"/>
      <c r="ATW7" s="136"/>
      <c r="ATX7" s="137"/>
      <c r="ATY7" s="137"/>
      <c r="ATZ7" s="136"/>
      <c r="AUA7" s="344"/>
      <c r="AUB7" s="344"/>
      <c r="AUC7" s="344"/>
      <c r="AUD7" s="344"/>
      <c r="AUE7" s="136"/>
      <c r="AUF7" s="137"/>
      <c r="AUG7" s="137"/>
      <c r="AUH7" s="136"/>
      <c r="AUI7" s="344"/>
      <c r="AUJ7" s="344"/>
      <c r="AUK7" s="344"/>
      <c r="AUL7" s="344"/>
      <c r="AUM7" s="136"/>
      <c r="AUN7" s="137"/>
      <c r="AUO7" s="137"/>
      <c r="AUP7" s="136"/>
      <c r="AUQ7" s="344"/>
      <c r="AUR7" s="344"/>
      <c r="AUS7" s="344"/>
      <c r="AUT7" s="344"/>
      <c r="AUU7" s="136"/>
      <c r="AUV7" s="137"/>
      <c r="AUW7" s="137"/>
      <c r="AUX7" s="136"/>
      <c r="AUY7" s="344"/>
      <c r="AUZ7" s="344"/>
      <c r="AVA7" s="344"/>
      <c r="AVB7" s="344"/>
      <c r="AVC7" s="136"/>
      <c r="AVD7" s="137"/>
      <c r="AVE7" s="137"/>
      <c r="AVF7" s="136"/>
      <c r="AVG7" s="344"/>
      <c r="AVH7" s="344"/>
      <c r="AVI7" s="344"/>
      <c r="AVJ7" s="344"/>
      <c r="AVK7" s="136"/>
      <c r="AVL7" s="137"/>
      <c r="AVM7" s="137"/>
      <c r="AVN7" s="136"/>
      <c r="AVO7" s="344"/>
      <c r="AVP7" s="344"/>
      <c r="AVQ7" s="344"/>
      <c r="AVR7" s="344"/>
      <c r="AVS7" s="136"/>
      <c r="AVT7" s="137"/>
      <c r="AVU7" s="137"/>
      <c r="AVV7" s="136"/>
      <c r="AVW7" s="344"/>
      <c r="AVX7" s="344"/>
      <c r="AVY7" s="344"/>
      <c r="AVZ7" s="344"/>
      <c r="AWA7" s="136"/>
      <c r="AWB7" s="137"/>
      <c r="AWC7" s="137"/>
      <c r="AWD7" s="136"/>
      <c r="AWE7" s="344"/>
      <c r="AWF7" s="344"/>
      <c r="AWG7" s="344"/>
      <c r="AWH7" s="344"/>
      <c r="AWI7" s="136"/>
      <c r="AWJ7" s="137"/>
      <c r="AWK7" s="137"/>
      <c r="AWL7" s="136"/>
      <c r="AWM7" s="344"/>
      <c r="AWN7" s="344"/>
      <c r="AWO7" s="344"/>
      <c r="AWP7" s="344"/>
      <c r="AWQ7" s="136"/>
      <c r="AWR7" s="137"/>
      <c r="AWS7" s="137"/>
      <c r="AWT7" s="136"/>
      <c r="AWU7" s="344"/>
      <c r="AWV7" s="344"/>
      <c r="AWW7" s="344"/>
      <c r="AWX7" s="344"/>
      <c r="AWY7" s="136"/>
      <c r="AWZ7" s="137"/>
      <c r="AXA7" s="137"/>
      <c r="AXB7" s="136"/>
      <c r="AXC7" s="344"/>
      <c r="AXD7" s="344"/>
      <c r="AXE7" s="344"/>
      <c r="AXF7" s="344"/>
      <c r="AXG7" s="136"/>
      <c r="AXH7" s="137"/>
      <c r="AXI7" s="137"/>
      <c r="AXJ7" s="136"/>
      <c r="AXK7" s="344"/>
      <c r="AXL7" s="344"/>
      <c r="AXM7" s="344"/>
      <c r="AXN7" s="344"/>
      <c r="AXO7" s="136"/>
      <c r="AXP7" s="137"/>
      <c r="AXQ7" s="137"/>
      <c r="AXR7" s="136"/>
      <c r="AXS7" s="344"/>
      <c r="AXT7" s="344"/>
      <c r="AXU7" s="344"/>
      <c r="AXV7" s="344"/>
      <c r="AXW7" s="136"/>
      <c r="AXX7" s="137"/>
      <c r="AXY7" s="137"/>
      <c r="AXZ7" s="136"/>
      <c r="AYA7" s="344"/>
      <c r="AYB7" s="344"/>
      <c r="AYC7" s="344"/>
      <c r="AYD7" s="344"/>
      <c r="AYE7" s="136"/>
      <c r="AYF7" s="137"/>
      <c r="AYG7" s="137"/>
      <c r="AYH7" s="136"/>
      <c r="AYI7" s="344"/>
      <c r="AYJ7" s="344"/>
      <c r="AYK7" s="344"/>
      <c r="AYL7" s="344"/>
      <c r="AYM7" s="136"/>
      <c r="AYN7" s="137"/>
      <c r="AYO7" s="137"/>
      <c r="AYP7" s="136"/>
      <c r="AYQ7" s="344"/>
      <c r="AYR7" s="344"/>
      <c r="AYS7" s="344"/>
      <c r="AYT7" s="344"/>
      <c r="AYU7" s="136"/>
      <c r="AYV7" s="137"/>
      <c r="AYW7" s="137"/>
      <c r="AYX7" s="136"/>
      <c r="AYY7" s="344"/>
      <c r="AYZ7" s="344"/>
      <c r="AZA7" s="344"/>
      <c r="AZB7" s="344"/>
      <c r="AZC7" s="136"/>
      <c r="AZD7" s="137"/>
      <c r="AZE7" s="137"/>
      <c r="AZF7" s="136"/>
      <c r="AZG7" s="344"/>
      <c r="AZH7" s="344"/>
      <c r="AZI7" s="344"/>
      <c r="AZJ7" s="344"/>
      <c r="AZK7" s="136"/>
      <c r="AZL7" s="137"/>
      <c r="AZM7" s="137"/>
      <c r="AZN7" s="136"/>
      <c r="AZO7" s="344"/>
      <c r="AZP7" s="344"/>
      <c r="AZQ7" s="344"/>
      <c r="AZR7" s="344"/>
      <c r="AZS7" s="136"/>
      <c r="AZT7" s="137"/>
      <c r="AZU7" s="137"/>
      <c r="AZV7" s="136"/>
      <c r="AZW7" s="344"/>
      <c r="AZX7" s="344"/>
      <c r="AZY7" s="344"/>
      <c r="AZZ7" s="344"/>
      <c r="BAA7" s="136"/>
      <c r="BAB7" s="137"/>
      <c r="BAC7" s="137"/>
      <c r="BAD7" s="136"/>
      <c r="BAE7" s="344"/>
      <c r="BAF7" s="344"/>
      <c r="BAG7" s="344"/>
      <c r="BAH7" s="344"/>
      <c r="BAI7" s="136"/>
      <c r="BAJ7" s="137"/>
      <c r="BAK7" s="137"/>
      <c r="BAL7" s="136"/>
      <c r="BAM7" s="344"/>
      <c r="BAN7" s="344"/>
      <c r="BAO7" s="344"/>
      <c r="BAP7" s="344"/>
      <c r="BAQ7" s="136"/>
      <c r="BAR7" s="137"/>
      <c r="BAS7" s="137"/>
      <c r="BAT7" s="136"/>
      <c r="BAU7" s="344"/>
      <c r="BAV7" s="344"/>
      <c r="BAW7" s="344"/>
      <c r="BAX7" s="344"/>
      <c r="BAY7" s="136"/>
      <c r="BAZ7" s="137"/>
      <c r="BBA7" s="137"/>
      <c r="BBB7" s="136"/>
      <c r="BBC7" s="344"/>
      <c r="BBD7" s="344"/>
      <c r="BBE7" s="344"/>
      <c r="BBF7" s="344"/>
      <c r="BBG7" s="136"/>
      <c r="BBH7" s="137"/>
      <c r="BBI7" s="137"/>
      <c r="BBJ7" s="136"/>
      <c r="BBK7" s="344"/>
      <c r="BBL7" s="344"/>
      <c r="BBM7" s="344"/>
      <c r="BBN7" s="344"/>
      <c r="BBO7" s="136"/>
      <c r="BBP7" s="137"/>
      <c r="BBQ7" s="137"/>
      <c r="BBR7" s="136"/>
      <c r="BBS7" s="344"/>
      <c r="BBT7" s="344"/>
      <c r="BBU7" s="344"/>
      <c r="BBV7" s="344"/>
      <c r="BBW7" s="136"/>
      <c r="BBX7" s="137"/>
      <c r="BBY7" s="137"/>
      <c r="BBZ7" s="136"/>
      <c r="BCA7" s="344"/>
      <c r="BCB7" s="344"/>
      <c r="BCC7" s="344"/>
      <c r="BCD7" s="344"/>
      <c r="BCE7" s="136"/>
      <c r="BCF7" s="137"/>
      <c r="BCG7" s="137"/>
      <c r="BCH7" s="136"/>
      <c r="BCI7" s="344"/>
      <c r="BCJ7" s="344"/>
      <c r="BCK7" s="344"/>
      <c r="BCL7" s="344"/>
      <c r="BCM7" s="136"/>
      <c r="BCN7" s="137"/>
      <c r="BCO7" s="137"/>
      <c r="BCP7" s="136"/>
      <c r="BCQ7" s="344"/>
      <c r="BCR7" s="344"/>
      <c r="BCS7" s="344"/>
      <c r="BCT7" s="344"/>
      <c r="BCU7" s="136"/>
      <c r="BCV7" s="137"/>
      <c r="BCW7" s="137"/>
      <c r="BCX7" s="136"/>
      <c r="BCY7" s="344"/>
      <c r="BCZ7" s="344"/>
      <c r="BDA7" s="344"/>
      <c r="BDB7" s="344"/>
      <c r="BDC7" s="136"/>
      <c r="BDD7" s="137"/>
      <c r="BDE7" s="137"/>
      <c r="BDF7" s="136"/>
      <c r="BDG7" s="344"/>
      <c r="BDH7" s="344"/>
      <c r="BDI7" s="344"/>
      <c r="BDJ7" s="344"/>
      <c r="BDK7" s="136"/>
      <c r="BDL7" s="137"/>
      <c r="BDM7" s="137"/>
      <c r="BDN7" s="136"/>
      <c r="BDO7" s="344"/>
      <c r="BDP7" s="344"/>
      <c r="BDQ7" s="344"/>
      <c r="BDR7" s="344"/>
      <c r="BDS7" s="136"/>
      <c r="BDT7" s="137"/>
      <c r="BDU7" s="137"/>
      <c r="BDV7" s="136"/>
      <c r="BDW7" s="344"/>
      <c r="BDX7" s="344"/>
      <c r="BDY7" s="344"/>
      <c r="BDZ7" s="344"/>
      <c r="BEA7" s="136"/>
      <c r="BEB7" s="137"/>
      <c r="BEC7" s="137"/>
      <c r="BED7" s="136"/>
      <c r="BEE7" s="344"/>
      <c r="BEF7" s="344"/>
      <c r="BEG7" s="344"/>
      <c r="BEH7" s="344"/>
      <c r="BEI7" s="136"/>
      <c r="BEJ7" s="137"/>
      <c r="BEK7" s="137"/>
      <c r="BEL7" s="136"/>
      <c r="BEM7" s="344"/>
      <c r="BEN7" s="344"/>
      <c r="BEO7" s="344"/>
      <c r="BEP7" s="344"/>
      <c r="BEQ7" s="136"/>
      <c r="BER7" s="137"/>
      <c r="BES7" s="137"/>
      <c r="BET7" s="136"/>
      <c r="BEU7" s="344"/>
      <c r="BEV7" s="344"/>
      <c r="BEW7" s="344"/>
      <c r="BEX7" s="344"/>
      <c r="BEY7" s="136"/>
      <c r="BEZ7" s="137"/>
      <c r="BFA7" s="137"/>
      <c r="BFB7" s="136"/>
      <c r="BFC7" s="344"/>
      <c r="BFD7" s="344"/>
      <c r="BFE7" s="344"/>
      <c r="BFF7" s="344"/>
      <c r="BFG7" s="136"/>
      <c r="BFH7" s="137"/>
      <c r="BFI7" s="137"/>
      <c r="BFJ7" s="136"/>
      <c r="BFK7" s="344"/>
      <c r="BFL7" s="344"/>
      <c r="BFM7" s="344"/>
      <c r="BFN7" s="344"/>
      <c r="BFO7" s="136"/>
      <c r="BFP7" s="137"/>
      <c r="BFQ7" s="137"/>
      <c r="BFR7" s="136"/>
      <c r="BFS7" s="344"/>
      <c r="BFT7" s="344"/>
      <c r="BFU7" s="344"/>
      <c r="BFV7" s="344"/>
      <c r="BFW7" s="136"/>
      <c r="BFX7" s="137"/>
      <c r="BFY7" s="137"/>
      <c r="BFZ7" s="136"/>
      <c r="BGA7" s="344"/>
      <c r="BGB7" s="344"/>
      <c r="BGC7" s="344"/>
      <c r="BGD7" s="344"/>
      <c r="BGE7" s="136"/>
      <c r="BGF7" s="137"/>
      <c r="BGG7" s="137"/>
      <c r="BGH7" s="136"/>
      <c r="BGI7" s="344"/>
      <c r="BGJ7" s="344"/>
      <c r="BGK7" s="344"/>
      <c r="BGL7" s="344"/>
      <c r="BGM7" s="136"/>
      <c r="BGN7" s="137"/>
      <c r="BGO7" s="137"/>
      <c r="BGP7" s="136"/>
      <c r="BGQ7" s="344"/>
      <c r="BGR7" s="344"/>
      <c r="BGS7" s="344"/>
      <c r="BGT7" s="344"/>
      <c r="BGU7" s="136"/>
      <c r="BGV7" s="137"/>
      <c r="BGW7" s="137"/>
      <c r="BGX7" s="136"/>
      <c r="BGY7" s="344"/>
      <c r="BGZ7" s="344"/>
      <c r="BHA7" s="344"/>
      <c r="BHB7" s="344"/>
      <c r="BHC7" s="136"/>
      <c r="BHD7" s="137"/>
      <c r="BHE7" s="137"/>
      <c r="BHF7" s="136"/>
      <c r="BHG7" s="344"/>
      <c r="BHH7" s="344"/>
      <c r="BHI7" s="344"/>
      <c r="BHJ7" s="344"/>
      <c r="BHK7" s="136"/>
      <c r="BHL7" s="137"/>
      <c r="BHM7" s="137"/>
      <c r="BHN7" s="136"/>
      <c r="BHO7" s="344"/>
      <c r="BHP7" s="344"/>
      <c r="BHQ7" s="344"/>
      <c r="BHR7" s="344"/>
      <c r="BHS7" s="136"/>
      <c r="BHT7" s="137"/>
      <c r="BHU7" s="137"/>
      <c r="BHV7" s="136"/>
      <c r="BHW7" s="344"/>
      <c r="BHX7" s="344"/>
      <c r="BHY7" s="344"/>
      <c r="BHZ7" s="344"/>
      <c r="BIA7" s="136"/>
      <c r="BIB7" s="137"/>
      <c r="BIC7" s="137"/>
      <c r="BID7" s="136"/>
      <c r="BIE7" s="344"/>
      <c r="BIF7" s="344"/>
      <c r="BIG7" s="344"/>
      <c r="BIH7" s="344"/>
      <c r="BII7" s="136"/>
      <c r="BIJ7" s="137"/>
      <c r="BIK7" s="137"/>
      <c r="BIL7" s="136"/>
      <c r="BIM7" s="344"/>
      <c r="BIN7" s="344"/>
      <c r="BIO7" s="344"/>
      <c r="BIP7" s="344"/>
      <c r="BIQ7" s="136"/>
      <c r="BIR7" s="137"/>
      <c r="BIS7" s="137"/>
      <c r="BIT7" s="136"/>
      <c r="BIU7" s="344"/>
      <c r="BIV7" s="344"/>
      <c r="BIW7" s="344"/>
      <c r="BIX7" s="344"/>
      <c r="BIY7" s="136"/>
      <c r="BIZ7" s="137"/>
      <c r="BJA7" s="137"/>
      <c r="BJB7" s="136"/>
      <c r="BJC7" s="344"/>
      <c r="BJD7" s="344"/>
      <c r="BJE7" s="344"/>
      <c r="BJF7" s="344"/>
      <c r="BJG7" s="136"/>
      <c r="BJH7" s="137"/>
      <c r="BJI7" s="137"/>
      <c r="BJJ7" s="136"/>
      <c r="BJK7" s="344"/>
      <c r="BJL7" s="344"/>
      <c r="BJM7" s="344"/>
      <c r="BJN7" s="344"/>
      <c r="BJO7" s="136"/>
      <c r="BJP7" s="137"/>
      <c r="BJQ7" s="137"/>
      <c r="BJR7" s="136"/>
      <c r="BJS7" s="344"/>
      <c r="BJT7" s="344"/>
      <c r="BJU7" s="344"/>
      <c r="BJV7" s="344"/>
      <c r="BJW7" s="136"/>
      <c r="BJX7" s="137"/>
      <c r="BJY7" s="137"/>
      <c r="BJZ7" s="136"/>
      <c r="BKA7" s="344"/>
      <c r="BKB7" s="344"/>
      <c r="BKC7" s="344"/>
      <c r="BKD7" s="344"/>
      <c r="BKE7" s="136"/>
      <c r="BKF7" s="137"/>
      <c r="BKG7" s="137"/>
      <c r="BKH7" s="136"/>
      <c r="BKI7" s="344"/>
      <c r="BKJ7" s="344"/>
      <c r="BKK7" s="344"/>
      <c r="BKL7" s="344"/>
      <c r="BKM7" s="136"/>
      <c r="BKN7" s="137"/>
      <c r="BKO7" s="137"/>
      <c r="BKP7" s="136"/>
      <c r="BKQ7" s="344"/>
      <c r="BKR7" s="344"/>
      <c r="BKS7" s="344"/>
      <c r="BKT7" s="344"/>
      <c r="BKU7" s="136"/>
      <c r="BKV7" s="137"/>
      <c r="BKW7" s="137"/>
      <c r="BKX7" s="136"/>
      <c r="BKY7" s="344"/>
      <c r="BKZ7" s="344"/>
      <c r="BLA7" s="344"/>
      <c r="BLB7" s="344"/>
      <c r="BLC7" s="136"/>
      <c r="BLD7" s="137"/>
      <c r="BLE7" s="137"/>
      <c r="BLF7" s="136"/>
      <c r="BLG7" s="344"/>
      <c r="BLH7" s="344"/>
      <c r="BLI7" s="344"/>
      <c r="BLJ7" s="344"/>
      <c r="BLK7" s="136"/>
      <c r="BLL7" s="137"/>
      <c r="BLM7" s="137"/>
      <c r="BLN7" s="136"/>
      <c r="BLO7" s="344"/>
      <c r="BLP7" s="344"/>
      <c r="BLQ7" s="344"/>
      <c r="BLR7" s="344"/>
      <c r="BLS7" s="136"/>
      <c r="BLT7" s="137"/>
      <c r="BLU7" s="137"/>
      <c r="BLV7" s="136"/>
      <c r="BLW7" s="344"/>
      <c r="BLX7" s="344"/>
      <c r="BLY7" s="344"/>
      <c r="BLZ7" s="344"/>
      <c r="BMA7" s="136"/>
      <c r="BMB7" s="137"/>
      <c r="BMC7" s="137"/>
      <c r="BMD7" s="136"/>
      <c r="BME7" s="344"/>
      <c r="BMF7" s="344"/>
      <c r="BMG7" s="344"/>
      <c r="BMH7" s="344"/>
      <c r="BMI7" s="136"/>
      <c r="BMJ7" s="137"/>
      <c r="BMK7" s="137"/>
      <c r="BML7" s="136"/>
      <c r="BMM7" s="344"/>
      <c r="BMN7" s="344"/>
      <c r="BMO7" s="344"/>
      <c r="BMP7" s="344"/>
      <c r="BMQ7" s="136"/>
      <c r="BMR7" s="137"/>
      <c r="BMS7" s="137"/>
      <c r="BMT7" s="136"/>
      <c r="BMU7" s="344"/>
      <c r="BMV7" s="344"/>
      <c r="BMW7" s="344"/>
      <c r="BMX7" s="344"/>
      <c r="BMY7" s="136"/>
      <c r="BMZ7" s="137"/>
      <c r="BNA7" s="137"/>
      <c r="BNB7" s="136"/>
      <c r="BNC7" s="344"/>
      <c r="BND7" s="344"/>
      <c r="BNE7" s="344"/>
      <c r="BNF7" s="344"/>
      <c r="BNG7" s="136"/>
      <c r="BNH7" s="137"/>
      <c r="BNI7" s="137"/>
      <c r="BNJ7" s="136"/>
      <c r="BNK7" s="344"/>
      <c r="BNL7" s="344"/>
      <c r="BNM7" s="344"/>
      <c r="BNN7" s="344"/>
      <c r="BNO7" s="136"/>
      <c r="BNP7" s="137"/>
      <c r="BNQ7" s="137"/>
      <c r="BNR7" s="136"/>
      <c r="BNS7" s="344"/>
      <c r="BNT7" s="344"/>
      <c r="BNU7" s="344"/>
      <c r="BNV7" s="344"/>
      <c r="BNW7" s="136"/>
      <c r="BNX7" s="137"/>
      <c r="BNY7" s="137"/>
      <c r="BNZ7" s="136"/>
      <c r="BOA7" s="344"/>
      <c r="BOB7" s="344"/>
      <c r="BOC7" s="344"/>
      <c r="BOD7" s="344"/>
      <c r="BOE7" s="136"/>
      <c r="BOF7" s="137"/>
      <c r="BOG7" s="137"/>
      <c r="BOH7" s="136"/>
      <c r="BOI7" s="344"/>
      <c r="BOJ7" s="344"/>
      <c r="BOK7" s="344"/>
      <c r="BOL7" s="344"/>
      <c r="BOM7" s="136"/>
      <c r="BON7" s="137"/>
      <c r="BOO7" s="137"/>
      <c r="BOP7" s="136"/>
      <c r="BOQ7" s="344"/>
      <c r="BOR7" s="344"/>
      <c r="BOS7" s="344"/>
      <c r="BOT7" s="344"/>
      <c r="BOU7" s="136"/>
      <c r="BOV7" s="137"/>
      <c r="BOW7" s="137"/>
      <c r="BOX7" s="136"/>
      <c r="BOY7" s="344"/>
      <c r="BOZ7" s="344"/>
      <c r="BPA7" s="344"/>
      <c r="BPB7" s="344"/>
      <c r="BPC7" s="136"/>
      <c r="BPD7" s="137"/>
      <c r="BPE7" s="137"/>
      <c r="BPF7" s="136"/>
      <c r="BPG7" s="344"/>
      <c r="BPH7" s="344"/>
      <c r="BPI7" s="344"/>
      <c r="BPJ7" s="344"/>
      <c r="BPK7" s="136"/>
      <c r="BPL7" s="137"/>
      <c r="BPM7" s="137"/>
      <c r="BPN7" s="136"/>
      <c r="BPO7" s="344"/>
      <c r="BPP7" s="344"/>
      <c r="BPQ7" s="344"/>
      <c r="BPR7" s="344"/>
      <c r="BPS7" s="136"/>
      <c r="BPT7" s="137"/>
      <c r="BPU7" s="137"/>
      <c r="BPV7" s="136"/>
      <c r="BPW7" s="344"/>
      <c r="BPX7" s="344"/>
      <c r="BPY7" s="344"/>
      <c r="BPZ7" s="344"/>
      <c r="BQA7" s="136"/>
      <c r="BQB7" s="137"/>
      <c r="BQC7" s="137"/>
      <c r="BQD7" s="136"/>
      <c r="BQE7" s="344"/>
      <c r="BQF7" s="344"/>
      <c r="BQG7" s="344"/>
      <c r="BQH7" s="344"/>
      <c r="BQI7" s="136"/>
      <c r="BQJ7" s="137"/>
      <c r="BQK7" s="137"/>
      <c r="BQL7" s="136"/>
      <c r="BQM7" s="344"/>
      <c r="BQN7" s="344"/>
      <c r="BQO7" s="344"/>
      <c r="BQP7" s="344"/>
      <c r="BQQ7" s="136"/>
      <c r="BQR7" s="137"/>
      <c r="BQS7" s="137"/>
      <c r="BQT7" s="136"/>
      <c r="BQU7" s="344"/>
      <c r="BQV7" s="344"/>
      <c r="BQW7" s="344"/>
      <c r="BQX7" s="344"/>
      <c r="BQY7" s="136"/>
      <c r="BQZ7" s="137"/>
      <c r="BRA7" s="137"/>
      <c r="BRB7" s="136"/>
      <c r="BRC7" s="344"/>
      <c r="BRD7" s="344"/>
      <c r="BRE7" s="344"/>
      <c r="BRF7" s="344"/>
      <c r="BRG7" s="136"/>
      <c r="BRH7" s="137"/>
      <c r="BRI7" s="137"/>
      <c r="BRJ7" s="136"/>
      <c r="BRK7" s="344"/>
      <c r="BRL7" s="344"/>
      <c r="BRM7" s="344"/>
      <c r="BRN7" s="344"/>
      <c r="BRO7" s="136"/>
      <c r="BRP7" s="137"/>
      <c r="BRQ7" s="137"/>
      <c r="BRR7" s="136"/>
      <c r="BRS7" s="344"/>
      <c r="BRT7" s="344"/>
      <c r="BRU7" s="344"/>
      <c r="BRV7" s="344"/>
      <c r="BRW7" s="136"/>
      <c r="BRX7" s="137"/>
      <c r="BRY7" s="137"/>
      <c r="BRZ7" s="136"/>
      <c r="BSA7" s="344"/>
      <c r="BSB7" s="344"/>
      <c r="BSC7" s="344"/>
      <c r="BSD7" s="344"/>
      <c r="BSE7" s="136"/>
      <c r="BSF7" s="137"/>
      <c r="BSG7" s="137"/>
      <c r="BSH7" s="136"/>
      <c r="BSI7" s="344"/>
      <c r="BSJ7" s="344"/>
      <c r="BSK7" s="344"/>
      <c r="BSL7" s="344"/>
      <c r="BSM7" s="136"/>
      <c r="BSN7" s="137"/>
      <c r="BSO7" s="137"/>
      <c r="BSP7" s="136"/>
      <c r="BSQ7" s="344"/>
      <c r="BSR7" s="344"/>
      <c r="BSS7" s="344"/>
      <c r="BST7" s="344"/>
      <c r="BSU7" s="136"/>
      <c r="BSV7" s="137"/>
      <c r="BSW7" s="137"/>
      <c r="BSX7" s="136"/>
      <c r="BSY7" s="344"/>
      <c r="BSZ7" s="344"/>
      <c r="BTA7" s="344"/>
      <c r="BTB7" s="344"/>
      <c r="BTC7" s="136"/>
      <c r="BTD7" s="137"/>
      <c r="BTE7" s="137"/>
      <c r="BTF7" s="136"/>
      <c r="BTG7" s="344"/>
      <c r="BTH7" s="344"/>
      <c r="BTI7" s="344"/>
      <c r="BTJ7" s="344"/>
      <c r="BTK7" s="136"/>
      <c r="BTL7" s="137"/>
      <c r="BTM7" s="137"/>
      <c r="BTN7" s="136"/>
      <c r="BTO7" s="344"/>
      <c r="BTP7" s="344"/>
      <c r="BTQ7" s="344"/>
      <c r="BTR7" s="344"/>
      <c r="BTS7" s="136"/>
      <c r="BTT7" s="137"/>
      <c r="BTU7" s="137"/>
      <c r="BTV7" s="136"/>
      <c r="BTW7" s="344"/>
      <c r="BTX7" s="344"/>
      <c r="BTY7" s="344"/>
      <c r="BTZ7" s="344"/>
      <c r="BUA7" s="136"/>
      <c r="BUB7" s="137"/>
      <c r="BUC7" s="137"/>
      <c r="BUD7" s="136"/>
      <c r="BUE7" s="344"/>
      <c r="BUF7" s="344"/>
      <c r="BUG7" s="344"/>
      <c r="BUH7" s="344"/>
      <c r="BUI7" s="136"/>
      <c r="BUJ7" s="137"/>
      <c r="BUK7" s="137"/>
      <c r="BUL7" s="136"/>
      <c r="BUM7" s="344"/>
      <c r="BUN7" s="344"/>
      <c r="BUO7" s="344"/>
      <c r="BUP7" s="344"/>
      <c r="BUQ7" s="136"/>
      <c r="BUR7" s="137"/>
      <c r="BUS7" s="137"/>
      <c r="BUT7" s="136"/>
      <c r="BUU7" s="344"/>
      <c r="BUV7" s="344"/>
      <c r="BUW7" s="344"/>
      <c r="BUX7" s="344"/>
      <c r="BUY7" s="136"/>
      <c r="BUZ7" s="137"/>
      <c r="BVA7" s="137"/>
      <c r="BVB7" s="136"/>
      <c r="BVC7" s="344"/>
      <c r="BVD7" s="344"/>
      <c r="BVE7" s="344"/>
      <c r="BVF7" s="344"/>
      <c r="BVG7" s="136"/>
      <c r="BVH7" s="137"/>
      <c r="BVI7" s="137"/>
      <c r="BVJ7" s="136"/>
      <c r="BVK7" s="344"/>
      <c r="BVL7" s="344"/>
      <c r="BVM7" s="344"/>
      <c r="BVN7" s="344"/>
      <c r="BVO7" s="136"/>
      <c r="BVP7" s="137"/>
      <c r="BVQ7" s="137"/>
      <c r="BVR7" s="136"/>
      <c r="BVS7" s="344"/>
      <c r="BVT7" s="344"/>
      <c r="BVU7" s="344"/>
      <c r="BVV7" s="344"/>
      <c r="BVW7" s="136"/>
      <c r="BVX7" s="137"/>
      <c r="BVY7" s="137"/>
      <c r="BVZ7" s="136"/>
      <c r="BWA7" s="344"/>
      <c r="BWB7" s="344"/>
      <c r="BWC7" s="344"/>
      <c r="BWD7" s="344"/>
      <c r="BWE7" s="136"/>
      <c r="BWF7" s="137"/>
      <c r="BWG7" s="137"/>
      <c r="BWH7" s="136"/>
      <c r="BWI7" s="344"/>
      <c r="BWJ7" s="344"/>
      <c r="BWK7" s="344"/>
      <c r="BWL7" s="344"/>
      <c r="BWM7" s="136"/>
      <c r="BWN7" s="137"/>
      <c r="BWO7" s="137"/>
      <c r="BWP7" s="136"/>
      <c r="BWQ7" s="344"/>
      <c r="BWR7" s="344"/>
      <c r="BWS7" s="344"/>
      <c r="BWT7" s="344"/>
      <c r="BWU7" s="136"/>
      <c r="BWV7" s="137"/>
      <c r="BWW7" s="137"/>
      <c r="BWX7" s="136"/>
      <c r="BWY7" s="344"/>
      <c r="BWZ7" s="344"/>
      <c r="BXA7" s="344"/>
      <c r="BXB7" s="344"/>
      <c r="BXC7" s="136"/>
      <c r="BXD7" s="137"/>
      <c r="BXE7" s="137"/>
      <c r="BXF7" s="136"/>
      <c r="BXG7" s="344"/>
      <c r="BXH7" s="344"/>
      <c r="BXI7" s="344"/>
      <c r="BXJ7" s="344"/>
      <c r="BXK7" s="136"/>
      <c r="BXL7" s="137"/>
      <c r="BXM7" s="137"/>
      <c r="BXN7" s="136"/>
      <c r="BXO7" s="344"/>
      <c r="BXP7" s="344"/>
      <c r="BXQ7" s="344"/>
      <c r="BXR7" s="344"/>
      <c r="BXS7" s="136"/>
      <c r="BXT7" s="137"/>
      <c r="BXU7" s="137"/>
      <c r="BXV7" s="136"/>
      <c r="BXW7" s="344"/>
      <c r="BXX7" s="344"/>
      <c r="BXY7" s="344"/>
      <c r="BXZ7" s="344"/>
      <c r="BYA7" s="136"/>
      <c r="BYB7" s="137"/>
      <c r="BYC7" s="137"/>
      <c r="BYD7" s="136"/>
      <c r="BYE7" s="344"/>
      <c r="BYF7" s="344"/>
      <c r="BYG7" s="344"/>
      <c r="BYH7" s="344"/>
      <c r="BYI7" s="136"/>
      <c r="BYJ7" s="137"/>
      <c r="BYK7" s="137"/>
      <c r="BYL7" s="136"/>
      <c r="BYM7" s="344"/>
      <c r="BYN7" s="344"/>
      <c r="BYO7" s="344"/>
      <c r="BYP7" s="344"/>
      <c r="BYQ7" s="136"/>
      <c r="BYR7" s="137"/>
      <c r="BYS7" s="137"/>
      <c r="BYT7" s="136"/>
      <c r="BYU7" s="344"/>
      <c r="BYV7" s="344"/>
      <c r="BYW7" s="344"/>
      <c r="BYX7" s="344"/>
      <c r="BYY7" s="136"/>
      <c r="BYZ7" s="137"/>
      <c r="BZA7" s="137"/>
      <c r="BZB7" s="136"/>
      <c r="BZC7" s="344"/>
      <c r="BZD7" s="344"/>
      <c r="BZE7" s="344"/>
      <c r="BZF7" s="344"/>
      <c r="BZG7" s="136"/>
      <c r="BZH7" s="137"/>
      <c r="BZI7" s="137"/>
      <c r="BZJ7" s="136"/>
      <c r="BZK7" s="344"/>
      <c r="BZL7" s="344"/>
      <c r="BZM7" s="344"/>
      <c r="BZN7" s="344"/>
      <c r="BZO7" s="136"/>
      <c r="BZP7" s="137"/>
      <c r="BZQ7" s="137"/>
      <c r="BZR7" s="136"/>
      <c r="BZS7" s="344"/>
      <c r="BZT7" s="344"/>
      <c r="BZU7" s="344"/>
      <c r="BZV7" s="344"/>
      <c r="BZW7" s="136"/>
      <c r="BZX7" s="137"/>
      <c r="BZY7" s="137"/>
      <c r="BZZ7" s="136"/>
      <c r="CAA7" s="344"/>
      <c r="CAB7" s="344"/>
      <c r="CAC7" s="344"/>
      <c r="CAD7" s="344"/>
      <c r="CAE7" s="136"/>
      <c r="CAF7" s="137"/>
      <c r="CAG7" s="137"/>
      <c r="CAH7" s="136"/>
      <c r="CAI7" s="344"/>
      <c r="CAJ7" s="344"/>
      <c r="CAK7" s="344"/>
      <c r="CAL7" s="344"/>
      <c r="CAM7" s="136"/>
      <c r="CAN7" s="137"/>
      <c r="CAO7" s="137"/>
      <c r="CAP7" s="136"/>
      <c r="CAQ7" s="344"/>
      <c r="CAR7" s="344"/>
      <c r="CAS7" s="344"/>
      <c r="CAT7" s="344"/>
      <c r="CAU7" s="136"/>
      <c r="CAV7" s="137"/>
      <c r="CAW7" s="137"/>
      <c r="CAX7" s="136"/>
      <c r="CAY7" s="344"/>
      <c r="CAZ7" s="344"/>
      <c r="CBA7" s="344"/>
      <c r="CBB7" s="344"/>
      <c r="CBC7" s="136"/>
      <c r="CBD7" s="137"/>
      <c r="CBE7" s="137"/>
      <c r="CBF7" s="136"/>
      <c r="CBG7" s="344"/>
      <c r="CBH7" s="344"/>
      <c r="CBI7" s="344"/>
      <c r="CBJ7" s="344"/>
      <c r="CBK7" s="136"/>
      <c r="CBL7" s="137"/>
      <c r="CBM7" s="137"/>
      <c r="CBN7" s="136"/>
      <c r="CBO7" s="344"/>
      <c r="CBP7" s="344"/>
      <c r="CBQ7" s="344"/>
      <c r="CBR7" s="344"/>
      <c r="CBS7" s="136"/>
      <c r="CBT7" s="137"/>
      <c r="CBU7" s="137"/>
      <c r="CBV7" s="136"/>
      <c r="CBW7" s="344"/>
      <c r="CBX7" s="344"/>
      <c r="CBY7" s="344"/>
      <c r="CBZ7" s="344"/>
      <c r="CCA7" s="136"/>
      <c r="CCB7" s="137"/>
      <c r="CCC7" s="137"/>
      <c r="CCD7" s="136"/>
      <c r="CCE7" s="344"/>
      <c r="CCF7" s="344"/>
      <c r="CCG7" s="344"/>
      <c r="CCH7" s="344"/>
      <c r="CCI7" s="136"/>
      <c r="CCJ7" s="137"/>
      <c r="CCK7" s="137"/>
      <c r="CCL7" s="136"/>
      <c r="CCM7" s="344"/>
      <c r="CCN7" s="344"/>
      <c r="CCO7" s="344"/>
      <c r="CCP7" s="344"/>
      <c r="CCQ7" s="136"/>
      <c r="CCR7" s="137"/>
      <c r="CCS7" s="137"/>
      <c r="CCT7" s="136"/>
      <c r="CCU7" s="344"/>
      <c r="CCV7" s="344"/>
      <c r="CCW7" s="344"/>
      <c r="CCX7" s="344"/>
      <c r="CCY7" s="136"/>
      <c r="CCZ7" s="137"/>
      <c r="CDA7" s="137"/>
      <c r="CDB7" s="136"/>
      <c r="CDC7" s="344"/>
      <c r="CDD7" s="344"/>
      <c r="CDE7" s="344"/>
      <c r="CDF7" s="344"/>
      <c r="CDG7" s="136"/>
      <c r="CDH7" s="137"/>
      <c r="CDI7" s="137"/>
      <c r="CDJ7" s="136"/>
      <c r="CDK7" s="344"/>
      <c r="CDL7" s="344"/>
      <c r="CDM7" s="344"/>
      <c r="CDN7" s="344"/>
      <c r="CDO7" s="136"/>
      <c r="CDP7" s="137"/>
      <c r="CDQ7" s="137"/>
      <c r="CDR7" s="136"/>
      <c r="CDS7" s="344"/>
      <c r="CDT7" s="344"/>
      <c r="CDU7" s="344"/>
      <c r="CDV7" s="344"/>
      <c r="CDW7" s="136"/>
      <c r="CDX7" s="137"/>
      <c r="CDY7" s="137"/>
      <c r="CDZ7" s="136"/>
      <c r="CEA7" s="344"/>
      <c r="CEB7" s="344"/>
      <c r="CEC7" s="344"/>
      <c r="CED7" s="344"/>
      <c r="CEE7" s="136"/>
      <c r="CEF7" s="137"/>
      <c r="CEG7" s="137"/>
      <c r="CEH7" s="136"/>
      <c r="CEI7" s="344"/>
      <c r="CEJ7" s="344"/>
      <c r="CEK7" s="344"/>
      <c r="CEL7" s="344"/>
      <c r="CEM7" s="136"/>
      <c r="CEN7" s="137"/>
      <c r="CEO7" s="137"/>
      <c r="CEP7" s="136"/>
      <c r="CEQ7" s="344"/>
      <c r="CER7" s="344"/>
      <c r="CES7" s="344"/>
      <c r="CET7" s="344"/>
      <c r="CEU7" s="136"/>
      <c r="CEV7" s="137"/>
      <c r="CEW7" s="137"/>
      <c r="CEX7" s="136"/>
      <c r="CEY7" s="344"/>
      <c r="CEZ7" s="344"/>
      <c r="CFA7" s="344"/>
      <c r="CFB7" s="344"/>
      <c r="CFC7" s="136"/>
      <c r="CFD7" s="137"/>
      <c r="CFE7" s="137"/>
      <c r="CFF7" s="136"/>
      <c r="CFG7" s="344"/>
      <c r="CFH7" s="344"/>
      <c r="CFI7" s="344"/>
      <c r="CFJ7" s="344"/>
      <c r="CFK7" s="136"/>
      <c r="CFL7" s="137"/>
      <c r="CFM7" s="137"/>
      <c r="CFN7" s="136"/>
      <c r="CFO7" s="344"/>
      <c r="CFP7" s="344"/>
      <c r="CFQ7" s="344"/>
      <c r="CFR7" s="344"/>
      <c r="CFS7" s="136"/>
      <c r="CFT7" s="137"/>
      <c r="CFU7" s="137"/>
      <c r="CFV7" s="136"/>
      <c r="CFW7" s="344"/>
      <c r="CFX7" s="344"/>
      <c r="CFY7" s="344"/>
      <c r="CFZ7" s="344"/>
      <c r="CGA7" s="136"/>
      <c r="CGB7" s="137"/>
      <c r="CGC7" s="137"/>
      <c r="CGD7" s="136"/>
      <c r="CGE7" s="344"/>
      <c r="CGF7" s="344"/>
      <c r="CGG7" s="344"/>
      <c r="CGH7" s="344"/>
      <c r="CGI7" s="136"/>
      <c r="CGJ7" s="137"/>
      <c r="CGK7" s="137"/>
      <c r="CGL7" s="136"/>
      <c r="CGM7" s="344"/>
      <c r="CGN7" s="344"/>
      <c r="CGO7" s="344"/>
      <c r="CGP7" s="344"/>
      <c r="CGQ7" s="136"/>
      <c r="CGR7" s="137"/>
      <c r="CGS7" s="137"/>
      <c r="CGT7" s="136"/>
      <c r="CGU7" s="344"/>
      <c r="CGV7" s="344"/>
      <c r="CGW7" s="344"/>
      <c r="CGX7" s="344"/>
      <c r="CGY7" s="136"/>
      <c r="CGZ7" s="137"/>
      <c r="CHA7" s="137"/>
      <c r="CHB7" s="136"/>
      <c r="CHC7" s="344"/>
      <c r="CHD7" s="344"/>
      <c r="CHE7" s="344"/>
      <c r="CHF7" s="344"/>
      <c r="CHG7" s="136"/>
      <c r="CHH7" s="137"/>
      <c r="CHI7" s="137"/>
      <c r="CHJ7" s="136"/>
      <c r="CHK7" s="344"/>
      <c r="CHL7" s="344"/>
      <c r="CHM7" s="344"/>
      <c r="CHN7" s="344"/>
      <c r="CHO7" s="136"/>
      <c r="CHP7" s="137"/>
      <c r="CHQ7" s="137"/>
      <c r="CHR7" s="136"/>
      <c r="CHS7" s="344"/>
      <c r="CHT7" s="344"/>
      <c r="CHU7" s="344"/>
      <c r="CHV7" s="344"/>
      <c r="CHW7" s="136"/>
      <c r="CHX7" s="137"/>
      <c r="CHY7" s="137"/>
      <c r="CHZ7" s="136"/>
      <c r="CIA7" s="344"/>
      <c r="CIB7" s="344"/>
      <c r="CIC7" s="344"/>
      <c r="CID7" s="344"/>
      <c r="CIE7" s="136"/>
      <c r="CIF7" s="137"/>
      <c r="CIG7" s="137"/>
      <c r="CIH7" s="136"/>
      <c r="CII7" s="344"/>
      <c r="CIJ7" s="344"/>
      <c r="CIK7" s="344"/>
      <c r="CIL7" s="344"/>
      <c r="CIM7" s="136"/>
      <c r="CIN7" s="137"/>
      <c r="CIO7" s="137"/>
      <c r="CIP7" s="136"/>
      <c r="CIQ7" s="344"/>
      <c r="CIR7" s="344"/>
      <c r="CIS7" s="344"/>
      <c r="CIT7" s="344"/>
      <c r="CIU7" s="136"/>
      <c r="CIV7" s="137"/>
      <c r="CIW7" s="137"/>
      <c r="CIX7" s="136"/>
      <c r="CIY7" s="344"/>
      <c r="CIZ7" s="344"/>
      <c r="CJA7" s="344"/>
      <c r="CJB7" s="344"/>
      <c r="CJC7" s="136"/>
      <c r="CJD7" s="137"/>
      <c r="CJE7" s="137"/>
      <c r="CJF7" s="136"/>
      <c r="CJG7" s="344"/>
      <c r="CJH7" s="344"/>
      <c r="CJI7" s="344"/>
      <c r="CJJ7" s="344"/>
      <c r="CJK7" s="136"/>
      <c r="CJL7" s="137"/>
      <c r="CJM7" s="137"/>
      <c r="CJN7" s="136"/>
      <c r="CJO7" s="344"/>
      <c r="CJP7" s="344"/>
      <c r="CJQ7" s="344"/>
      <c r="CJR7" s="344"/>
      <c r="CJS7" s="136"/>
      <c r="CJT7" s="137"/>
      <c r="CJU7" s="137"/>
      <c r="CJV7" s="136"/>
      <c r="CJW7" s="344"/>
      <c r="CJX7" s="344"/>
      <c r="CJY7" s="344"/>
      <c r="CJZ7" s="344"/>
      <c r="CKA7" s="136"/>
      <c r="CKB7" s="137"/>
      <c r="CKC7" s="137"/>
      <c r="CKD7" s="136"/>
      <c r="CKE7" s="344"/>
      <c r="CKF7" s="344"/>
      <c r="CKG7" s="344"/>
      <c r="CKH7" s="344"/>
      <c r="CKI7" s="136"/>
      <c r="CKJ7" s="137"/>
      <c r="CKK7" s="137"/>
      <c r="CKL7" s="136"/>
      <c r="CKM7" s="344"/>
      <c r="CKN7" s="344"/>
      <c r="CKO7" s="344"/>
      <c r="CKP7" s="344"/>
      <c r="CKQ7" s="136"/>
      <c r="CKR7" s="137"/>
      <c r="CKS7" s="137"/>
      <c r="CKT7" s="136"/>
      <c r="CKU7" s="344"/>
      <c r="CKV7" s="344"/>
      <c r="CKW7" s="344"/>
      <c r="CKX7" s="344"/>
      <c r="CKY7" s="136"/>
      <c r="CKZ7" s="137"/>
      <c r="CLA7" s="137"/>
      <c r="CLB7" s="136"/>
      <c r="CLC7" s="344"/>
      <c r="CLD7" s="344"/>
      <c r="CLE7" s="344"/>
      <c r="CLF7" s="344"/>
      <c r="CLG7" s="136"/>
      <c r="CLH7" s="137"/>
      <c r="CLI7" s="137"/>
      <c r="CLJ7" s="136"/>
      <c r="CLK7" s="344"/>
      <c r="CLL7" s="344"/>
      <c r="CLM7" s="344"/>
      <c r="CLN7" s="344"/>
      <c r="CLO7" s="136"/>
      <c r="CLP7" s="137"/>
      <c r="CLQ7" s="137"/>
      <c r="CLR7" s="136"/>
      <c r="CLS7" s="344"/>
      <c r="CLT7" s="344"/>
      <c r="CLU7" s="344"/>
      <c r="CLV7" s="344"/>
      <c r="CLW7" s="136"/>
      <c r="CLX7" s="137"/>
      <c r="CLY7" s="137"/>
      <c r="CLZ7" s="136"/>
      <c r="CMA7" s="344"/>
      <c r="CMB7" s="344"/>
      <c r="CMC7" s="344"/>
      <c r="CMD7" s="344"/>
      <c r="CME7" s="136"/>
      <c r="CMF7" s="137"/>
      <c r="CMG7" s="137"/>
      <c r="CMH7" s="136"/>
      <c r="CMI7" s="344"/>
      <c r="CMJ7" s="344"/>
      <c r="CMK7" s="344"/>
      <c r="CML7" s="344"/>
      <c r="CMM7" s="136"/>
      <c r="CMN7" s="137"/>
      <c r="CMO7" s="137"/>
      <c r="CMP7" s="136"/>
      <c r="CMQ7" s="344"/>
      <c r="CMR7" s="344"/>
      <c r="CMS7" s="344"/>
      <c r="CMT7" s="344"/>
      <c r="CMU7" s="136"/>
      <c r="CMV7" s="137"/>
      <c r="CMW7" s="137"/>
      <c r="CMX7" s="136"/>
      <c r="CMY7" s="344"/>
      <c r="CMZ7" s="344"/>
      <c r="CNA7" s="344"/>
      <c r="CNB7" s="344"/>
      <c r="CNC7" s="136"/>
      <c r="CND7" s="137"/>
      <c r="CNE7" s="137"/>
      <c r="CNF7" s="136"/>
      <c r="CNG7" s="344"/>
      <c r="CNH7" s="344"/>
      <c r="CNI7" s="344"/>
      <c r="CNJ7" s="344"/>
      <c r="CNK7" s="136"/>
      <c r="CNL7" s="137"/>
      <c r="CNM7" s="137"/>
      <c r="CNN7" s="136"/>
      <c r="CNO7" s="344"/>
      <c r="CNP7" s="344"/>
      <c r="CNQ7" s="344"/>
      <c r="CNR7" s="344"/>
      <c r="CNS7" s="136"/>
      <c r="CNT7" s="137"/>
      <c r="CNU7" s="137"/>
      <c r="CNV7" s="136"/>
      <c r="CNW7" s="344"/>
      <c r="CNX7" s="344"/>
      <c r="CNY7" s="344"/>
      <c r="CNZ7" s="344"/>
      <c r="COA7" s="136"/>
      <c r="COB7" s="137"/>
      <c r="COC7" s="137"/>
      <c r="COD7" s="136"/>
      <c r="COE7" s="344"/>
      <c r="COF7" s="344"/>
      <c r="COG7" s="344"/>
      <c r="COH7" s="344"/>
      <c r="COI7" s="136"/>
      <c r="COJ7" s="137"/>
      <c r="COK7" s="137"/>
      <c r="COL7" s="136"/>
      <c r="COM7" s="344"/>
      <c r="CON7" s="344"/>
      <c r="COO7" s="344"/>
      <c r="COP7" s="344"/>
      <c r="COQ7" s="136"/>
      <c r="COR7" s="137"/>
      <c r="COS7" s="137"/>
      <c r="COT7" s="136"/>
      <c r="COU7" s="344"/>
      <c r="COV7" s="344"/>
      <c r="COW7" s="344"/>
      <c r="COX7" s="344"/>
      <c r="COY7" s="136"/>
      <c r="COZ7" s="137"/>
      <c r="CPA7" s="137"/>
      <c r="CPB7" s="136"/>
      <c r="CPC7" s="344"/>
      <c r="CPD7" s="344"/>
      <c r="CPE7" s="344"/>
      <c r="CPF7" s="344"/>
      <c r="CPG7" s="136"/>
      <c r="CPH7" s="137"/>
      <c r="CPI7" s="137"/>
      <c r="CPJ7" s="136"/>
      <c r="CPK7" s="344"/>
      <c r="CPL7" s="344"/>
      <c r="CPM7" s="344"/>
      <c r="CPN7" s="344"/>
      <c r="CPO7" s="136"/>
      <c r="CPP7" s="137"/>
      <c r="CPQ7" s="137"/>
      <c r="CPR7" s="136"/>
      <c r="CPS7" s="344"/>
      <c r="CPT7" s="344"/>
      <c r="CPU7" s="344"/>
      <c r="CPV7" s="344"/>
      <c r="CPW7" s="136"/>
      <c r="CPX7" s="137"/>
      <c r="CPY7" s="137"/>
      <c r="CPZ7" s="136"/>
      <c r="CQA7" s="344"/>
      <c r="CQB7" s="344"/>
      <c r="CQC7" s="344"/>
      <c r="CQD7" s="344"/>
      <c r="CQE7" s="136"/>
      <c r="CQF7" s="137"/>
      <c r="CQG7" s="137"/>
      <c r="CQH7" s="136"/>
      <c r="CQI7" s="344"/>
      <c r="CQJ7" s="344"/>
      <c r="CQK7" s="344"/>
      <c r="CQL7" s="344"/>
      <c r="CQM7" s="136"/>
      <c r="CQN7" s="137"/>
      <c r="CQO7" s="137"/>
      <c r="CQP7" s="136"/>
      <c r="CQQ7" s="344"/>
      <c r="CQR7" s="344"/>
      <c r="CQS7" s="344"/>
      <c r="CQT7" s="344"/>
      <c r="CQU7" s="136"/>
      <c r="CQV7" s="137"/>
      <c r="CQW7" s="137"/>
      <c r="CQX7" s="136"/>
      <c r="CQY7" s="344"/>
      <c r="CQZ7" s="344"/>
      <c r="CRA7" s="344"/>
      <c r="CRB7" s="344"/>
      <c r="CRC7" s="136"/>
      <c r="CRD7" s="137"/>
      <c r="CRE7" s="137"/>
      <c r="CRF7" s="136"/>
      <c r="CRG7" s="344"/>
      <c r="CRH7" s="344"/>
      <c r="CRI7" s="344"/>
      <c r="CRJ7" s="344"/>
      <c r="CRK7" s="136"/>
      <c r="CRL7" s="137"/>
      <c r="CRM7" s="137"/>
      <c r="CRN7" s="136"/>
      <c r="CRO7" s="344"/>
      <c r="CRP7" s="344"/>
      <c r="CRQ7" s="344"/>
      <c r="CRR7" s="344"/>
      <c r="CRS7" s="136"/>
      <c r="CRT7" s="137"/>
      <c r="CRU7" s="137"/>
      <c r="CRV7" s="136"/>
      <c r="CRW7" s="344"/>
      <c r="CRX7" s="344"/>
      <c r="CRY7" s="344"/>
      <c r="CRZ7" s="344"/>
      <c r="CSA7" s="136"/>
      <c r="CSB7" s="137"/>
      <c r="CSC7" s="137"/>
      <c r="CSD7" s="136"/>
      <c r="CSE7" s="344"/>
      <c r="CSF7" s="344"/>
      <c r="CSG7" s="344"/>
      <c r="CSH7" s="344"/>
      <c r="CSI7" s="136"/>
      <c r="CSJ7" s="137"/>
      <c r="CSK7" s="137"/>
      <c r="CSL7" s="136"/>
      <c r="CSM7" s="344"/>
      <c r="CSN7" s="344"/>
      <c r="CSO7" s="344"/>
      <c r="CSP7" s="344"/>
      <c r="CSQ7" s="136"/>
      <c r="CSR7" s="137"/>
      <c r="CSS7" s="137"/>
      <c r="CST7" s="136"/>
      <c r="CSU7" s="344"/>
      <c r="CSV7" s="344"/>
      <c r="CSW7" s="344"/>
      <c r="CSX7" s="344"/>
      <c r="CSY7" s="136"/>
      <c r="CSZ7" s="137"/>
      <c r="CTA7" s="137"/>
      <c r="CTB7" s="136"/>
      <c r="CTC7" s="344"/>
      <c r="CTD7" s="344"/>
      <c r="CTE7" s="344"/>
      <c r="CTF7" s="344"/>
      <c r="CTG7" s="136"/>
      <c r="CTH7" s="137"/>
      <c r="CTI7" s="137"/>
      <c r="CTJ7" s="136"/>
      <c r="CTK7" s="344"/>
      <c r="CTL7" s="344"/>
      <c r="CTM7" s="344"/>
      <c r="CTN7" s="344"/>
      <c r="CTO7" s="136"/>
      <c r="CTP7" s="137"/>
      <c r="CTQ7" s="137"/>
      <c r="CTR7" s="136"/>
      <c r="CTS7" s="344"/>
      <c r="CTT7" s="344"/>
      <c r="CTU7" s="344"/>
      <c r="CTV7" s="344"/>
      <c r="CTW7" s="136"/>
      <c r="CTX7" s="137"/>
      <c r="CTY7" s="137"/>
      <c r="CTZ7" s="136"/>
      <c r="CUA7" s="344"/>
      <c r="CUB7" s="344"/>
      <c r="CUC7" s="344"/>
      <c r="CUD7" s="344"/>
      <c r="CUE7" s="136"/>
      <c r="CUF7" s="137"/>
      <c r="CUG7" s="137"/>
      <c r="CUH7" s="136"/>
      <c r="CUI7" s="344"/>
      <c r="CUJ7" s="344"/>
      <c r="CUK7" s="344"/>
      <c r="CUL7" s="344"/>
      <c r="CUM7" s="136"/>
      <c r="CUN7" s="137"/>
      <c r="CUO7" s="137"/>
      <c r="CUP7" s="136"/>
      <c r="CUQ7" s="344"/>
      <c r="CUR7" s="344"/>
      <c r="CUS7" s="344"/>
      <c r="CUT7" s="344"/>
      <c r="CUU7" s="136"/>
      <c r="CUV7" s="137"/>
      <c r="CUW7" s="137"/>
      <c r="CUX7" s="136"/>
      <c r="CUY7" s="344"/>
      <c r="CUZ7" s="344"/>
      <c r="CVA7" s="344"/>
      <c r="CVB7" s="344"/>
      <c r="CVC7" s="136"/>
      <c r="CVD7" s="137"/>
      <c r="CVE7" s="137"/>
      <c r="CVF7" s="136"/>
      <c r="CVG7" s="344"/>
      <c r="CVH7" s="344"/>
      <c r="CVI7" s="344"/>
      <c r="CVJ7" s="344"/>
      <c r="CVK7" s="136"/>
      <c r="CVL7" s="137"/>
      <c r="CVM7" s="137"/>
      <c r="CVN7" s="136"/>
      <c r="CVO7" s="344"/>
      <c r="CVP7" s="344"/>
      <c r="CVQ7" s="344"/>
      <c r="CVR7" s="344"/>
      <c r="CVS7" s="136"/>
      <c r="CVT7" s="137"/>
      <c r="CVU7" s="137"/>
      <c r="CVV7" s="136"/>
      <c r="CVW7" s="344"/>
      <c r="CVX7" s="344"/>
      <c r="CVY7" s="344"/>
      <c r="CVZ7" s="344"/>
      <c r="CWA7" s="136"/>
      <c r="CWB7" s="137"/>
      <c r="CWC7" s="137"/>
      <c r="CWD7" s="136"/>
      <c r="CWE7" s="344"/>
      <c r="CWF7" s="344"/>
      <c r="CWG7" s="344"/>
      <c r="CWH7" s="344"/>
      <c r="CWI7" s="136"/>
      <c r="CWJ7" s="137"/>
      <c r="CWK7" s="137"/>
      <c r="CWL7" s="136"/>
      <c r="CWM7" s="344"/>
      <c r="CWN7" s="344"/>
      <c r="CWO7" s="344"/>
      <c r="CWP7" s="344"/>
      <c r="CWQ7" s="136"/>
      <c r="CWR7" s="137"/>
      <c r="CWS7" s="137"/>
      <c r="CWT7" s="136"/>
      <c r="CWU7" s="344"/>
      <c r="CWV7" s="344"/>
      <c r="CWW7" s="344"/>
      <c r="CWX7" s="344"/>
      <c r="CWY7" s="136"/>
      <c r="CWZ7" s="137"/>
      <c r="CXA7" s="137"/>
      <c r="CXB7" s="136"/>
      <c r="CXC7" s="344"/>
      <c r="CXD7" s="344"/>
      <c r="CXE7" s="344"/>
      <c r="CXF7" s="344"/>
      <c r="CXG7" s="136"/>
      <c r="CXH7" s="137"/>
      <c r="CXI7" s="137"/>
      <c r="CXJ7" s="136"/>
      <c r="CXK7" s="344"/>
      <c r="CXL7" s="344"/>
      <c r="CXM7" s="344"/>
      <c r="CXN7" s="344"/>
      <c r="CXO7" s="136"/>
      <c r="CXP7" s="137"/>
      <c r="CXQ7" s="137"/>
      <c r="CXR7" s="136"/>
      <c r="CXS7" s="344"/>
      <c r="CXT7" s="344"/>
      <c r="CXU7" s="344"/>
      <c r="CXV7" s="344"/>
      <c r="CXW7" s="136"/>
      <c r="CXX7" s="137"/>
      <c r="CXY7" s="137"/>
      <c r="CXZ7" s="136"/>
      <c r="CYA7" s="344"/>
      <c r="CYB7" s="344"/>
      <c r="CYC7" s="344"/>
      <c r="CYD7" s="344"/>
      <c r="CYE7" s="136"/>
      <c r="CYF7" s="137"/>
      <c r="CYG7" s="137"/>
      <c r="CYH7" s="136"/>
      <c r="CYI7" s="344"/>
      <c r="CYJ7" s="344"/>
      <c r="CYK7" s="344"/>
      <c r="CYL7" s="344"/>
      <c r="CYM7" s="136"/>
      <c r="CYN7" s="137"/>
      <c r="CYO7" s="137"/>
      <c r="CYP7" s="136"/>
      <c r="CYQ7" s="344"/>
      <c r="CYR7" s="344"/>
      <c r="CYS7" s="344"/>
      <c r="CYT7" s="344"/>
      <c r="CYU7" s="136"/>
      <c r="CYV7" s="137"/>
      <c r="CYW7" s="137"/>
      <c r="CYX7" s="136"/>
      <c r="CYY7" s="344"/>
      <c r="CYZ7" s="344"/>
      <c r="CZA7" s="344"/>
      <c r="CZB7" s="344"/>
      <c r="CZC7" s="136"/>
      <c r="CZD7" s="137"/>
      <c r="CZE7" s="137"/>
      <c r="CZF7" s="136"/>
      <c r="CZG7" s="344"/>
      <c r="CZH7" s="344"/>
      <c r="CZI7" s="344"/>
      <c r="CZJ7" s="344"/>
      <c r="CZK7" s="136"/>
      <c r="CZL7" s="137"/>
      <c r="CZM7" s="137"/>
      <c r="CZN7" s="136"/>
      <c r="CZO7" s="344"/>
      <c r="CZP7" s="344"/>
      <c r="CZQ7" s="344"/>
      <c r="CZR7" s="344"/>
      <c r="CZS7" s="136"/>
      <c r="CZT7" s="137"/>
      <c r="CZU7" s="137"/>
      <c r="CZV7" s="136"/>
      <c r="CZW7" s="344"/>
      <c r="CZX7" s="344"/>
      <c r="CZY7" s="344"/>
      <c r="CZZ7" s="344"/>
      <c r="DAA7" s="136"/>
      <c r="DAB7" s="137"/>
      <c r="DAC7" s="137"/>
      <c r="DAD7" s="136"/>
      <c r="DAE7" s="344"/>
      <c r="DAF7" s="344"/>
      <c r="DAG7" s="344"/>
      <c r="DAH7" s="344"/>
      <c r="DAI7" s="136"/>
      <c r="DAJ7" s="137"/>
      <c r="DAK7" s="137"/>
      <c r="DAL7" s="136"/>
      <c r="DAM7" s="344"/>
      <c r="DAN7" s="344"/>
      <c r="DAO7" s="344"/>
      <c r="DAP7" s="344"/>
      <c r="DAQ7" s="136"/>
      <c r="DAR7" s="137"/>
      <c r="DAS7" s="137"/>
      <c r="DAT7" s="136"/>
      <c r="DAU7" s="344"/>
      <c r="DAV7" s="344"/>
      <c r="DAW7" s="344"/>
      <c r="DAX7" s="344"/>
      <c r="DAY7" s="136"/>
      <c r="DAZ7" s="137"/>
      <c r="DBA7" s="137"/>
      <c r="DBB7" s="136"/>
      <c r="DBC7" s="344"/>
      <c r="DBD7" s="344"/>
      <c r="DBE7" s="344"/>
      <c r="DBF7" s="344"/>
      <c r="DBG7" s="136"/>
      <c r="DBH7" s="137"/>
      <c r="DBI7" s="137"/>
      <c r="DBJ7" s="136"/>
      <c r="DBK7" s="344"/>
      <c r="DBL7" s="344"/>
      <c r="DBM7" s="344"/>
      <c r="DBN7" s="344"/>
      <c r="DBO7" s="136"/>
      <c r="DBP7" s="137"/>
      <c r="DBQ7" s="137"/>
      <c r="DBR7" s="136"/>
      <c r="DBS7" s="344"/>
      <c r="DBT7" s="344"/>
      <c r="DBU7" s="344"/>
      <c r="DBV7" s="344"/>
      <c r="DBW7" s="136"/>
      <c r="DBX7" s="137"/>
      <c r="DBY7" s="137"/>
      <c r="DBZ7" s="136"/>
      <c r="DCA7" s="344"/>
      <c r="DCB7" s="344"/>
      <c r="DCC7" s="344"/>
      <c r="DCD7" s="344"/>
      <c r="DCE7" s="136"/>
      <c r="DCF7" s="137"/>
      <c r="DCG7" s="137"/>
      <c r="DCH7" s="136"/>
      <c r="DCI7" s="344"/>
      <c r="DCJ7" s="344"/>
      <c r="DCK7" s="344"/>
      <c r="DCL7" s="344"/>
      <c r="DCM7" s="136"/>
      <c r="DCN7" s="137"/>
      <c r="DCO7" s="137"/>
      <c r="DCP7" s="136"/>
      <c r="DCQ7" s="344"/>
      <c r="DCR7" s="344"/>
      <c r="DCS7" s="344"/>
      <c r="DCT7" s="344"/>
      <c r="DCU7" s="136"/>
      <c r="DCV7" s="137"/>
      <c r="DCW7" s="137"/>
      <c r="DCX7" s="136"/>
      <c r="DCY7" s="344"/>
      <c r="DCZ7" s="344"/>
      <c r="DDA7" s="344"/>
      <c r="DDB7" s="344"/>
      <c r="DDC7" s="136"/>
      <c r="DDD7" s="137"/>
      <c r="DDE7" s="137"/>
      <c r="DDF7" s="136"/>
      <c r="DDG7" s="344"/>
      <c r="DDH7" s="344"/>
      <c r="DDI7" s="344"/>
      <c r="DDJ7" s="344"/>
      <c r="DDK7" s="136"/>
      <c r="DDL7" s="137"/>
      <c r="DDM7" s="137"/>
      <c r="DDN7" s="136"/>
      <c r="DDO7" s="344"/>
      <c r="DDP7" s="344"/>
      <c r="DDQ7" s="344"/>
      <c r="DDR7" s="344"/>
      <c r="DDS7" s="136"/>
      <c r="DDT7" s="137"/>
      <c r="DDU7" s="137"/>
      <c r="DDV7" s="136"/>
      <c r="DDW7" s="344"/>
      <c r="DDX7" s="344"/>
      <c r="DDY7" s="344"/>
      <c r="DDZ7" s="344"/>
      <c r="DEA7" s="136"/>
      <c r="DEB7" s="137"/>
      <c r="DEC7" s="137"/>
      <c r="DED7" s="136"/>
      <c r="DEE7" s="344"/>
      <c r="DEF7" s="344"/>
      <c r="DEG7" s="344"/>
      <c r="DEH7" s="344"/>
      <c r="DEI7" s="136"/>
      <c r="DEJ7" s="137"/>
      <c r="DEK7" s="137"/>
      <c r="DEL7" s="136"/>
      <c r="DEM7" s="344"/>
      <c r="DEN7" s="344"/>
      <c r="DEO7" s="344"/>
      <c r="DEP7" s="344"/>
      <c r="DEQ7" s="136"/>
      <c r="DER7" s="137"/>
      <c r="DES7" s="137"/>
      <c r="DET7" s="136"/>
      <c r="DEU7" s="344"/>
      <c r="DEV7" s="344"/>
      <c r="DEW7" s="344"/>
      <c r="DEX7" s="344"/>
      <c r="DEY7" s="136"/>
      <c r="DEZ7" s="137"/>
      <c r="DFA7" s="137"/>
      <c r="DFB7" s="136"/>
      <c r="DFC7" s="344"/>
      <c r="DFD7" s="344"/>
      <c r="DFE7" s="344"/>
      <c r="DFF7" s="344"/>
      <c r="DFG7" s="136"/>
      <c r="DFH7" s="137"/>
      <c r="DFI7" s="137"/>
      <c r="DFJ7" s="136"/>
      <c r="DFK7" s="344"/>
      <c r="DFL7" s="344"/>
      <c r="DFM7" s="344"/>
      <c r="DFN7" s="344"/>
      <c r="DFO7" s="136"/>
      <c r="DFP7" s="137"/>
      <c r="DFQ7" s="137"/>
      <c r="DFR7" s="136"/>
      <c r="DFS7" s="344"/>
      <c r="DFT7" s="344"/>
      <c r="DFU7" s="344"/>
      <c r="DFV7" s="344"/>
      <c r="DFW7" s="136"/>
      <c r="DFX7" s="137"/>
      <c r="DFY7" s="137"/>
      <c r="DFZ7" s="136"/>
      <c r="DGA7" s="344"/>
      <c r="DGB7" s="344"/>
      <c r="DGC7" s="344"/>
      <c r="DGD7" s="344"/>
      <c r="DGE7" s="136"/>
      <c r="DGF7" s="137"/>
      <c r="DGG7" s="137"/>
      <c r="DGH7" s="136"/>
      <c r="DGI7" s="344"/>
      <c r="DGJ7" s="344"/>
      <c r="DGK7" s="344"/>
      <c r="DGL7" s="344"/>
      <c r="DGM7" s="136"/>
      <c r="DGN7" s="137"/>
      <c r="DGO7" s="137"/>
      <c r="DGP7" s="136"/>
      <c r="DGQ7" s="344"/>
      <c r="DGR7" s="344"/>
      <c r="DGS7" s="344"/>
      <c r="DGT7" s="344"/>
      <c r="DGU7" s="136"/>
      <c r="DGV7" s="137"/>
      <c r="DGW7" s="137"/>
      <c r="DGX7" s="136"/>
      <c r="DGY7" s="344"/>
      <c r="DGZ7" s="344"/>
      <c r="DHA7" s="344"/>
      <c r="DHB7" s="344"/>
      <c r="DHC7" s="136"/>
      <c r="DHD7" s="137"/>
      <c r="DHE7" s="137"/>
      <c r="DHF7" s="136"/>
      <c r="DHG7" s="344"/>
      <c r="DHH7" s="344"/>
      <c r="DHI7" s="344"/>
      <c r="DHJ7" s="344"/>
      <c r="DHK7" s="136"/>
      <c r="DHL7" s="137"/>
      <c r="DHM7" s="137"/>
      <c r="DHN7" s="136"/>
      <c r="DHO7" s="344"/>
      <c r="DHP7" s="344"/>
      <c r="DHQ7" s="344"/>
      <c r="DHR7" s="344"/>
      <c r="DHS7" s="136"/>
      <c r="DHT7" s="137"/>
      <c r="DHU7" s="137"/>
      <c r="DHV7" s="136"/>
      <c r="DHW7" s="344"/>
      <c r="DHX7" s="344"/>
      <c r="DHY7" s="344"/>
      <c r="DHZ7" s="344"/>
      <c r="DIA7" s="136"/>
      <c r="DIB7" s="137"/>
      <c r="DIC7" s="137"/>
      <c r="DID7" s="136"/>
      <c r="DIE7" s="344"/>
      <c r="DIF7" s="344"/>
      <c r="DIG7" s="344"/>
      <c r="DIH7" s="344"/>
      <c r="DII7" s="136"/>
      <c r="DIJ7" s="137"/>
      <c r="DIK7" s="137"/>
      <c r="DIL7" s="136"/>
      <c r="DIM7" s="344"/>
      <c r="DIN7" s="344"/>
      <c r="DIO7" s="344"/>
      <c r="DIP7" s="344"/>
      <c r="DIQ7" s="136"/>
      <c r="DIR7" s="137"/>
      <c r="DIS7" s="137"/>
      <c r="DIT7" s="136"/>
      <c r="DIU7" s="344"/>
      <c r="DIV7" s="344"/>
      <c r="DIW7" s="344"/>
      <c r="DIX7" s="344"/>
      <c r="DIY7" s="136"/>
      <c r="DIZ7" s="137"/>
      <c r="DJA7" s="137"/>
      <c r="DJB7" s="136"/>
      <c r="DJC7" s="344"/>
      <c r="DJD7" s="344"/>
      <c r="DJE7" s="344"/>
      <c r="DJF7" s="344"/>
      <c r="DJG7" s="136"/>
      <c r="DJH7" s="137"/>
      <c r="DJI7" s="137"/>
      <c r="DJJ7" s="136"/>
      <c r="DJK7" s="344"/>
      <c r="DJL7" s="344"/>
      <c r="DJM7" s="344"/>
      <c r="DJN7" s="344"/>
      <c r="DJO7" s="136"/>
      <c r="DJP7" s="137"/>
      <c r="DJQ7" s="137"/>
      <c r="DJR7" s="136"/>
      <c r="DJS7" s="344"/>
      <c r="DJT7" s="344"/>
      <c r="DJU7" s="344"/>
      <c r="DJV7" s="344"/>
      <c r="DJW7" s="136"/>
      <c r="DJX7" s="137"/>
      <c r="DJY7" s="137"/>
      <c r="DJZ7" s="136"/>
      <c r="DKA7" s="344"/>
      <c r="DKB7" s="344"/>
      <c r="DKC7" s="344"/>
      <c r="DKD7" s="344"/>
      <c r="DKE7" s="136"/>
      <c r="DKF7" s="137"/>
      <c r="DKG7" s="137"/>
      <c r="DKH7" s="136"/>
      <c r="DKI7" s="344"/>
      <c r="DKJ7" s="344"/>
      <c r="DKK7" s="344"/>
      <c r="DKL7" s="344"/>
      <c r="DKM7" s="136"/>
      <c r="DKN7" s="137"/>
      <c r="DKO7" s="137"/>
      <c r="DKP7" s="136"/>
      <c r="DKQ7" s="344"/>
      <c r="DKR7" s="344"/>
      <c r="DKS7" s="344"/>
      <c r="DKT7" s="344"/>
      <c r="DKU7" s="136"/>
      <c r="DKV7" s="137"/>
      <c r="DKW7" s="137"/>
      <c r="DKX7" s="136"/>
      <c r="DKY7" s="344"/>
      <c r="DKZ7" s="344"/>
      <c r="DLA7" s="344"/>
      <c r="DLB7" s="344"/>
      <c r="DLC7" s="136"/>
      <c r="DLD7" s="137"/>
      <c r="DLE7" s="137"/>
      <c r="DLF7" s="136"/>
      <c r="DLG7" s="344"/>
      <c r="DLH7" s="344"/>
      <c r="DLI7" s="344"/>
      <c r="DLJ7" s="344"/>
      <c r="DLK7" s="136"/>
      <c r="DLL7" s="137"/>
      <c r="DLM7" s="137"/>
      <c r="DLN7" s="136"/>
      <c r="DLO7" s="344"/>
      <c r="DLP7" s="344"/>
      <c r="DLQ7" s="344"/>
      <c r="DLR7" s="344"/>
      <c r="DLS7" s="136"/>
      <c r="DLT7" s="137"/>
      <c r="DLU7" s="137"/>
      <c r="DLV7" s="136"/>
      <c r="DLW7" s="344"/>
      <c r="DLX7" s="344"/>
      <c r="DLY7" s="344"/>
      <c r="DLZ7" s="344"/>
      <c r="DMA7" s="136"/>
      <c r="DMB7" s="137"/>
      <c r="DMC7" s="137"/>
      <c r="DMD7" s="136"/>
      <c r="DME7" s="344"/>
      <c r="DMF7" s="344"/>
      <c r="DMG7" s="344"/>
      <c r="DMH7" s="344"/>
      <c r="DMI7" s="136"/>
      <c r="DMJ7" s="137"/>
      <c r="DMK7" s="137"/>
      <c r="DML7" s="136"/>
      <c r="DMM7" s="344"/>
      <c r="DMN7" s="344"/>
      <c r="DMO7" s="344"/>
      <c r="DMP7" s="344"/>
      <c r="DMQ7" s="136"/>
      <c r="DMR7" s="137"/>
      <c r="DMS7" s="137"/>
      <c r="DMT7" s="136"/>
      <c r="DMU7" s="344"/>
      <c r="DMV7" s="344"/>
      <c r="DMW7" s="344"/>
      <c r="DMX7" s="344"/>
      <c r="DMY7" s="136"/>
      <c r="DMZ7" s="137"/>
      <c r="DNA7" s="137"/>
      <c r="DNB7" s="136"/>
      <c r="DNC7" s="344"/>
      <c r="DND7" s="344"/>
      <c r="DNE7" s="344"/>
      <c r="DNF7" s="344"/>
      <c r="DNG7" s="136"/>
      <c r="DNH7" s="137"/>
      <c r="DNI7" s="137"/>
      <c r="DNJ7" s="136"/>
      <c r="DNK7" s="344"/>
      <c r="DNL7" s="344"/>
      <c r="DNM7" s="344"/>
      <c r="DNN7" s="344"/>
      <c r="DNO7" s="136"/>
      <c r="DNP7" s="137"/>
      <c r="DNQ7" s="137"/>
      <c r="DNR7" s="136"/>
      <c r="DNS7" s="344"/>
      <c r="DNT7" s="344"/>
      <c r="DNU7" s="344"/>
      <c r="DNV7" s="344"/>
      <c r="DNW7" s="136"/>
      <c r="DNX7" s="137"/>
      <c r="DNY7" s="137"/>
      <c r="DNZ7" s="136"/>
      <c r="DOA7" s="344"/>
      <c r="DOB7" s="344"/>
      <c r="DOC7" s="344"/>
      <c r="DOD7" s="344"/>
      <c r="DOE7" s="136"/>
      <c r="DOF7" s="137"/>
      <c r="DOG7" s="137"/>
      <c r="DOH7" s="136"/>
      <c r="DOI7" s="344"/>
      <c r="DOJ7" s="344"/>
      <c r="DOK7" s="344"/>
      <c r="DOL7" s="344"/>
      <c r="DOM7" s="136"/>
      <c r="DON7" s="137"/>
      <c r="DOO7" s="137"/>
      <c r="DOP7" s="136"/>
      <c r="DOQ7" s="344"/>
      <c r="DOR7" s="344"/>
      <c r="DOS7" s="344"/>
      <c r="DOT7" s="344"/>
      <c r="DOU7" s="136"/>
      <c r="DOV7" s="137"/>
      <c r="DOW7" s="137"/>
      <c r="DOX7" s="136"/>
      <c r="DOY7" s="344"/>
      <c r="DOZ7" s="344"/>
      <c r="DPA7" s="344"/>
      <c r="DPB7" s="344"/>
      <c r="DPC7" s="136"/>
      <c r="DPD7" s="137"/>
      <c r="DPE7" s="137"/>
      <c r="DPF7" s="136"/>
      <c r="DPG7" s="344"/>
      <c r="DPH7" s="344"/>
      <c r="DPI7" s="344"/>
      <c r="DPJ7" s="344"/>
      <c r="DPK7" s="136"/>
      <c r="DPL7" s="137"/>
      <c r="DPM7" s="137"/>
      <c r="DPN7" s="136"/>
      <c r="DPO7" s="344"/>
      <c r="DPP7" s="344"/>
      <c r="DPQ7" s="344"/>
      <c r="DPR7" s="344"/>
      <c r="DPS7" s="136"/>
      <c r="DPT7" s="137"/>
      <c r="DPU7" s="137"/>
      <c r="DPV7" s="136"/>
      <c r="DPW7" s="344"/>
      <c r="DPX7" s="344"/>
      <c r="DPY7" s="344"/>
      <c r="DPZ7" s="344"/>
      <c r="DQA7" s="136"/>
      <c r="DQB7" s="137"/>
      <c r="DQC7" s="137"/>
      <c r="DQD7" s="136"/>
      <c r="DQE7" s="344"/>
      <c r="DQF7" s="344"/>
      <c r="DQG7" s="344"/>
      <c r="DQH7" s="344"/>
      <c r="DQI7" s="136"/>
      <c r="DQJ7" s="137"/>
      <c r="DQK7" s="137"/>
      <c r="DQL7" s="136"/>
      <c r="DQM7" s="344"/>
      <c r="DQN7" s="344"/>
      <c r="DQO7" s="344"/>
      <c r="DQP7" s="344"/>
      <c r="DQQ7" s="136"/>
      <c r="DQR7" s="137"/>
      <c r="DQS7" s="137"/>
      <c r="DQT7" s="136"/>
      <c r="DQU7" s="344"/>
      <c r="DQV7" s="344"/>
      <c r="DQW7" s="344"/>
      <c r="DQX7" s="344"/>
      <c r="DQY7" s="136"/>
      <c r="DQZ7" s="137"/>
      <c r="DRA7" s="137"/>
      <c r="DRB7" s="136"/>
      <c r="DRC7" s="344"/>
      <c r="DRD7" s="344"/>
      <c r="DRE7" s="344"/>
      <c r="DRF7" s="344"/>
      <c r="DRG7" s="136"/>
      <c r="DRH7" s="137"/>
      <c r="DRI7" s="137"/>
      <c r="DRJ7" s="136"/>
      <c r="DRK7" s="344"/>
      <c r="DRL7" s="344"/>
      <c r="DRM7" s="344"/>
      <c r="DRN7" s="344"/>
      <c r="DRO7" s="136"/>
      <c r="DRP7" s="137"/>
      <c r="DRQ7" s="137"/>
      <c r="DRR7" s="136"/>
      <c r="DRS7" s="344"/>
      <c r="DRT7" s="344"/>
      <c r="DRU7" s="344"/>
      <c r="DRV7" s="344"/>
      <c r="DRW7" s="136"/>
      <c r="DRX7" s="137"/>
      <c r="DRY7" s="137"/>
      <c r="DRZ7" s="136"/>
      <c r="DSA7" s="344"/>
      <c r="DSB7" s="344"/>
      <c r="DSC7" s="344"/>
      <c r="DSD7" s="344"/>
      <c r="DSE7" s="136"/>
      <c r="DSF7" s="137"/>
      <c r="DSG7" s="137"/>
      <c r="DSH7" s="136"/>
      <c r="DSI7" s="344"/>
      <c r="DSJ7" s="344"/>
      <c r="DSK7" s="344"/>
      <c r="DSL7" s="344"/>
      <c r="DSM7" s="136"/>
      <c r="DSN7" s="137"/>
      <c r="DSO7" s="137"/>
      <c r="DSP7" s="136"/>
      <c r="DSQ7" s="344"/>
      <c r="DSR7" s="344"/>
      <c r="DSS7" s="344"/>
      <c r="DST7" s="344"/>
      <c r="DSU7" s="136"/>
      <c r="DSV7" s="137"/>
      <c r="DSW7" s="137"/>
      <c r="DSX7" s="136"/>
      <c r="DSY7" s="344"/>
      <c r="DSZ7" s="344"/>
      <c r="DTA7" s="344"/>
      <c r="DTB7" s="344"/>
      <c r="DTC7" s="136"/>
      <c r="DTD7" s="137"/>
      <c r="DTE7" s="137"/>
      <c r="DTF7" s="136"/>
      <c r="DTG7" s="344"/>
      <c r="DTH7" s="344"/>
      <c r="DTI7" s="344"/>
      <c r="DTJ7" s="344"/>
      <c r="DTK7" s="136"/>
      <c r="DTL7" s="137"/>
      <c r="DTM7" s="137"/>
      <c r="DTN7" s="136"/>
      <c r="DTO7" s="344"/>
      <c r="DTP7" s="344"/>
      <c r="DTQ7" s="344"/>
      <c r="DTR7" s="344"/>
      <c r="DTS7" s="136"/>
      <c r="DTT7" s="137"/>
      <c r="DTU7" s="137"/>
      <c r="DTV7" s="136"/>
      <c r="DTW7" s="344"/>
      <c r="DTX7" s="344"/>
      <c r="DTY7" s="344"/>
      <c r="DTZ7" s="344"/>
      <c r="DUA7" s="136"/>
      <c r="DUB7" s="137"/>
      <c r="DUC7" s="137"/>
      <c r="DUD7" s="136"/>
      <c r="DUE7" s="344"/>
      <c r="DUF7" s="344"/>
      <c r="DUG7" s="344"/>
      <c r="DUH7" s="344"/>
      <c r="DUI7" s="136"/>
      <c r="DUJ7" s="137"/>
      <c r="DUK7" s="137"/>
      <c r="DUL7" s="136"/>
      <c r="DUM7" s="344"/>
      <c r="DUN7" s="344"/>
      <c r="DUO7" s="344"/>
      <c r="DUP7" s="344"/>
      <c r="DUQ7" s="136"/>
      <c r="DUR7" s="137"/>
      <c r="DUS7" s="137"/>
      <c r="DUT7" s="136"/>
      <c r="DUU7" s="344"/>
      <c r="DUV7" s="344"/>
      <c r="DUW7" s="344"/>
      <c r="DUX7" s="344"/>
      <c r="DUY7" s="136"/>
      <c r="DUZ7" s="137"/>
      <c r="DVA7" s="137"/>
      <c r="DVB7" s="136"/>
      <c r="DVC7" s="344"/>
      <c r="DVD7" s="344"/>
      <c r="DVE7" s="344"/>
      <c r="DVF7" s="344"/>
      <c r="DVG7" s="136"/>
      <c r="DVH7" s="137"/>
      <c r="DVI7" s="137"/>
      <c r="DVJ7" s="136"/>
      <c r="DVK7" s="344"/>
      <c r="DVL7" s="344"/>
      <c r="DVM7" s="344"/>
      <c r="DVN7" s="344"/>
      <c r="DVO7" s="136"/>
      <c r="DVP7" s="137"/>
      <c r="DVQ7" s="137"/>
      <c r="DVR7" s="136"/>
      <c r="DVS7" s="344"/>
      <c r="DVT7" s="344"/>
      <c r="DVU7" s="344"/>
      <c r="DVV7" s="344"/>
      <c r="DVW7" s="136"/>
      <c r="DVX7" s="137"/>
      <c r="DVY7" s="137"/>
      <c r="DVZ7" s="136"/>
      <c r="DWA7" s="344"/>
      <c r="DWB7" s="344"/>
      <c r="DWC7" s="344"/>
      <c r="DWD7" s="344"/>
      <c r="DWE7" s="136"/>
      <c r="DWF7" s="137"/>
      <c r="DWG7" s="137"/>
      <c r="DWH7" s="136"/>
      <c r="DWI7" s="344"/>
      <c r="DWJ7" s="344"/>
      <c r="DWK7" s="344"/>
      <c r="DWL7" s="344"/>
      <c r="DWM7" s="136"/>
      <c r="DWN7" s="137"/>
      <c r="DWO7" s="137"/>
      <c r="DWP7" s="136"/>
      <c r="DWQ7" s="344"/>
      <c r="DWR7" s="344"/>
      <c r="DWS7" s="344"/>
      <c r="DWT7" s="344"/>
      <c r="DWU7" s="136"/>
      <c r="DWV7" s="137"/>
      <c r="DWW7" s="137"/>
      <c r="DWX7" s="136"/>
      <c r="DWY7" s="344"/>
      <c r="DWZ7" s="344"/>
      <c r="DXA7" s="344"/>
      <c r="DXB7" s="344"/>
      <c r="DXC7" s="136"/>
      <c r="DXD7" s="137"/>
      <c r="DXE7" s="137"/>
      <c r="DXF7" s="136"/>
      <c r="DXG7" s="344"/>
      <c r="DXH7" s="344"/>
      <c r="DXI7" s="344"/>
      <c r="DXJ7" s="344"/>
      <c r="DXK7" s="136"/>
      <c r="DXL7" s="137"/>
      <c r="DXM7" s="137"/>
      <c r="DXN7" s="136"/>
      <c r="DXO7" s="344"/>
      <c r="DXP7" s="344"/>
      <c r="DXQ7" s="344"/>
      <c r="DXR7" s="344"/>
      <c r="DXS7" s="136"/>
      <c r="DXT7" s="137"/>
      <c r="DXU7" s="137"/>
      <c r="DXV7" s="136"/>
      <c r="DXW7" s="344"/>
      <c r="DXX7" s="344"/>
      <c r="DXY7" s="344"/>
      <c r="DXZ7" s="344"/>
      <c r="DYA7" s="136"/>
      <c r="DYB7" s="137"/>
      <c r="DYC7" s="137"/>
      <c r="DYD7" s="136"/>
      <c r="DYE7" s="344"/>
      <c r="DYF7" s="344"/>
      <c r="DYG7" s="344"/>
      <c r="DYH7" s="344"/>
      <c r="DYI7" s="136"/>
      <c r="DYJ7" s="137"/>
      <c r="DYK7" s="137"/>
      <c r="DYL7" s="136"/>
      <c r="DYM7" s="344"/>
      <c r="DYN7" s="344"/>
      <c r="DYO7" s="344"/>
      <c r="DYP7" s="344"/>
      <c r="DYQ7" s="136"/>
      <c r="DYR7" s="137"/>
      <c r="DYS7" s="137"/>
      <c r="DYT7" s="136"/>
      <c r="DYU7" s="344"/>
      <c r="DYV7" s="344"/>
      <c r="DYW7" s="344"/>
      <c r="DYX7" s="344"/>
      <c r="DYY7" s="136"/>
      <c r="DYZ7" s="137"/>
      <c r="DZA7" s="137"/>
      <c r="DZB7" s="136"/>
      <c r="DZC7" s="344"/>
      <c r="DZD7" s="344"/>
      <c r="DZE7" s="344"/>
      <c r="DZF7" s="344"/>
      <c r="DZG7" s="136"/>
      <c r="DZH7" s="137"/>
      <c r="DZI7" s="137"/>
      <c r="DZJ7" s="136"/>
      <c r="DZK7" s="344"/>
      <c r="DZL7" s="344"/>
      <c r="DZM7" s="344"/>
      <c r="DZN7" s="344"/>
      <c r="DZO7" s="136"/>
      <c r="DZP7" s="137"/>
      <c r="DZQ7" s="137"/>
      <c r="DZR7" s="136"/>
      <c r="DZS7" s="344"/>
      <c r="DZT7" s="344"/>
      <c r="DZU7" s="344"/>
      <c r="DZV7" s="344"/>
      <c r="DZW7" s="136"/>
      <c r="DZX7" s="137"/>
      <c r="DZY7" s="137"/>
      <c r="DZZ7" s="136"/>
      <c r="EAA7" s="344"/>
      <c r="EAB7" s="344"/>
      <c r="EAC7" s="344"/>
      <c r="EAD7" s="344"/>
      <c r="EAE7" s="136"/>
      <c r="EAF7" s="137"/>
      <c r="EAG7" s="137"/>
      <c r="EAH7" s="136"/>
      <c r="EAI7" s="344"/>
      <c r="EAJ7" s="344"/>
      <c r="EAK7" s="344"/>
      <c r="EAL7" s="344"/>
      <c r="EAM7" s="136"/>
      <c r="EAN7" s="137"/>
      <c r="EAO7" s="137"/>
      <c r="EAP7" s="136"/>
      <c r="EAQ7" s="344"/>
      <c r="EAR7" s="344"/>
      <c r="EAS7" s="344"/>
      <c r="EAT7" s="344"/>
      <c r="EAU7" s="136"/>
      <c r="EAV7" s="137"/>
      <c r="EAW7" s="137"/>
      <c r="EAX7" s="136"/>
      <c r="EAY7" s="344"/>
      <c r="EAZ7" s="344"/>
      <c r="EBA7" s="344"/>
      <c r="EBB7" s="344"/>
      <c r="EBC7" s="136"/>
      <c r="EBD7" s="137"/>
      <c r="EBE7" s="137"/>
      <c r="EBF7" s="136"/>
      <c r="EBG7" s="344"/>
      <c r="EBH7" s="344"/>
      <c r="EBI7" s="344"/>
      <c r="EBJ7" s="344"/>
      <c r="EBK7" s="136"/>
      <c r="EBL7" s="137"/>
      <c r="EBM7" s="137"/>
      <c r="EBN7" s="136"/>
      <c r="EBO7" s="344"/>
      <c r="EBP7" s="344"/>
      <c r="EBQ7" s="344"/>
      <c r="EBR7" s="344"/>
      <c r="EBS7" s="136"/>
      <c r="EBT7" s="137"/>
      <c r="EBU7" s="137"/>
      <c r="EBV7" s="136"/>
      <c r="EBW7" s="344"/>
      <c r="EBX7" s="344"/>
      <c r="EBY7" s="344"/>
      <c r="EBZ7" s="344"/>
      <c r="ECA7" s="136"/>
      <c r="ECB7" s="137"/>
      <c r="ECC7" s="137"/>
      <c r="ECD7" s="136"/>
      <c r="ECE7" s="344"/>
      <c r="ECF7" s="344"/>
      <c r="ECG7" s="344"/>
      <c r="ECH7" s="344"/>
      <c r="ECI7" s="136"/>
      <c r="ECJ7" s="137"/>
      <c r="ECK7" s="137"/>
      <c r="ECL7" s="136"/>
      <c r="ECM7" s="344"/>
      <c r="ECN7" s="344"/>
      <c r="ECO7" s="344"/>
      <c r="ECP7" s="344"/>
      <c r="ECQ7" s="136"/>
      <c r="ECR7" s="137"/>
      <c r="ECS7" s="137"/>
      <c r="ECT7" s="136"/>
      <c r="ECU7" s="344"/>
      <c r="ECV7" s="344"/>
      <c r="ECW7" s="344"/>
      <c r="ECX7" s="344"/>
      <c r="ECY7" s="136"/>
      <c r="ECZ7" s="137"/>
      <c r="EDA7" s="137"/>
      <c r="EDB7" s="136"/>
      <c r="EDC7" s="344"/>
      <c r="EDD7" s="344"/>
      <c r="EDE7" s="344"/>
      <c r="EDF7" s="344"/>
      <c r="EDG7" s="136"/>
      <c r="EDH7" s="137"/>
      <c r="EDI7" s="137"/>
      <c r="EDJ7" s="136"/>
      <c r="EDK7" s="344"/>
      <c r="EDL7" s="344"/>
      <c r="EDM7" s="344"/>
      <c r="EDN7" s="344"/>
      <c r="EDO7" s="136"/>
      <c r="EDP7" s="137"/>
      <c r="EDQ7" s="137"/>
      <c r="EDR7" s="136"/>
      <c r="EDS7" s="344"/>
      <c r="EDT7" s="344"/>
      <c r="EDU7" s="344"/>
      <c r="EDV7" s="344"/>
      <c r="EDW7" s="136"/>
      <c r="EDX7" s="137"/>
      <c r="EDY7" s="137"/>
      <c r="EDZ7" s="136"/>
      <c r="EEA7" s="344"/>
      <c r="EEB7" s="344"/>
      <c r="EEC7" s="344"/>
      <c r="EED7" s="344"/>
      <c r="EEE7" s="136"/>
      <c r="EEF7" s="137"/>
      <c r="EEG7" s="137"/>
      <c r="EEH7" s="136"/>
      <c r="EEI7" s="344"/>
      <c r="EEJ7" s="344"/>
      <c r="EEK7" s="344"/>
      <c r="EEL7" s="344"/>
      <c r="EEM7" s="136"/>
      <c r="EEN7" s="137"/>
      <c r="EEO7" s="137"/>
      <c r="EEP7" s="136"/>
      <c r="EEQ7" s="344"/>
      <c r="EER7" s="344"/>
      <c r="EES7" s="344"/>
      <c r="EET7" s="344"/>
      <c r="EEU7" s="136"/>
      <c r="EEV7" s="137"/>
      <c r="EEW7" s="137"/>
      <c r="EEX7" s="136"/>
      <c r="EEY7" s="344"/>
      <c r="EEZ7" s="344"/>
      <c r="EFA7" s="344"/>
      <c r="EFB7" s="344"/>
      <c r="EFC7" s="136"/>
      <c r="EFD7" s="137"/>
      <c r="EFE7" s="137"/>
      <c r="EFF7" s="136"/>
      <c r="EFG7" s="344"/>
      <c r="EFH7" s="344"/>
      <c r="EFI7" s="344"/>
      <c r="EFJ7" s="344"/>
      <c r="EFK7" s="136"/>
      <c r="EFL7" s="137"/>
      <c r="EFM7" s="137"/>
      <c r="EFN7" s="136"/>
      <c r="EFO7" s="344"/>
      <c r="EFP7" s="344"/>
      <c r="EFQ7" s="344"/>
      <c r="EFR7" s="344"/>
      <c r="EFS7" s="136"/>
      <c r="EFT7" s="137"/>
      <c r="EFU7" s="137"/>
      <c r="EFV7" s="136"/>
      <c r="EFW7" s="344"/>
      <c r="EFX7" s="344"/>
      <c r="EFY7" s="344"/>
      <c r="EFZ7" s="344"/>
      <c r="EGA7" s="136"/>
      <c r="EGB7" s="137"/>
      <c r="EGC7" s="137"/>
      <c r="EGD7" s="136"/>
      <c r="EGE7" s="344"/>
      <c r="EGF7" s="344"/>
      <c r="EGG7" s="344"/>
      <c r="EGH7" s="344"/>
      <c r="EGI7" s="136"/>
      <c r="EGJ7" s="137"/>
      <c r="EGK7" s="137"/>
      <c r="EGL7" s="136"/>
      <c r="EGM7" s="344"/>
      <c r="EGN7" s="344"/>
      <c r="EGO7" s="344"/>
      <c r="EGP7" s="344"/>
      <c r="EGQ7" s="136"/>
      <c r="EGR7" s="137"/>
      <c r="EGS7" s="137"/>
      <c r="EGT7" s="136"/>
      <c r="EGU7" s="344"/>
      <c r="EGV7" s="344"/>
      <c r="EGW7" s="344"/>
      <c r="EGX7" s="344"/>
      <c r="EGY7" s="136"/>
      <c r="EGZ7" s="137"/>
      <c r="EHA7" s="137"/>
      <c r="EHB7" s="136"/>
      <c r="EHC7" s="344"/>
      <c r="EHD7" s="344"/>
      <c r="EHE7" s="344"/>
      <c r="EHF7" s="344"/>
      <c r="EHG7" s="136"/>
      <c r="EHH7" s="137"/>
      <c r="EHI7" s="137"/>
      <c r="EHJ7" s="136"/>
      <c r="EHK7" s="344"/>
      <c r="EHL7" s="344"/>
      <c r="EHM7" s="344"/>
      <c r="EHN7" s="344"/>
      <c r="EHO7" s="136"/>
      <c r="EHP7" s="137"/>
      <c r="EHQ7" s="137"/>
      <c r="EHR7" s="136"/>
      <c r="EHS7" s="344"/>
      <c r="EHT7" s="344"/>
      <c r="EHU7" s="344"/>
      <c r="EHV7" s="344"/>
      <c r="EHW7" s="136"/>
      <c r="EHX7" s="137"/>
      <c r="EHY7" s="137"/>
      <c r="EHZ7" s="136"/>
      <c r="EIA7" s="344"/>
      <c r="EIB7" s="344"/>
      <c r="EIC7" s="344"/>
      <c r="EID7" s="344"/>
      <c r="EIE7" s="136"/>
      <c r="EIF7" s="137"/>
      <c r="EIG7" s="137"/>
      <c r="EIH7" s="136"/>
      <c r="EII7" s="344"/>
      <c r="EIJ7" s="344"/>
      <c r="EIK7" s="344"/>
      <c r="EIL7" s="344"/>
      <c r="EIM7" s="136"/>
      <c r="EIN7" s="137"/>
      <c r="EIO7" s="137"/>
      <c r="EIP7" s="136"/>
      <c r="EIQ7" s="344"/>
      <c r="EIR7" s="344"/>
      <c r="EIS7" s="344"/>
      <c r="EIT7" s="344"/>
      <c r="EIU7" s="136"/>
      <c r="EIV7" s="137"/>
      <c r="EIW7" s="137"/>
      <c r="EIX7" s="136"/>
      <c r="EIY7" s="344"/>
      <c r="EIZ7" s="344"/>
      <c r="EJA7" s="344"/>
      <c r="EJB7" s="344"/>
      <c r="EJC7" s="136"/>
      <c r="EJD7" s="137"/>
      <c r="EJE7" s="137"/>
      <c r="EJF7" s="136"/>
      <c r="EJG7" s="344"/>
      <c r="EJH7" s="344"/>
      <c r="EJI7" s="344"/>
      <c r="EJJ7" s="344"/>
      <c r="EJK7" s="136"/>
      <c r="EJL7" s="137"/>
      <c r="EJM7" s="137"/>
      <c r="EJN7" s="136"/>
      <c r="EJO7" s="344"/>
      <c r="EJP7" s="344"/>
      <c r="EJQ7" s="344"/>
      <c r="EJR7" s="344"/>
      <c r="EJS7" s="136"/>
      <c r="EJT7" s="137"/>
      <c r="EJU7" s="137"/>
      <c r="EJV7" s="136"/>
      <c r="EJW7" s="344"/>
      <c r="EJX7" s="344"/>
      <c r="EJY7" s="344"/>
      <c r="EJZ7" s="344"/>
      <c r="EKA7" s="136"/>
      <c r="EKB7" s="137"/>
      <c r="EKC7" s="137"/>
      <c r="EKD7" s="136"/>
      <c r="EKE7" s="344"/>
      <c r="EKF7" s="344"/>
      <c r="EKG7" s="344"/>
      <c r="EKH7" s="344"/>
      <c r="EKI7" s="136"/>
      <c r="EKJ7" s="137"/>
      <c r="EKK7" s="137"/>
      <c r="EKL7" s="136"/>
      <c r="EKM7" s="344"/>
      <c r="EKN7" s="344"/>
      <c r="EKO7" s="344"/>
      <c r="EKP7" s="344"/>
      <c r="EKQ7" s="136"/>
      <c r="EKR7" s="137"/>
      <c r="EKS7" s="137"/>
      <c r="EKT7" s="136"/>
      <c r="EKU7" s="344"/>
      <c r="EKV7" s="344"/>
      <c r="EKW7" s="344"/>
      <c r="EKX7" s="344"/>
      <c r="EKY7" s="136"/>
      <c r="EKZ7" s="137"/>
      <c r="ELA7" s="137"/>
      <c r="ELB7" s="136"/>
      <c r="ELC7" s="344"/>
      <c r="ELD7" s="344"/>
      <c r="ELE7" s="344"/>
      <c r="ELF7" s="344"/>
      <c r="ELG7" s="136"/>
      <c r="ELH7" s="137"/>
      <c r="ELI7" s="137"/>
      <c r="ELJ7" s="136"/>
      <c r="ELK7" s="344"/>
      <c r="ELL7" s="344"/>
      <c r="ELM7" s="344"/>
      <c r="ELN7" s="344"/>
      <c r="ELO7" s="136"/>
      <c r="ELP7" s="137"/>
      <c r="ELQ7" s="137"/>
      <c r="ELR7" s="136"/>
      <c r="ELS7" s="344"/>
      <c r="ELT7" s="344"/>
      <c r="ELU7" s="344"/>
      <c r="ELV7" s="344"/>
      <c r="ELW7" s="136"/>
      <c r="ELX7" s="137"/>
      <c r="ELY7" s="137"/>
      <c r="ELZ7" s="136"/>
      <c r="EMA7" s="344"/>
      <c r="EMB7" s="344"/>
      <c r="EMC7" s="344"/>
      <c r="EMD7" s="344"/>
      <c r="EME7" s="136"/>
      <c r="EMF7" s="137"/>
      <c r="EMG7" s="137"/>
      <c r="EMH7" s="136"/>
      <c r="EMI7" s="344"/>
      <c r="EMJ7" s="344"/>
      <c r="EMK7" s="344"/>
      <c r="EML7" s="344"/>
      <c r="EMM7" s="136"/>
      <c r="EMN7" s="137"/>
      <c r="EMO7" s="137"/>
      <c r="EMP7" s="136"/>
      <c r="EMQ7" s="344"/>
      <c r="EMR7" s="344"/>
      <c r="EMS7" s="344"/>
      <c r="EMT7" s="344"/>
      <c r="EMU7" s="136"/>
      <c r="EMV7" s="137"/>
      <c r="EMW7" s="137"/>
      <c r="EMX7" s="136"/>
      <c r="EMY7" s="344"/>
      <c r="EMZ7" s="344"/>
      <c r="ENA7" s="344"/>
      <c r="ENB7" s="344"/>
      <c r="ENC7" s="136"/>
      <c r="END7" s="137"/>
      <c r="ENE7" s="137"/>
      <c r="ENF7" s="136"/>
      <c r="ENG7" s="344"/>
      <c r="ENH7" s="344"/>
      <c r="ENI7" s="344"/>
      <c r="ENJ7" s="344"/>
      <c r="ENK7" s="136"/>
      <c r="ENL7" s="137"/>
      <c r="ENM7" s="137"/>
      <c r="ENN7" s="136"/>
      <c r="ENO7" s="344"/>
      <c r="ENP7" s="344"/>
      <c r="ENQ7" s="344"/>
      <c r="ENR7" s="344"/>
      <c r="ENS7" s="136"/>
      <c r="ENT7" s="137"/>
      <c r="ENU7" s="137"/>
      <c r="ENV7" s="136"/>
      <c r="ENW7" s="344"/>
      <c r="ENX7" s="344"/>
      <c r="ENY7" s="344"/>
      <c r="ENZ7" s="344"/>
      <c r="EOA7" s="136"/>
      <c r="EOB7" s="137"/>
      <c r="EOC7" s="137"/>
      <c r="EOD7" s="136"/>
      <c r="EOE7" s="344"/>
      <c r="EOF7" s="344"/>
      <c r="EOG7" s="344"/>
      <c r="EOH7" s="344"/>
      <c r="EOI7" s="136"/>
      <c r="EOJ7" s="137"/>
      <c r="EOK7" s="137"/>
      <c r="EOL7" s="136"/>
      <c r="EOM7" s="344"/>
      <c r="EON7" s="344"/>
      <c r="EOO7" s="344"/>
      <c r="EOP7" s="344"/>
      <c r="EOQ7" s="136"/>
      <c r="EOR7" s="137"/>
      <c r="EOS7" s="137"/>
      <c r="EOT7" s="136"/>
      <c r="EOU7" s="344"/>
      <c r="EOV7" s="344"/>
      <c r="EOW7" s="344"/>
      <c r="EOX7" s="344"/>
      <c r="EOY7" s="136"/>
      <c r="EOZ7" s="137"/>
      <c r="EPA7" s="137"/>
      <c r="EPB7" s="136"/>
      <c r="EPC7" s="344"/>
      <c r="EPD7" s="344"/>
      <c r="EPE7" s="344"/>
      <c r="EPF7" s="344"/>
      <c r="EPG7" s="136"/>
      <c r="EPH7" s="137"/>
      <c r="EPI7" s="137"/>
      <c r="EPJ7" s="136"/>
      <c r="EPK7" s="344"/>
      <c r="EPL7" s="344"/>
      <c r="EPM7" s="344"/>
      <c r="EPN7" s="344"/>
      <c r="EPO7" s="136"/>
      <c r="EPP7" s="137"/>
      <c r="EPQ7" s="137"/>
      <c r="EPR7" s="136"/>
      <c r="EPS7" s="344"/>
      <c r="EPT7" s="344"/>
      <c r="EPU7" s="344"/>
      <c r="EPV7" s="344"/>
      <c r="EPW7" s="136"/>
      <c r="EPX7" s="137"/>
      <c r="EPY7" s="137"/>
      <c r="EPZ7" s="136"/>
      <c r="EQA7" s="344"/>
      <c r="EQB7" s="344"/>
      <c r="EQC7" s="344"/>
      <c r="EQD7" s="344"/>
      <c r="EQE7" s="136"/>
      <c r="EQF7" s="137"/>
      <c r="EQG7" s="137"/>
      <c r="EQH7" s="136"/>
      <c r="EQI7" s="344"/>
      <c r="EQJ7" s="344"/>
      <c r="EQK7" s="344"/>
      <c r="EQL7" s="344"/>
      <c r="EQM7" s="136"/>
      <c r="EQN7" s="137"/>
      <c r="EQO7" s="137"/>
      <c r="EQP7" s="136"/>
      <c r="EQQ7" s="344"/>
      <c r="EQR7" s="344"/>
      <c r="EQS7" s="344"/>
      <c r="EQT7" s="344"/>
      <c r="EQU7" s="136"/>
      <c r="EQV7" s="137"/>
      <c r="EQW7" s="137"/>
      <c r="EQX7" s="136"/>
      <c r="EQY7" s="344"/>
      <c r="EQZ7" s="344"/>
      <c r="ERA7" s="344"/>
      <c r="ERB7" s="344"/>
      <c r="ERC7" s="136"/>
      <c r="ERD7" s="137"/>
      <c r="ERE7" s="137"/>
      <c r="ERF7" s="136"/>
      <c r="ERG7" s="344"/>
      <c r="ERH7" s="344"/>
      <c r="ERI7" s="344"/>
      <c r="ERJ7" s="344"/>
      <c r="ERK7" s="136"/>
      <c r="ERL7" s="137"/>
      <c r="ERM7" s="137"/>
      <c r="ERN7" s="136"/>
      <c r="ERO7" s="344"/>
      <c r="ERP7" s="344"/>
      <c r="ERQ7" s="344"/>
      <c r="ERR7" s="344"/>
      <c r="ERS7" s="136"/>
      <c r="ERT7" s="137"/>
      <c r="ERU7" s="137"/>
      <c r="ERV7" s="136"/>
      <c r="ERW7" s="344"/>
      <c r="ERX7" s="344"/>
      <c r="ERY7" s="344"/>
      <c r="ERZ7" s="344"/>
      <c r="ESA7" s="136"/>
      <c r="ESB7" s="137"/>
      <c r="ESC7" s="137"/>
      <c r="ESD7" s="136"/>
      <c r="ESE7" s="344"/>
      <c r="ESF7" s="344"/>
      <c r="ESG7" s="344"/>
      <c r="ESH7" s="344"/>
      <c r="ESI7" s="136"/>
      <c r="ESJ7" s="137"/>
      <c r="ESK7" s="137"/>
      <c r="ESL7" s="136"/>
      <c r="ESM7" s="344"/>
      <c r="ESN7" s="344"/>
      <c r="ESO7" s="344"/>
      <c r="ESP7" s="344"/>
      <c r="ESQ7" s="136"/>
      <c r="ESR7" s="137"/>
      <c r="ESS7" s="137"/>
      <c r="EST7" s="136"/>
      <c r="ESU7" s="344"/>
      <c r="ESV7" s="344"/>
      <c r="ESW7" s="344"/>
      <c r="ESX7" s="344"/>
      <c r="ESY7" s="136"/>
      <c r="ESZ7" s="137"/>
      <c r="ETA7" s="137"/>
      <c r="ETB7" s="136"/>
      <c r="ETC7" s="344"/>
      <c r="ETD7" s="344"/>
      <c r="ETE7" s="344"/>
      <c r="ETF7" s="344"/>
      <c r="ETG7" s="136"/>
      <c r="ETH7" s="137"/>
      <c r="ETI7" s="137"/>
      <c r="ETJ7" s="136"/>
      <c r="ETK7" s="344"/>
      <c r="ETL7" s="344"/>
      <c r="ETM7" s="344"/>
      <c r="ETN7" s="344"/>
      <c r="ETO7" s="136"/>
      <c r="ETP7" s="137"/>
      <c r="ETQ7" s="137"/>
      <c r="ETR7" s="136"/>
      <c r="ETS7" s="344"/>
      <c r="ETT7" s="344"/>
      <c r="ETU7" s="344"/>
      <c r="ETV7" s="344"/>
      <c r="ETW7" s="136"/>
      <c r="ETX7" s="137"/>
      <c r="ETY7" s="137"/>
      <c r="ETZ7" s="136"/>
      <c r="EUA7" s="344"/>
      <c r="EUB7" s="344"/>
      <c r="EUC7" s="344"/>
      <c r="EUD7" s="344"/>
      <c r="EUE7" s="136"/>
      <c r="EUF7" s="137"/>
      <c r="EUG7" s="137"/>
      <c r="EUH7" s="136"/>
      <c r="EUI7" s="344"/>
      <c r="EUJ7" s="344"/>
      <c r="EUK7" s="344"/>
      <c r="EUL7" s="344"/>
      <c r="EUM7" s="136"/>
      <c r="EUN7" s="137"/>
      <c r="EUO7" s="137"/>
      <c r="EUP7" s="136"/>
      <c r="EUQ7" s="344"/>
      <c r="EUR7" s="344"/>
      <c r="EUS7" s="344"/>
      <c r="EUT7" s="344"/>
      <c r="EUU7" s="136"/>
      <c r="EUV7" s="137"/>
      <c r="EUW7" s="137"/>
      <c r="EUX7" s="136"/>
      <c r="EUY7" s="344"/>
      <c r="EUZ7" s="344"/>
      <c r="EVA7" s="344"/>
      <c r="EVB7" s="344"/>
      <c r="EVC7" s="136"/>
      <c r="EVD7" s="137"/>
      <c r="EVE7" s="137"/>
      <c r="EVF7" s="136"/>
      <c r="EVG7" s="344"/>
      <c r="EVH7" s="344"/>
      <c r="EVI7" s="344"/>
      <c r="EVJ7" s="344"/>
      <c r="EVK7" s="136"/>
      <c r="EVL7" s="137"/>
      <c r="EVM7" s="137"/>
      <c r="EVN7" s="136"/>
      <c r="EVO7" s="344"/>
      <c r="EVP7" s="344"/>
      <c r="EVQ7" s="344"/>
      <c r="EVR7" s="344"/>
      <c r="EVS7" s="136"/>
      <c r="EVT7" s="137"/>
      <c r="EVU7" s="137"/>
      <c r="EVV7" s="136"/>
      <c r="EVW7" s="344"/>
      <c r="EVX7" s="344"/>
      <c r="EVY7" s="344"/>
      <c r="EVZ7" s="344"/>
      <c r="EWA7" s="136"/>
      <c r="EWB7" s="137"/>
      <c r="EWC7" s="137"/>
      <c r="EWD7" s="136"/>
      <c r="EWE7" s="344"/>
      <c r="EWF7" s="344"/>
      <c r="EWG7" s="344"/>
      <c r="EWH7" s="344"/>
      <c r="EWI7" s="136"/>
      <c r="EWJ7" s="137"/>
      <c r="EWK7" s="137"/>
      <c r="EWL7" s="136"/>
      <c r="EWM7" s="344"/>
      <c r="EWN7" s="344"/>
      <c r="EWO7" s="344"/>
      <c r="EWP7" s="344"/>
      <c r="EWQ7" s="136"/>
      <c r="EWR7" s="137"/>
      <c r="EWS7" s="137"/>
      <c r="EWT7" s="136"/>
      <c r="EWU7" s="344"/>
      <c r="EWV7" s="344"/>
      <c r="EWW7" s="344"/>
      <c r="EWX7" s="344"/>
      <c r="EWY7" s="136"/>
      <c r="EWZ7" s="137"/>
      <c r="EXA7" s="137"/>
      <c r="EXB7" s="136"/>
      <c r="EXC7" s="344"/>
      <c r="EXD7" s="344"/>
      <c r="EXE7" s="344"/>
      <c r="EXF7" s="344"/>
      <c r="EXG7" s="136"/>
      <c r="EXH7" s="137"/>
      <c r="EXI7" s="137"/>
      <c r="EXJ7" s="136"/>
      <c r="EXK7" s="344"/>
      <c r="EXL7" s="344"/>
      <c r="EXM7" s="344"/>
      <c r="EXN7" s="344"/>
      <c r="EXO7" s="136"/>
      <c r="EXP7" s="137"/>
      <c r="EXQ7" s="137"/>
      <c r="EXR7" s="136"/>
      <c r="EXS7" s="344"/>
      <c r="EXT7" s="344"/>
      <c r="EXU7" s="344"/>
      <c r="EXV7" s="344"/>
      <c r="EXW7" s="136"/>
      <c r="EXX7" s="137"/>
      <c r="EXY7" s="137"/>
      <c r="EXZ7" s="136"/>
      <c r="EYA7" s="344"/>
      <c r="EYB7" s="344"/>
      <c r="EYC7" s="344"/>
      <c r="EYD7" s="344"/>
      <c r="EYE7" s="136"/>
      <c r="EYF7" s="137"/>
      <c r="EYG7" s="137"/>
      <c r="EYH7" s="136"/>
      <c r="EYI7" s="344"/>
      <c r="EYJ7" s="344"/>
      <c r="EYK7" s="344"/>
      <c r="EYL7" s="344"/>
      <c r="EYM7" s="136"/>
      <c r="EYN7" s="137"/>
      <c r="EYO7" s="137"/>
      <c r="EYP7" s="136"/>
      <c r="EYQ7" s="344"/>
      <c r="EYR7" s="344"/>
      <c r="EYS7" s="344"/>
      <c r="EYT7" s="344"/>
      <c r="EYU7" s="136"/>
      <c r="EYV7" s="137"/>
      <c r="EYW7" s="137"/>
      <c r="EYX7" s="136"/>
      <c r="EYY7" s="344"/>
      <c r="EYZ7" s="344"/>
      <c r="EZA7" s="344"/>
      <c r="EZB7" s="344"/>
      <c r="EZC7" s="136"/>
      <c r="EZD7" s="137"/>
      <c r="EZE7" s="137"/>
      <c r="EZF7" s="136"/>
      <c r="EZG7" s="344"/>
      <c r="EZH7" s="344"/>
      <c r="EZI7" s="344"/>
      <c r="EZJ7" s="344"/>
      <c r="EZK7" s="136"/>
      <c r="EZL7" s="137"/>
      <c r="EZM7" s="137"/>
      <c r="EZN7" s="136"/>
      <c r="EZO7" s="344"/>
      <c r="EZP7" s="344"/>
      <c r="EZQ7" s="344"/>
      <c r="EZR7" s="344"/>
      <c r="EZS7" s="136"/>
      <c r="EZT7" s="137"/>
      <c r="EZU7" s="137"/>
      <c r="EZV7" s="136"/>
      <c r="EZW7" s="344"/>
      <c r="EZX7" s="344"/>
      <c r="EZY7" s="344"/>
      <c r="EZZ7" s="344"/>
      <c r="FAA7" s="136"/>
      <c r="FAB7" s="137"/>
      <c r="FAC7" s="137"/>
      <c r="FAD7" s="136"/>
      <c r="FAE7" s="344"/>
      <c r="FAF7" s="344"/>
      <c r="FAG7" s="344"/>
      <c r="FAH7" s="344"/>
      <c r="FAI7" s="136"/>
      <c r="FAJ7" s="137"/>
      <c r="FAK7" s="137"/>
      <c r="FAL7" s="136"/>
      <c r="FAM7" s="344"/>
      <c r="FAN7" s="344"/>
      <c r="FAO7" s="344"/>
      <c r="FAP7" s="344"/>
      <c r="FAQ7" s="136"/>
      <c r="FAR7" s="137"/>
      <c r="FAS7" s="137"/>
      <c r="FAT7" s="136"/>
      <c r="FAU7" s="344"/>
      <c r="FAV7" s="344"/>
      <c r="FAW7" s="344"/>
      <c r="FAX7" s="344"/>
      <c r="FAY7" s="136"/>
      <c r="FAZ7" s="137"/>
      <c r="FBA7" s="137"/>
      <c r="FBB7" s="136"/>
      <c r="FBC7" s="344"/>
      <c r="FBD7" s="344"/>
      <c r="FBE7" s="344"/>
      <c r="FBF7" s="344"/>
      <c r="FBG7" s="136"/>
      <c r="FBH7" s="137"/>
      <c r="FBI7" s="137"/>
      <c r="FBJ7" s="136"/>
      <c r="FBK7" s="344"/>
      <c r="FBL7" s="344"/>
      <c r="FBM7" s="344"/>
      <c r="FBN7" s="344"/>
      <c r="FBO7" s="136"/>
      <c r="FBP7" s="137"/>
      <c r="FBQ7" s="137"/>
      <c r="FBR7" s="136"/>
      <c r="FBS7" s="344"/>
      <c r="FBT7" s="344"/>
      <c r="FBU7" s="344"/>
      <c r="FBV7" s="344"/>
      <c r="FBW7" s="136"/>
      <c r="FBX7" s="137"/>
      <c r="FBY7" s="137"/>
      <c r="FBZ7" s="136"/>
      <c r="FCA7" s="344"/>
      <c r="FCB7" s="344"/>
      <c r="FCC7" s="344"/>
      <c r="FCD7" s="344"/>
      <c r="FCE7" s="136"/>
      <c r="FCF7" s="137"/>
      <c r="FCG7" s="137"/>
      <c r="FCH7" s="136"/>
      <c r="FCI7" s="344"/>
      <c r="FCJ7" s="344"/>
      <c r="FCK7" s="344"/>
      <c r="FCL7" s="344"/>
      <c r="FCM7" s="136"/>
      <c r="FCN7" s="137"/>
      <c r="FCO7" s="137"/>
      <c r="FCP7" s="136"/>
      <c r="FCQ7" s="344"/>
      <c r="FCR7" s="344"/>
      <c r="FCS7" s="344"/>
      <c r="FCT7" s="344"/>
      <c r="FCU7" s="136"/>
      <c r="FCV7" s="137"/>
      <c r="FCW7" s="137"/>
      <c r="FCX7" s="136"/>
      <c r="FCY7" s="344"/>
      <c r="FCZ7" s="344"/>
      <c r="FDA7" s="344"/>
      <c r="FDB7" s="344"/>
      <c r="FDC7" s="136"/>
      <c r="FDD7" s="137"/>
      <c r="FDE7" s="137"/>
      <c r="FDF7" s="136"/>
      <c r="FDG7" s="344"/>
      <c r="FDH7" s="344"/>
      <c r="FDI7" s="344"/>
      <c r="FDJ7" s="344"/>
      <c r="FDK7" s="136"/>
      <c r="FDL7" s="137"/>
      <c r="FDM7" s="137"/>
      <c r="FDN7" s="136"/>
      <c r="FDO7" s="344"/>
      <c r="FDP7" s="344"/>
      <c r="FDQ7" s="344"/>
      <c r="FDR7" s="344"/>
      <c r="FDS7" s="136"/>
      <c r="FDT7" s="137"/>
      <c r="FDU7" s="137"/>
      <c r="FDV7" s="136"/>
      <c r="FDW7" s="344"/>
      <c r="FDX7" s="344"/>
      <c r="FDY7" s="344"/>
      <c r="FDZ7" s="344"/>
      <c r="FEA7" s="136"/>
      <c r="FEB7" s="137"/>
      <c r="FEC7" s="137"/>
      <c r="FED7" s="136"/>
      <c r="FEE7" s="344"/>
      <c r="FEF7" s="344"/>
      <c r="FEG7" s="344"/>
      <c r="FEH7" s="344"/>
      <c r="FEI7" s="136"/>
      <c r="FEJ7" s="137"/>
      <c r="FEK7" s="137"/>
      <c r="FEL7" s="136"/>
      <c r="FEM7" s="344"/>
      <c r="FEN7" s="344"/>
      <c r="FEO7" s="344"/>
      <c r="FEP7" s="344"/>
      <c r="FEQ7" s="136"/>
      <c r="FER7" s="137"/>
      <c r="FES7" s="137"/>
      <c r="FET7" s="136"/>
      <c r="FEU7" s="344"/>
      <c r="FEV7" s="344"/>
      <c r="FEW7" s="344"/>
      <c r="FEX7" s="344"/>
      <c r="FEY7" s="136"/>
      <c r="FEZ7" s="137"/>
      <c r="FFA7" s="137"/>
      <c r="FFB7" s="136"/>
      <c r="FFC7" s="344"/>
      <c r="FFD7" s="344"/>
      <c r="FFE7" s="344"/>
      <c r="FFF7" s="344"/>
      <c r="FFG7" s="136"/>
      <c r="FFH7" s="137"/>
      <c r="FFI7" s="137"/>
      <c r="FFJ7" s="136"/>
      <c r="FFK7" s="344"/>
      <c r="FFL7" s="344"/>
      <c r="FFM7" s="344"/>
      <c r="FFN7" s="344"/>
      <c r="FFO7" s="136"/>
      <c r="FFP7" s="137"/>
      <c r="FFQ7" s="137"/>
      <c r="FFR7" s="136"/>
      <c r="FFS7" s="344"/>
      <c r="FFT7" s="344"/>
      <c r="FFU7" s="344"/>
      <c r="FFV7" s="344"/>
      <c r="FFW7" s="136"/>
      <c r="FFX7" s="137"/>
      <c r="FFY7" s="137"/>
      <c r="FFZ7" s="136"/>
      <c r="FGA7" s="344"/>
      <c r="FGB7" s="344"/>
      <c r="FGC7" s="344"/>
      <c r="FGD7" s="344"/>
      <c r="FGE7" s="136"/>
      <c r="FGF7" s="137"/>
      <c r="FGG7" s="137"/>
      <c r="FGH7" s="136"/>
      <c r="FGI7" s="344"/>
      <c r="FGJ7" s="344"/>
      <c r="FGK7" s="344"/>
      <c r="FGL7" s="344"/>
      <c r="FGM7" s="136"/>
      <c r="FGN7" s="137"/>
      <c r="FGO7" s="137"/>
      <c r="FGP7" s="136"/>
      <c r="FGQ7" s="344"/>
      <c r="FGR7" s="344"/>
      <c r="FGS7" s="344"/>
      <c r="FGT7" s="344"/>
      <c r="FGU7" s="136"/>
      <c r="FGV7" s="137"/>
      <c r="FGW7" s="137"/>
      <c r="FGX7" s="136"/>
      <c r="FGY7" s="344"/>
      <c r="FGZ7" s="344"/>
      <c r="FHA7" s="344"/>
      <c r="FHB7" s="344"/>
      <c r="FHC7" s="136"/>
      <c r="FHD7" s="137"/>
      <c r="FHE7" s="137"/>
      <c r="FHF7" s="136"/>
      <c r="FHG7" s="344"/>
      <c r="FHH7" s="344"/>
      <c r="FHI7" s="344"/>
      <c r="FHJ7" s="344"/>
      <c r="FHK7" s="136"/>
      <c r="FHL7" s="137"/>
      <c r="FHM7" s="137"/>
      <c r="FHN7" s="136"/>
      <c r="FHO7" s="344"/>
      <c r="FHP7" s="344"/>
      <c r="FHQ7" s="344"/>
      <c r="FHR7" s="344"/>
      <c r="FHS7" s="136"/>
      <c r="FHT7" s="137"/>
      <c r="FHU7" s="137"/>
      <c r="FHV7" s="136"/>
      <c r="FHW7" s="344"/>
      <c r="FHX7" s="344"/>
      <c r="FHY7" s="344"/>
      <c r="FHZ7" s="344"/>
      <c r="FIA7" s="136"/>
      <c r="FIB7" s="137"/>
      <c r="FIC7" s="137"/>
      <c r="FID7" s="136"/>
      <c r="FIE7" s="344"/>
      <c r="FIF7" s="344"/>
      <c r="FIG7" s="344"/>
      <c r="FIH7" s="344"/>
      <c r="FII7" s="136"/>
      <c r="FIJ7" s="137"/>
      <c r="FIK7" s="137"/>
      <c r="FIL7" s="136"/>
      <c r="FIM7" s="344"/>
      <c r="FIN7" s="344"/>
      <c r="FIO7" s="344"/>
      <c r="FIP7" s="344"/>
      <c r="FIQ7" s="136"/>
      <c r="FIR7" s="137"/>
      <c r="FIS7" s="137"/>
      <c r="FIT7" s="136"/>
      <c r="FIU7" s="344"/>
      <c r="FIV7" s="344"/>
      <c r="FIW7" s="344"/>
      <c r="FIX7" s="344"/>
      <c r="FIY7" s="136"/>
      <c r="FIZ7" s="137"/>
      <c r="FJA7" s="137"/>
      <c r="FJB7" s="136"/>
      <c r="FJC7" s="344"/>
      <c r="FJD7" s="344"/>
      <c r="FJE7" s="344"/>
      <c r="FJF7" s="344"/>
      <c r="FJG7" s="136"/>
      <c r="FJH7" s="137"/>
      <c r="FJI7" s="137"/>
      <c r="FJJ7" s="136"/>
      <c r="FJK7" s="344"/>
      <c r="FJL7" s="344"/>
      <c r="FJM7" s="344"/>
      <c r="FJN7" s="344"/>
      <c r="FJO7" s="136"/>
      <c r="FJP7" s="137"/>
      <c r="FJQ7" s="137"/>
      <c r="FJR7" s="136"/>
      <c r="FJS7" s="344"/>
      <c r="FJT7" s="344"/>
      <c r="FJU7" s="344"/>
      <c r="FJV7" s="344"/>
      <c r="FJW7" s="136"/>
      <c r="FJX7" s="137"/>
      <c r="FJY7" s="137"/>
      <c r="FJZ7" s="136"/>
      <c r="FKA7" s="344"/>
      <c r="FKB7" s="344"/>
      <c r="FKC7" s="344"/>
      <c r="FKD7" s="344"/>
      <c r="FKE7" s="136"/>
      <c r="FKF7" s="137"/>
      <c r="FKG7" s="137"/>
      <c r="FKH7" s="136"/>
      <c r="FKI7" s="344"/>
      <c r="FKJ7" s="344"/>
      <c r="FKK7" s="344"/>
      <c r="FKL7" s="344"/>
      <c r="FKM7" s="136"/>
      <c r="FKN7" s="137"/>
      <c r="FKO7" s="137"/>
      <c r="FKP7" s="136"/>
      <c r="FKQ7" s="344"/>
      <c r="FKR7" s="344"/>
      <c r="FKS7" s="344"/>
      <c r="FKT7" s="344"/>
      <c r="FKU7" s="136"/>
      <c r="FKV7" s="137"/>
      <c r="FKW7" s="137"/>
      <c r="FKX7" s="136"/>
      <c r="FKY7" s="344"/>
      <c r="FKZ7" s="344"/>
      <c r="FLA7" s="344"/>
      <c r="FLB7" s="344"/>
      <c r="FLC7" s="136"/>
      <c r="FLD7" s="137"/>
      <c r="FLE7" s="137"/>
      <c r="FLF7" s="136"/>
      <c r="FLG7" s="344"/>
      <c r="FLH7" s="344"/>
      <c r="FLI7" s="344"/>
      <c r="FLJ7" s="344"/>
      <c r="FLK7" s="136"/>
      <c r="FLL7" s="137"/>
      <c r="FLM7" s="137"/>
      <c r="FLN7" s="136"/>
      <c r="FLO7" s="344"/>
      <c r="FLP7" s="344"/>
      <c r="FLQ7" s="344"/>
      <c r="FLR7" s="344"/>
      <c r="FLS7" s="136"/>
      <c r="FLT7" s="137"/>
      <c r="FLU7" s="137"/>
      <c r="FLV7" s="136"/>
      <c r="FLW7" s="344"/>
      <c r="FLX7" s="344"/>
      <c r="FLY7" s="344"/>
      <c r="FLZ7" s="344"/>
      <c r="FMA7" s="136"/>
      <c r="FMB7" s="137"/>
      <c r="FMC7" s="137"/>
      <c r="FMD7" s="136"/>
      <c r="FME7" s="344"/>
      <c r="FMF7" s="344"/>
      <c r="FMG7" s="344"/>
      <c r="FMH7" s="344"/>
      <c r="FMI7" s="136"/>
      <c r="FMJ7" s="137"/>
      <c r="FMK7" s="137"/>
      <c r="FML7" s="136"/>
      <c r="FMM7" s="344"/>
      <c r="FMN7" s="344"/>
      <c r="FMO7" s="344"/>
      <c r="FMP7" s="344"/>
      <c r="FMQ7" s="136"/>
      <c r="FMR7" s="137"/>
      <c r="FMS7" s="137"/>
      <c r="FMT7" s="136"/>
      <c r="FMU7" s="344"/>
      <c r="FMV7" s="344"/>
      <c r="FMW7" s="344"/>
      <c r="FMX7" s="344"/>
      <c r="FMY7" s="136"/>
      <c r="FMZ7" s="137"/>
      <c r="FNA7" s="137"/>
      <c r="FNB7" s="136"/>
      <c r="FNC7" s="344"/>
      <c r="FND7" s="344"/>
      <c r="FNE7" s="344"/>
      <c r="FNF7" s="344"/>
      <c r="FNG7" s="136"/>
      <c r="FNH7" s="137"/>
      <c r="FNI7" s="137"/>
      <c r="FNJ7" s="136"/>
      <c r="FNK7" s="344"/>
      <c r="FNL7" s="344"/>
      <c r="FNM7" s="344"/>
      <c r="FNN7" s="344"/>
      <c r="FNO7" s="136"/>
      <c r="FNP7" s="137"/>
      <c r="FNQ7" s="137"/>
      <c r="FNR7" s="136"/>
      <c r="FNS7" s="344"/>
      <c r="FNT7" s="344"/>
      <c r="FNU7" s="344"/>
      <c r="FNV7" s="344"/>
      <c r="FNW7" s="136"/>
      <c r="FNX7" s="137"/>
      <c r="FNY7" s="137"/>
      <c r="FNZ7" s="136"/>
      <c r="FOA7" s="344"/>
      <c r="FOB7" s="344"/>
      <c r="FOC7" s="344"/>
      <c r="FOD7" s="344"/>
      <c r="FOE7" s="136"/>
      <c r="FOF7" s="137"/>
      <c r="FOG7" s="137"/>
      <c r="FOH7" s="136"/>
      <c r="FOI7" s="344"/>
      <c r="FOJ7" s="344"/>
      <c r="FOK7" s="344"/>
      <c r="FOL7" s="344"/>
      <c r="FOM7" s="136"/>
      <c r="FON7" s="137"/>
      <c r="FOO7" s="137"/>
      <c r="FOP7" s="136"/>
      <c r="FOQ7" s="344"/>
      <c r="FOR7" s="344"/>
      <c r="FOS7" s="344"/>
      <c r="FOT7" s="344"/>
      <c r="FOU7" s="136"/>
      <c r="FOV7" s="137"/>
      <c r="FOW7" s="137"/>
      <c r="FOX7" s="136"/>
      <c r="FOY7" s="344"/>
      <c r="FOZ7" s="344"/>
      <c r="FPA7" s="344"/>
      <c r="FPB7" s="344"/>
      <c r="FPC7" s="136"/>
      <c r="FPD7" s="137"/>
      <c r="FPE7" s="137"/>
      <c r="FPF7" s="136"/>
      <c r="FPG7" s="344"/>
      <c r="FPH7" s="344"/>
      <c r="FPI7" s="344"/>
      <c r="FPJ7" s="344"/>
      <c r="FPK7" s="136"/>
      <c r="FPL7" s="137"/>
      <c r="FPM7" s="137"/>
      <c r="FPN7" s="136"/>
      <c r="FPO7" s="344"/>
      <c r="FPP7" s="344"/>
      <c r="FPQ7" s="344"/>
      <c r="FPR7" s="344"/>
      <c r="FPS7" s="136"/>
      <c r="FPT7" s="137"/>
      <c r="FPU7" s="137"/>
      <c r="FPV7" s="136"/>
      <c r="FPW7" s="344"/>
      <c r="FPX7" s="344"/>
      <c r="FPY7" s="344"/>
      <c r="FPZ7" s="344"/>
      <c r="FQA7" s="136"/>
      <c r="FQB7" s="137"/>
      <c r="FQC7" s="137"/>
      <c r="FQD7" s="136"/>
      <c r="FQE7" s="344"/>
      <c r="FQF7" s="344"/>
      <c r="FQG7" s="344"/>
      <c r="FQH7" s="344"/>
      <c r="FQI7" s="136"/>
      <c r="FQJ7" s="137"/>
      <c r="FQK7" s="137"/>
      <c r="FQL7" s="136"/>
      <c r="FQM7" s="344"/>
      <c r="FQN7" s="344"/>
      <c r="FQO7" s="344"/>
      <c r="FQP7" s="344"/>
      <c r="FQQ7" s="136"/>
      <c r="FQR7" s="137"/>
      <c r="FQS7" s="137"/>
      <c r="FQT7" s="136"/>
      <c r="FQU7" s="344"/>
      <c r="FQV7" s="344"/>
      <c r="FQW7" s="344"/>
      <c r="FQX7" s="344"/>
      <c r="FQY7" s="136"/>
      <c r="FQZ7" s="137"/>
      <c r="FRA7" s="137"/>
      <c r="FRB7" s="136"/>
      <c r="FRC7" s="344"/>
      <c r="FRD7" s="344"/>
      <c r="FRE7" s="344"/>
      <c r="FRF7" s="344"/>
      <c r="FRG7" s="136"/>
      <c r="FRH7" s="137"/>
      <c r="FRI7" s="137"/>
      <c r="FRJ7" s="136"/>
      <c r="FRK7" s="344"/>
      <c r="FRL7" s="344"/>
      <c r="FRM7" s="344"/>
      <c r="FRN7" s="344"/>
      <c r="FRO7" s="136"/>
      <c r="FRP7" s="137"/>
      <c r="FRQ7" s="137"/>
      <c r="FRR7" s="136"/>
      <c r="FRS7" s="344"/>
      <c r="FRT7" s="344"/>
      <c r="FRU7" s="344"/>
      <c r="FRV7" s="344"/>
      <c r="FRW7" s="136"/>
      <c r="FRX7" s="137"/>
      <c r="FRY7" s="137"/>
      <c r="FRZ7" s="136"/>
      <c r="FSA7" s="344"/>
      <c r="FSB7" s="344"/>
      <c r="FSC7" s="344"/>
      <c r="FSD7" s="344"/>
      <c r="FSE7" s="136"/>
      <c r="FSF7" s="137"/>
      <c r="FSG7" s="137"/>
      <c r="FSH7" s="136"/>
      <c r="FSI7" s="344"/>
      <c r="FSJ7" s="344"/>
      <c r="FSK7" s="344"/>
      <c r="FSL7" s="344"/>
      <c r="FSM7" s="136"/>
      <c r="FSN7" s="137"/>
      <c r="FSO7" s="137"/>
      <c r="FSP7" s="136"/>
      <c r="FSQ7" s="344"/>
      <c r="FSR7" s="344"/>
      <c r="FSS7" s="344"/>
      <c r="FST7" s="344"/>
      <c r="FSU7" s="136"/>
      <c r="FSV7" s="137"/>
      <c r="FSW7" s="137"/>
      <c r="FSX7" s="136"/>
      <c r="FSY7" s="344"/>
      <c r="FSZ7" s="344"/>
      <c r="FTA7" s="344"/>
      <c r="FTB7" s="344"/>
      <c r="FTC7" s="136"/>
      <c r="FTD7" s="137"/>
      <c r="FTE7" s="137"/>
      <c r="FTF7" s="136"/>
      <c r="FTG7" s="344"/>
      <c r="FTH7" s="344"/>
      <c r="FTI7" s="344"/>
      <c r="FTJ7" s="344"/>
      <c r="FTK7" s="136"/>
      <c r="FTL7" s="137"/>
      <c r="FTM7" s="137"/>
      <c r="FTN7" s="136"/>
      <c r="FTO7" s="344"/>
      <c r="FTP7" s="344"/>
      <c r="FTQ7" s="344"/>
      <c r="FTR7" s="344"/>
      <c r="FTS7" s="136"/>
      <c r="FTT7" s="137"/>
      <c r="FTU7" s="137"/>
      <c r="FTV7" s="136"/>
      <c r="FTW7" s="344"/>
      <c r="FTX7" s="344"/>
      <c r="FTY7" s="344"/>
      <c r="FTZ7" s="344"/>
      <c r="FUA7" s="136"/>
      <c r="FUB7" s="137"/>
      <c r="FUC7" s="137"/>
      <c r="FUD7" s="136"/>
      <c r="FUE7" s="344"/>
      <c r="FUF7" s="344"/>
      <c r="FUG7" s="344"/>
      <c r="FUH7" s="344"/>
      <c r="FUI7" s="136"/>
      <c r="FUJ7" s="137"/>
      <c r="FUK7" s="137"/>
      <c r="FUL7" s="136"/>
      <c r="FUM7" s="344"/>
      <c r="FUN7" s="344"/>
      <c r="FUO7" s="344"/>
      <c r="FUP7" s="344"/>
      <c r="FUQ7" s="136"/>
      <c r="FUR7" s="137"/>
      <c r="FUS7" s="137"/>
      <c r="FUT7" s="136"/>
      <c r="FUU7" s="344"/>
      <c r="FUV7" s="344"/>
      <c r="FUW7" s="344"/>
      <c r="FUX7" s="344"/>
      <c r="FUY7" s="136"/>
      <c r="FUZ7" s="137"/>
      <c r="FVA7" s="137"/>
      <c r="FVB7" s="136"/>
      <c r="FVC7" s="344"/>
      <c r="FVD7" s="344"/>
      <c r="FVE7" s="344"/>
      <c r="FVF7" s="344"/>
      <c r="FVG7" s="136"/>
      <c r="FVH7" s="137"/>
      <c r="FVI7" s="137"/>
      <c r="FVJ7" s="136"/>
      <c r="FVK7" s="344"/>
      <c r="FVL7" s="344"/>
      <c r="FVM7" s="344"/>
      <c r="FVN7" s="344"/>
      <c r="FVO7" s="136"/>
      <c r="FVP7" s="137"/>
      <c r="FVQ7" s="137"/>
      <c r="FVR7" s="136"/>
      <c r="FVS7" s="344"/>
      <c r="FVT7" s="344"/>
      <c r="FVU7" s="344"/>
      <c r="FVV7" s="344"/>
      <c r="FVW7" s="136"/>
      <c r="FVX7" s="137"/>
      <c r="FVY7" s="137"/>
      <c r="FVZ7" s="136"/>
      <c r="FWA7" s="344"/>
      <c r="FWB7" s="344"/>
      <c r="FWC7" s="344"/>
      <c r="FWD7" s="344"/>
      <c r="FWE7" s="136"/>
      <c r="FWF7" s="137"/>
      <c r="FWG7" s="137"/>
      <c r="FWH7" s="136"/>
      <c r="FWI7" s="344"/>
      <c r="FWJ7" s="344"/>
      <c r="FWK7" s="344"/>
      <c r="FWL7" s="344"/>
      <c r="FWM7" s="136"/>
      <c r="FWN7" s="137"/>
      <c r="FWO7" s="137"/>
      <c r="FWP7" s="136"/>
      <c r="FWQ7" s="344"/>
      <c r="FWR7" s="344"/>
      <c r="FWS7" s="344"/>
      <c r="FWT7" s="344"/>
      <c r="FWU7" s="136"/>
      <c r="FWV7" s="137"/>
      <c r="FWW7" s="137"/>
      <c r="FWX7" s="136"/>
      <c r="FWY7" s="344"/>
      <c r="FWZ7" s="344"/>
      <c r="FXA7" s="344"/>
      <c r="FXB7" s="344"/>
      <c r="FXC7" s="136"/>
      <c r="FXD7" s="137"/>
      <c r="FXE7" s="137"/>
      <c r="FXF7" s="136"/>
      <c r="FXG7" s="344"/>
      <c r="FXH7" s="344"/>
      <c r="FXI7" s="344"/>
      <c r="FXJ7" s="344"/>
      <c r="FXK7" s="136"/>
      <c r="FXL7" s="137"/>
      <c r="FXM7" s="137"/>
      <c r="FXN7" s="136"/>
      <c r="FXO7" s="344"/>
      <c r="FXP7" s="344"/>
      <c r="FXQ7" s="344"/>
      <c r="FXR7" s="344"/>
      <c r="FXS7" s="136"/>
      <c r="FXT7" s="137"/>
      <c r="FXU7" s="137"/>
      <c r="FXV7" s="136"/>
      <c r="FXW7" s="344"/>
      <c r="FXX7" s="344"/>
      <c r="FXY7" s="344"/>
      <c r="FXZ7" s="344"/>
      <c r="FYA7" s="136"/>
      <c r="FYB7" s="137"/>
      <c r="FYC7" s="137"/>
      <c r="FYD7" s="136"/>
      <c r="FYE7" s="344"/>
      <c r="FYF7" s="344"/>
      <c r="FYG7" s="344"/>
      <c r="FYH7" s="344"/>
      <c r="FYI7" s="136"/>
      <c r="FYJ7" s="137"/>
      <c r="FYK7" s="137"/>
      <c r="FYL7" s="136"/>
      <c r="FYM7" s="344"/>
      <c r="FYN7" s="344"/>
      <c r="FYO7" s="344"/>
      <c r="FYP7" s="344"/>
      <c r="FYQ7" s="136"/>
      <c r="FYR7" s="137"/>
      <c r="FYS7" s="137"/>
      <c r="FYT7" s="136"/>
      <c r="FYU7" s="344"/>
      <c r="FYV7" s="344"/>
      <c r="FYW7" s="344"/>
      <c r="FYX7" s="344"/>
      <c r="FYY7" s="136"/>
      <c r="FYZ7" s="137"/>
      <c r="FZA7" s="137"/>
      <c r="FZB7" s="136"/>
      <c r="FZC7" s="344"/>
      <c r="FZD7" s="344"/>
      <c r="FZE7" s="344"/>
      <c r="FZF7" s="344"/>
      <c r="FZG7" s="136"/>
      <c r="FZH7" s="137"/>
      <c r="FZI7" s="137"/>
      <c r="FZJ7" s="136"/>
      <c r="FZK7" s="344"/>
      <c r="FZL7" s="344"/>
      <c r="FZM7" s="344"/>
      <c r="FZN7" s="344"/>
      <c r="FZO7" s="136"/>
      <c r="FZP7" s="137"/>
      <c r="FZQ7" s="137"/>
      <c r="FZR7" s="136"/>
      <c r="FZS7" s="344"/>
      <c r="FZT7" s="344"/>
      <c r="FZU7" s="344"/>
      <c r="FZV7" s="344"/>
      <c r="FZW7" s="136"/>
      <c r="FZX7" s="137"/>
      <c r="FZY7" s="137"/>
      <c r="FZZ7" s="136"/>
      <c r="GAA7" s="344"/>
      <c r="GAB7" s="344"/>
      <c r="GAC7" s="344"/>
      <c r="GAD7" s="344"/>
      <c r="GAE7" s="136"/>
      <c r="GAF7" s="137"/>
      <c r="GAG7" s="137"/>
      <c r="GAH7" s="136"/>
      <c r="GAI7" s="344"/>
      <c r="GAJ7" s="344"/>
      <c r="GAK7" s="344"/>
      <c r="GAL7" s="344"/>
      <c r="GAM7" s="136"/>
      <c r="GAN7" s="137"/>
      <c r="GAO7" s="137"/>
      <c r="GAP7" s="136"/>
      <c r="GAQ7" s="344"/>
      <c r="GAR7" s="344"/>
      <c r="GAS7" s="344"/>
      <c r="GAT7" s="344"/>
      <c r="GAU7" s="136"/>
      <c r="GAV7" s="137"/>
      <c r="GAW7" s="137"/>
      <c r="GAX7" s="136"/>
      <c r="GAY7" s="344"/>
      <c r="GAZ7" s="344"/>
      <c r="GBA7" s="344"/>
      <c r="GBB7" s="344"/>
      <c r="GBC7" s="136"/>
      <c r="GBD7" s="137"/>
      <c r="GBE7" s="137"/>
      <c r="GBF7" s="136"/>
      <c r="GBG7" s="344"/>
      <c r="GBH7" s="344"/>
      <c r="GBI7" s="344"/>
      <c r="GBJ7" s="344"/>
      <c r="GBK7" s="136"/>
      <c r="GBL7" s="137"/>
      <c r="GBM7" s="137"/>
      <c r="GBN7" s="136"/>
      <c r="GBO7" s="344"/>
      <c r="GBP7" s="344"/>
      <c r="GBQ7" s="344"/>
      <c r="GBR7" s="344"/>
      <c r="GBS7" s="136"/>
      <c r="GBT7" s="137"/>
      <c r="GBU7" s="137"/>
      <c r="GBV7" s="136"/>
      <c r="GBW7" s="344"/>
      <c r="GBX7" s="344"/>
      <c r="GBY7" s="344"/>
      <c r="GBZ7" s="344"/>
      <c r="GCA7" s="136"/>
      <c r="GCB7" s="137"/>
      <c r="GCC7" s="137"/>
      <c r="GCD7" s="136"/>
      <c r="GCE7" s="344"/>
      <c r="GCF7" s="344"/>
      <c r="GCG7" s="344"/>
      <c r="GCH7" s="344"/>
      <c r="GCI7" s="136"/>
      <c r="GCJ7" s="137"/>
      <c r="GCK7" s="137"/>
      <c r="GCL7" s="136"/>
      <c r="GCM7" s="344"/>
      <c r="GCN7" s="344"/>
      <c r="GCO7" s="344"/>
      <c r="GCP7" s="344"/>
      <c r="GCQ7" s="136"/>
      <c r="GCR7" s="137"/>
      <c r="GCS7" s="137"/>
      <c r="GCT7" s="136"/>
      <c r="GCU7" s="344"/>
      <c r="GCV7" s="344"/>
      <c r="GCW7" s="344"/>
      <c r="GCX7" s="344"/>
      <c r="GCY7" s="136"/>
      <c r="GCZ7" s="137"/>
      <c r="GDA7" s="137"/>
      <c r="GDB7" s="136"/>
      <c r="GDC7" s="344"/>
      <c r="GDD7" s="344"/>
      <c r="GDE7" s="344"/>
      <c r="GDF7" s="344"/>
      <c r="GDG7" s="136"/>
      <c r="GDH7" s="137"/>
      <c r="GDI7" s="137"/>
      <c r="GDJ7" s="136"/>
      <c r="GDK7" s="344"/>
      <c r="GDL7" s="344"/>
      <c r="GDM7" s="344"/>
      <c r="GDN7" s="344"/>
      <c r="GDO7" s="136"/>
      <c r="GDP7" s="137"/>
      <c r="GDQ7" s="137"/>
      <c r="GDR7" s="136"/>
      <c r="GDS7" s="344"/>
      <c r="GDT7" s="344"/>
      <c r="GDU7" s="344"/>
      <c r="GDV7" s="344"/>
      <c r="GDW7" s="136"/>
      <c r="GDX7" s="137"/>
      <c r="GDY7" s="137"/>
      <c r="GDZ7" s="136"/>
      <c r="GEA7" s="344"/>
      <c r="GEB7" s="344"/>
      <c r="GEC7" s="344"/>
      <c r="GED7" s="344"/>
      <c r="GEE7" s="136"/>
      <c r="GEF7" s="137"/>
      <c r="GEG7" s="137"/>
      <c r="GEH7" s="136"/>
      <c r="GEI7" s="344"/>
      <c r="GEJ7" s="344"/>
      <c r="GEK7" s="344"/>
      <c r="GEL7" s="344"/>
      <c r="GEM7" s="136"/>
      <c r="GEN7" s="137"/>
      <c r="GEO7" s="137"/>
      <c r="GEP7" s="136"/>
      <c r="GEQ7" s="344"/>
      <c r="GER7" s="344"/>
      <c r="GES7" s="344"/>
      <c r="GET7" s="344"/>
      <c r="GEU7" s="136"/>
      <c r="GEV7" s="137"/>
      <c r="GEW7" s="137"/>
      <c r="GEX7" s="136"/>
      <c r="GEY7" s="344"/>
      <c r="GEZ7" s="344"/>
      <c r="GFA7" s="344"/>
      <c r="GFB7" s="344"/>
      <c r="GFC7" s="136"/>
      <c r="GFD7" s="137"/>
      <c r="GFE7" s="137"/>
      <c r="GFF7" s="136"/>
      <c r="GFG7" s="344"/>
      <c r="GFH7" s="344"/>
      <c r="GFI7" s="344"/>
      <c r="GFJ7" s="344"/>
      <c r="GFK7" s="136"/>
      <c r="GFL7" s="137"/>
      <c r="GFM7" s="137"/>
      <c r="GFN7" s="136"/>
      <c r="GFO7" s="344"/>
      <c r="GFP7" s="344"/>
      <c r="GFQ7" s="344"/>
      <c r="GFR7" s="344"/>
      <c r="GFS7" s="136"/>
      <c r="GFT7" s="137"/>
      <c r="GFU7" s="137"/>
      <c r="GFV7" s="136"/>
      <c r="GFW7" s="344"/>
      <c r="GFX7" s="344"/>
      <c r="GFY7" s="344"/>
      <c r="GFZ7" s="344"/>
      <c r="GGA7" s="136"/>
      <c r="GGB7" s="137"/>
      <c r="GGC7" s="137"/>
      <c r="GGD7" s="136"/>
      <c r="GGE7" s="344"/>
      <c r="GGF7" s="344"/>
      <c r="GGG7" s="344"/>
      <c r="GGH7" s="344"/>
      <c r="GGI7" s="136"/>
      <c r="GGJ7" s="137"/>
      <c r="GGK7" s="137"/>
      <c r="GGL7" s="136"/>
      <c r="GGM7" s="344"/>
      <c r="GGN7" s="344"/>
      <c r="GGO7" s="344"/>
      <c r="GGP7" s="344"/>
      <c r="GGQ7" s="136"/>
      <c r="GGR7" s="137"/>
      <c r="GGS7" s="137"/>
      <c r="GGT7" s="136"/>
      <c r="GGU7" s="344"/>
      <c r="GGV7" s="344"/>
      <c r="GGW7" s="344"/>
      <c r="GGX7" s="344"/>
      <c r="GGY7" s="136"/>
      <c r="GGZ7" s="137"/>
      <c r="GHA7" s="137"/>
      <c r="GHB7" s="136"/>
      <c r="GHC7" s="344"/>
      <c r="GHD7" s="344"/>
      <c r="GHE7" s="344"/>
      <c r="GHF7" s="344"/>
      <c r="GHG7" s="136"/>
      <c r="GHH7" s="137"/>
      <c r="GHI7" s="137"/>
      <c r="GHJ7" s="136"/>
      <c r="GHK7" s="344"/>
      <c r="GHL7" s="344"/>
      <c r="GHM7" s="344"/>
      <c r="GHN7" s="344"/>
      <c r="GHO7" s="136"/>
      <c r="GHP7" s="137"/>
      <c r="GHQ7" s="137"/>
      <c r="GHR7" s="136"/>
      <c r="GHS7" s="344"/>
      <c r="GHT7" s="344"/>
      <c r="GHU7" s="344"/>
      <c r="GHV7" s="344"/>
      <c r="GHW7" s="136"/>
      <c r="GHX7" s="137"/>
      <c r="GHY7" s="137"/>
      <c r="GHZ7" s="136"/>
      <c r="GIA7" s="344"/>
      <c r="GIB7" s="344"/>
      <c r="GIC7" s="344"/>
      <c r="GID7" s="344"/>
      <c r="GIE7" s="136"/>
      <c r="GIF7" s="137"/>
      <c r="GIG7" s="137"/>
      <c r="GIH7" s="136"/>
      <c r="GII7" s="344"/>
      <c r="GIJ7" s="344"/>
      <c r="GIK7" s="344"/>
      <c r="GIL7" s="344"/>
      <c r="GIM7" s="136"/>
      <c r="GIN7" s="137"/>
      <c r="GIO7" s="137"/>
      <c r="GIP7" s="136"/>
      <c r="GIQ7" s="344"/>
      <c r="GIR7" s="344"/>
      <c r="GIS7" s="344"/>
      <c r="GIT7" s="344"/>
      <c r="GIU7" s="136"/>
      <c r="GIV7" s="137"/>
      <c r="GIW7" s="137"/>
      <c r="GIX7" s="136"/>
      <c r="GIY7" s="344"/>
      <c r="GIZ7" s="344"/>
      <c r="GJA7" s="344"/>
      <c r="GJB7" s="344"/>
      <c r="GJC7" s="136"/>
      <c r="GJD7" s="137"/>
      <c r="GJE7" s="137"/>
      <c r="GJF7" s="136"/>
      <c r="GJG7" s="344"/>
      <c r="GJH7" s="344"/>
      <c r="GJI7" s="344"/>
      <c r="GJJ7" s="344"/>
      <c r="GJK7" s="136"/>
      <c r="GJL7" s="137"/>
      <c r="GJM7" s="137"/>
      <c r="GJN7" s="136"/>
      <c r="GJO7" s="344"/>
      <c r="GJP7" s="344"/>
      <c r="GJQ7" s="344"/>
      <c r="GJR7" s="344"/>
      <c r="GJS7" s="136"/>
      <c r="GJT7" s="137"/>
      <c r="GJU7" s="137"/>
      <c r="GJV7" s="136"/>
      <c r="GJW7" s="344"/>
      <c r="GJX7" s="344"/>
      <c r="GJY7" s="344"/>
      <c r="GJZ7" s="344"/>
      <c r="GKA7" s="136"/>
      <c r="GKB7" s="137"/>
      <c r="GKC7" s="137"/>
      <c r="GKD7" s="136"/>
      <c r="GKE7" s="344"/>
      <c r="GKF7" s="344"/>
      <c r="GKG7" s="344"/>
      <c r="GKH7" s="344"/>
      <c r="GKI7" s="136"/>
      <c r="GKJ7" s="137"/>
      <c r="GKK7" s="137"/>
      <c r="GKL7" s="136"/>
      <c r="GKM7" s="344"/>
      <c r="GKN7" s="344"/>
      <c r="GKO7" s="344"/>
      <c r="GKP7" s="344"/>
      <c r="GKQ7" s="136"/>
      <c r="GKR7" s="137"/>
      <c r="GKS7" s="137"/>
      <c r="GKT7" s="136"/>
      <c r="GKU7" s="344"/>
      <c r="GKV7" s="344"/>
      <c r="GKW7" s="344"/>
      <c r="GKX7" s="344"/>
      <c r="GKY7" s="136"/>
      <c r="GKZ7" s="137"/>
      <c r="GLA7" s="137"/>
      <c r="GLB7" s="136"/>
      <c r="GLC7" s="344"/>
      <c r="GLD7" s="344"/>
      <c r="GLE7" s="344"/>
      <c r="GLF7" s="344"/>
      <c r="GLG7" s="136"/>
      <c r="GLH7" s="137"/>
      <c r="GLI7" s="137"/>
      <c r="GLJ7" s="136"/>
      <c r="GLK7" s="344"/>
      <c r="GLL7" s="344"/>
      <c r="GLM7" s="344"/>
      <c r="GLN7" s="344"/>
      <c r="GLO7" s="136"/>
      <c r="GLP7" s="137"/>
      <c r="GLQ7" s="137"/>
      <c r="GLR7" s="136"/>
      <c r="GLS7" s="344"/>
      <c r="GLT7" s="344"/>
      <c r="GLU7" s="344"/>
      <c r="GLV7" s="344"/>
      <c r="GLW7" s="136"/>
      <c r="GLX7" s="137"/>
      <c r="GLY7" s="137"/>
      <c r="GLZ7" s="136"/>
      <c r="GMA7" s="344"/>
      <c r="GMB7" s="344"/>
      <c r="GMC7" s="344"/>
      <c r="GMD7" s="344"/>
      <c r="GME7" s="136"/>
      <c r="GMF7" s="137"/>
      <c r="GMG7" s="137"/>
      <c r="GMH7" s="136"/>
      <c r="GMI7" s="344"/>
      <c r="GMJ7" s="344"/>
      <c r="GMK7" s="344"/>
      <c r="GML7" s="344"/>
      <c r="GMM7" s="136"/>
      <c r="GMN7" s="137"/>
      <c r="GMO7" s="137"/>
      <c r="GMP7" s="136"/>
      <c r="GMQ7" s="344"/>
      <c r="GMR7" s="344"/>
      <c r="GMS7" s="344"/>
      <c r="GMT7" s="344"/>
      <c r="GMU7" s="136"/>
      <c r="GMV7" s="137"/>
      <c r="GMW7" s="137"/>
      <c r="GMX7" s="136"/>
      <c r="GMY7" s="344"/>
      <c r="GMZ7" s="344"/>
      <c r="GNA7" s="344"/>
      <c r="GNB7" s="344"/>
      <c r="GNC7" s="136"/>
      <c r="GND7" s="137"/>
      <c r="GNE7" s="137"/>
      <c r="GNF7" s="136"/>
      <c r="GNG7" s="344"/>
      <c r="GNH7" s="344"/>
      <c r="GNI7" s="344"/>
      <c r="GNJ7" s="344"/>
      <c r="GNK7" s="136"/>
      <c r="GNL7" s="137"/>
      <c r="GNM7" s="137"/>
      <c r="GNN7" s="136"/>
      <c r="GNO7" s="344"/>
      <c r="GNP7" s="344"/>
      <c r="GNQ7" s="344"/>
      <c r="GNR7" s="344"/>
      <c r="GNS7" s="136"/>
      <c r="GNT7" s="137"/>
      <c r="GNU7" s="137"/>
      <c r="GNV7" s="136"/>
      <c r="GNW7" s="344"/>
      <c r="GNX7" s="344"/>
      <c r="GNY7" s="344"/>
      <c r="GNZ7" s="344"/>
      <c r="GOA7" s="136"/>
      <c r="GOB7" s="137"/>
      <c r="GOC7" s="137"/>
      <c r="GOD7" s="136"/>
      <c r="GOE7" s="344"/>
      <c r="GOF7" s="344"/>
      <c r="GOG7" s="344"/>
      <c r="GOH7" s="344"/>
      <c r="GOI7" s="136"/>
      <c r="GOJ7" s="137"/>
      <c r="GOK7" s="137"/>
      <c r="GOL7" s="136"/>
      <c r="GOM7" s="344"/>
      <c r="GON7" s="344"/>
      <c r="GOO7" s="344"/>
      <c r="GOP7" s="344"/>
      <c r="GOQ7" s="136"/>
      <c r="GOR7" s="137"/>
      <c r="GOS7" s="137"/>
      <c r="GOT7" s="136"/>
      <c r="GOU7" s="344"/>
      <c r="GOV7" s="344"/>
      <c r="GOW7" s="344"/>
      <c r="GOX7" s="344"/>
      <c r="GOY7" s="136"/>
      <c r="GOZ7" s="137"/>
      <c r="GPA7" s="137"/>
      <c r="GPB7" s="136"/>
      <c r="GPC7" s="344"/>
      <c r="GPD7" s="344"/>
      <c r="GPE7" s="344"/>
      <c r="GPF7" s="344"/>
      <c r="GPG7" s="136"/>
      <c r="GPH7" s="137"/>
      <c r="GPI7" s="137"/>
      <c r="GPJ7" s="136"/>
      <c r="GPK7" s="344"/>
      <c r="GPL7" s="344"/>
      <c r="GPM7" s="344"/>
      <c r="GPN7" s="344"/>
      <c r="GPO7" s="136"/>
      <c r="GPP7" s="137"/>
      <c r="GPQ7" s="137"/>
      <c r="GPR7" s="136"/>
      <c r="GPS7" s="344"/>
      <c r="GPT7" s="344"/>
      <c r="GPU7" s="344"/>
      <c r="GPV7" s="344"/>
      <c r="GPW7" s="136"/>
      <c r="GPX7" s="137"/>
      <c r="GPY7" s="137"/>
      <c r="GPZ7" s="136"/>
      <c r="GQA7" s="344"/>
      <c r="GQB7" s="344"/>
      <c r="GQC7" s="344"/>
      <c r="GQD7" s="344"/>
      <c r="GQE7" s="136"/>
      <c r="GQF7" s="137"/>
      <c r="GQG7" s="137"/>
      <c r="GQH7" s="136"/>
      <c r="GQI7" s="344"/>
      <c r="GQJ7" s="344"/>
      <c r="GQK7" s="344"/>
      <c r="GQL7" s="344"/>
      <c r="GQM7" s="136"/>
      <c r="GQN7" s="137"/>
      <c r="GQO7" s="137"/>
      <c r="GQP7" s="136"/>
      <c r="GQQ7" s="344"/>
      <c r="GQR7" s="344"/>
      <c r="GQS7" s="344"/>
      <c r="GQT7" s="344"/>
      <c r="GQU7" s="136"/>
      <c r="GQV7" s="137"/>
      <c r="GQW7" s="137"/>
      <c r="GQX7" s="136"/>
      <c r="GQY7" s="344"/>
      <c r="GQZ7" s="344"/>
      <c r="GRA7" s="344"/>
      <c r="GRB7" s="344"/>
      <c r="GRC7" s="136"/>
      <c r="GRD7" s="137"/>
      <c r="GRE7" s="137"/>
      <c r="GRF7" s="136"/>
      <c r="GRG7" s="344"/>
      <c r="GRH7" s="344"/>
      <c r="GRI7" s="344"/>
      <c r="GRJ7" s="344"/>
      <c r="GRK7" s="136"/>
      <c r="GRL7" s="137"/>
      <c r="GRM7" s="137"/>
      <c r="GRN7" s="136"/>
      <c r="GRO7" s="344"/>
      <c r="GRP7" s="344"/>
      <c r="GRQ7" s="344"/>
      <c r="GRR7" s="344"/>
      <c r="GRS7" s="136"/>
      <c r="GRT7" s="137"/>
      <c r="GRU7" s="137"/>
      <c r="GRV7" s="136"/>
      <c r="GRW7" s="344"/>
      <c r="GRX7" s="344"/>
      <c r="GRY7" s="344"/>
      <c r="GRZ7" s="344"/>
      <c r="GSA7" s="136"/>
      <c r="GSB7" s="137"/>
      <c r="GSC7" s="137"/>
      <c r="GSD7" s="136"/>
      <c r="GSE7" s="344"/>
      <c r="GSF7" s="344"/>
      <c r="GSG7" s="344"/>
      <c r="GSH7" s="344"/>
      <c r="GSI7" s="136"/>
      <c r="GSJ7" s="137"/>
      <c r="GSK7" s="137"/>
      <c r="GSL7" s="136"/>
      <c r="GSM7" s="344"/>
      <c r="GSN7" s="344"/>
      <c r="GSO7" s="344"/>
      <c r="GSP7" s="344"/>
      <c r="GSQ7" s="136"/>
      <c r="GSR7" s="137"/>
      <c r="GSS7" s="137"/>
      <c r="GST7" s="136"/>
      <c r="GSU7" s="344"/>
      <c r="GSV7" s="344"/>
      <c r="GSW7" s="344"/>
      <c r="GSX7" s="344"/>
      <c r="GSY7" s="136"/>
      <c r="GSZ7" s="137"/>
      <c r="GTA7" s="137"/>
      <c r="GTB7" s="136"/>
      <c r="GTC7" s="344"/>
      <c r="GTD7" s="344"/>
      <c r="GTE7" s="344"/>
      <c r="GTF7" s="344"/>
      <c r="GTG7" s="136"/>
      <c r="GTH7" s="137"/>
      <c r="GTI7" s="137"/>
      <c r="GTJ7" s="136"/>
      <c r="GTK7" s="344"/>
      <c r="GTL7" s="344"/>
      <c r="GTM7" s="344"/>
      <c r="GTN7" s="344"/>
      <c r="GTO7" s="136"/>
      <c r="GTP7" s="137"/>
      <c r="GTQ7" s="137"/>
      <c r="GTR7" s="136"/>
      <c r="GTS7" s="344"/>
      <c r="GTT7" s="344"/>
      <c r="GTU7" s="344"/>
      <c r="GTV7" s="344"/>
      <c r="GTW7" s="136"/>
      <c r="GTX7" s="137"/>
      <c r="GTY7" s="137"/>
      <c r="GTZ7" s="136"/>
      <c r="GUA7" s="344"/>
      <c r="GUB7" s="344"/>
      <c r="GUC7" s="344"/>
      <c r="GUD7" s="344"/>
      <c r="GUE7" s="136"/>
      <c r="GUF7" s="137"/>
      <c r="GUG7" s="137"/>
      <c r="GUH7" s="136"/>
      <c r="GUI7" s="344"/>
      <c r="GUJ7" s="344"/>
      <c r="GUK7" s="344"/>
      <c r="GUL7" s="344"/>
      <c r="GUM7" s="136"/>
      <c r="GUN7" s="137"/>
      <c r="GUO7" s="137"/>
      <c r="GUP7" s="136"/>
      <c r="GUQ7" s="344"/>
      <c r="GUR7" s="344"/>
      <c r="GUS7" s="344"/>
      <c r="GUT7" s="344"/>
      <c r="GUU7" s="136"/>
      <c r="GUV7" s="137"/>
      <c r="GUW7" s="137"/>
      <c r="GUX7" s="136"/>
      <c r="GUY7" s="344"/>
      <c r="GUZ7" s="344"/>
      <c r="GVA7" s="344"/>
      <c r="GVB7" s="344"/>
      <c r="GVC7" s="136"/>
      <c r="GVD7" s="137"/>
      <c r="GVE7" s="137"/>
      <c r="GVF7" s="136"/>
      <c r="GVG7" s="344"/>
      <c r="GVH7" s="344"/>
      <c r="GVI7" s="344"/>
      <c r="GVJ7" s="344"/>
      <c r="GVK7" s="136"/>
      <c r="GVL7" s="137"/>
      <c r="GVM7" s="137"/>
      <c r="GVN7" s="136"/>
      <c r="GVO7" s="344"/>
      <c r="GVP7" s="344"/>
      <c r="GVQ7" s="344"/>
      <c r="GVR7" s="344"/>
      <c r="GVS7" s="136"/>
      <c r="GVT7" s="137"/>
      <c r="GVU7" s="137"/>
      <c r="GVV7" s="136"/>
      <c r="GVW7" s="344"/>
      <c r="GVX7" s="344"/>
      <c r="GVY7" s="344"/>
      <c r="GVZ7" s="344"/>
      <c r="GWA7" s="136"/>
      <c r="GWB7" s="137"/>
      <c r="GWC7" s="137"/>
      <c r="GWD7" s="136"/>
      <c r="GWE7" s="344"/>
      <c r="GWF7" s="344"/>
      <c r="GWG7" s="344"/>
      <c r="GWH7" s="344"/>
      <c r="GWI7" s="136"/>
      <c r="GWJ7" s="137"/>
      <c r="GWK7" s="137"/>
      <c r="GWL7" s="136"/>
      <c r="GWM7" s="344"/>
      <c r="GWN7" s="344"/>
      <c r="GWO7" s="344"/>
      <c r="GWP7" s="344"/>
      <c r="GWQ7" s="136"/>
      <c r="GWR7" s="137"/>
      <c r="GWS7" s="137"/>
      <c r="GWT7" s="136"/>
      <c r="GWU7" s="344"/>
      <c r="GWV7" s="344"/>
      <c r="GWW7" s="344"/>
      <c r="GWX7" s="344"/>
      <c r="GWY7" s="136"/>
      <c r="GWZ7" s="137"/>
      <c r="GXA7" s="137"/>
      <c r="GXB7" s="136"/>
      <c r="GXC7" s="344"/>
      <c r="GXD7" s="344"/>
      <c r="GXE7" s="344"/>
      <c r="GXF7" s="344"/>
      <c r="GXG7" s="136"/>
      <c r="GXH7" s="137"/>
      <c r="GXI7" s="137"/>
      <c r="GXJ7" s="136"/>
      <c r="GXK7" s="344"/>
      <c r="GXL7" s="344"/>
      <c r="GXM7" s="344"/>
      <c r="GXN7" s="344"/>
      <c r="GXO7" s="136"/>
      <c r="GXP7" s="137"/>
      <c r="GXQ7" s="137"/>
      <c r="GXR7" s="136"/>
      <c r="GXS7" s="344"/>
      <c r="GXT7" s="344"/>
      <c r="GXU7" s="344"/>
      <c r="GXV7" s="344"/>
      <c r="GXW7" s="136"/>
      <c r="GXX7" s="137"/>
      <c r="GXY7" s="137"/>
      <c r="GXZ7" s="136"/>
      <c r="GYA7" s="344"/>
      <c r="GYB7" s="344"/>
      <c r="GYC7" s="344"/>
      <c r="GYD7" s="344"/>
      <c r="GYE7" s="136"/>
      <c r="GYF7" s="137"/>
      <c r="GYG7" s="137"/>
      <c r="GYH7" s="136"/>
      <c r="GYI7" s="344"/>
      <c r="GYJ7" s="344"/>
      <c r="GYK7" s="344"/>
      <c r="GYL7" s="344"/>
      <c r="GYM7" s="136"/>
      <c r="GYN7" s="137"/>
      <c r="GYO7" s="137"/>
      <c r="GYP7" s="136"/>
      <c r="GYQ7" s="344"/>
      <c r="GYR7" s="344"/>
      <c r="GYS7" s="344"/>
      <c r="GYT7" s="344"/>
      <c r="GYU7" s="136"/>
      <c r="GYV7" s="137"/>
      <c r="GYW7" s="137"/>
      <c r="GYX7" s="136"/>
      <c r="GYY7" s="344"/>
      <c r="GYZ7" s="344"/>
      <c r="GZA7" s="344"/>
      <c r="GZB7" s="344"/>
      <c r="GZC7" s="136"/>
      <c r="GZD7" s="137"/>
      <c r="GZE7" s="137"/>
      <c r="GZF7" s="136"/>
      <c r="GZG7" s="344"/>
      <c r="GZH7" s="344"/>
      <c r="GZI7" s="344"/>
      <c r="GZJ7" s="344"/>
      <c r="GZK7" s="136"/>
      <c r="GZL7" s="137"/>
      <c r="GZM7" s="137"/>
      <c r="GZN7" s="136"/>
      <c r="GZO7" s="344"/>
      <c r="GZP7" s="344"/>
      <c r="GZQ7" s="344"/>
      <c r="GZR7" s="344"/>
      <c r="GZS7" s="136"/>
      <c r="GZT7" s="137"/>
      <c r="GZU7" s="137"/>
      <c r="GZV7" s="136"/>
      <c r="GZW7" s="344"/>
      <c r="GZX7" s="344"/>
      <c r="GZY7" s="344"/>
      <c r="GZZ7" s="344"/>
      <c r="HAA7" s="136"/>
      <c r="HAB7" s="137"/>
      <c r="HAC7" s="137"/>
      <c r="HAD7" s="136"/>
      <c r="HAE7" s="344"/>
      <c r="HAF7" s="344"/>
      <c r="HAG7" s="344"/>
      <c r="HAH7" s="344"/>
      <c r="HAI7" s="136"/>
      <c r="HAJ7" s="137"/>
      <c r="HAK7" s="137"/>
      <c r="HAL7" s="136"/>
      <c r="HAM7" s="344"/>
      <c r="HAN7" s="344"/>
      <c r="HAO7" s="344"/>
      <c r="HAP7" s="344"/>
      <c r="HAQ7" s="136"/>
      <c r="HAR7" s="137"/>
      <c r="HAS7" s="137"/>
      <c r="HAT7" s="136"/>
      <c r="HAU7" s="344"/>
      <c r="HAV7" s="344"/>
      <c r="HAW7" s="344"/>
      <c r="HAX7" s="344"/>
      <c r="HAY7" s="136"/>
      <c r="HAZ7" s="137"/>
      <c r="HBA7" s="137"/>
      <c r="HBB7" s="136"/>
      <c r="HBC7" s="344"/>
      <c r="HBD7" s="344"/>
      <c r="HBE7" s="344"/>
      <c r="HBF7" s="344"/>
      <c r="HBG7" s="136"/>
      <c r="HBH7" s="137"/>
      <c r="HBI7" s="137"/>
      <c r="HBJ7" s="136"/>
      <c r="HBK7" s="344"/>
      <c r="HBL7" s="344"/>
      <c r="HBM7" s="344"/>
      <c r="HBN7" s="344"/>
      <c r="HBO7" s="136"/>
      <c r="HBP7" s="137"/>
      <c r="HBQ7" s="137"/>
      <c r="HBR7" s="136"/>
      <c r="HBS7" s="344"/>
      <c r="HBT7" s="344"/>
      <c r="HBU7" s="344"/>
      <c r="HBV7" s="344"/>
      <c r="HBW7" s="136"/>
      <c r="HBX7" s="137"/>
      <c r="HBY7" s="137"/>
      <c r="HBZ7" s="136"/>
      <c r="HCA7" s="344"/>
      <c r="HCB7" s="344"/>
      <c r="HCC7" s="344"/>
      <c r="HCD7" s="344"/>
      <c r="HCE7" s="136"/>
      <c r="HCF7" s="137"/>
      <c r="HCG7" s="137"/>
      <c r="HCH7" s="136"/>
      <c r="HCI7" s="344"/>
      <c r="HCJ7" s="344"/>
      <c r="HCK7" s="344"/>
      <c r="HCL7" s="344"/>
      <c r="HCM7" s="136"/>
      <c r="HCN7" s="137"/>
      <c r="HCO7" s="137"/>
      <c r="HCP7" s="136"/>
      <c r="HCQ7" s="344"/>
      <c r="HCR7" s="344"/>
      <c r="HCS7" s="344"/>
      <c r="HCT7" s="344"/>
      <c r="HCU7" s="136"/>
      <c r="HCV7" s="137"/>
      <c r="HCW7" s="137"/>
      <c r="HCX7" s="136"/>
      <c r="HCY7" s="344"/>
      <c r="HCZ7" s="344"/>
      <c r="HDA7" s="344"/>
      <c r="HDB7" s="344"/>
      <c r="HDC7" s="136"/>
      <c r="HDD7" s="137"/>
      <c r="HDE7" s="137"/>
      <c r="HDF7" s="136"/>
      <c r="HDG7" s="344"/>
      <c r="HDH7" s="344"/>
      <c r="HDI7" s="344"/>
      <c r="HDJ7" s="344"/>
      <c r="HDK7" s="136"/>
      <c r="HDL7" s="137"/>
      <c r="HDM7" s="137"/>
      <c r="HDN7" s="136"/>
      <c r="HDO7" s="344"/>
      <c r="HDP7" s="344"/>
      <c r="HDQ7" s="344"/>
      <c r="HDR7" s="344"/>
      <c r="HDS7" s="136"/>
      <c r="HDT7" s="137"/>
      <c r="HDU7" s="137"/>
      <c r="HDV7" s="136"/>
      <c r="HDW7" s="344"/>
      <c r="HDX7" s="344"/>
      <c r="HDY7" s="344"/>
      <c r="HDZ7" s="344"/>
      <c r="HEA7" s="136"/>
      <c r="HEB7" s="137"/>
      <c r="HEC7" s="137"/>
      <c r="HED7" s="136"/>
      <c r="HEE7" s="344"/>
      <c r="HEF7" s="344"/>
      <c r="HEG7" s="344"/>
      <c r="HEH7" s="344"/>
      <c r="HEI7" s="136"/>
      <c r="HEJ7" s="137"/>
      <c r="HEK7" s="137"/>
      <c r="HEL7" s="136"/>
      <c r="HEM7" s="344"/>
      <c r="HEN7" s="344"/>
      <c r="HEO7" s="344"/>
      <c r="HEP7" s="344"/>
      <c r="HEQ7" s="136"/>
      <c r="HER7" s="137"/>
      <c r="HES7" s="137"/>
      <c r="HET7" s="136"/>
      <c r="HEU7" s="344"/>
      <c r="HEV7" s="344"/>
      <c r="HEW7" s="344"/>
      <c r="HEX7" s="344"/>
      <c r="HEY7" s="136"/>
      <c r="HEZ7" s="137"/>
      <c r="HFA7" s="137"/>
      <c r="HFB7" s="136"/>
      <c r="HFC7" s="344"/>
      <c r="HFD7" s="344"/>
      <c r="HFE7" s="344"/>
      <c r="HFF7" s="344"/>
      <c r="HFG7" s="136"/>
      <c r="HFH7" s="137"/>
      <c r="HFI7" s="137"/>
      <c r="HFJ7" s="136"/>
      <c r="HFK7" s="344"/>
      <c r="HFL7" s="344"/>
      <c r="HFM7" s="344"/>
      <c r="HFN7" s="344"/>
      <c r="HFO7" s="136"/>
      <c r="HFP7" s="137"/>
      <c r="HFQ7" s="137"/>
      <c r="HFR7" s="136"/>
      <c r="HFS7" s="344"/>
      <c r="HFT7" s="344"/>
      <c r="HFU7" s="344"/>
      <c r="HFV7" s="344"/>
      <c r="HFW7" s="136"/>
      <c r="HFX7" s="137"/>
      <c r="HFY7" s="137"/>
      <c r="HFZ7" s="136"/>
      <c r="HGA7" s="344"/>
      <c r="HGB7" s="344"/>
      <c r="HGC7" s="344"/>
      <c r="HGD7" s="344"/>
      <c r="HGE7" s="136"/>
      <c r="HGF7" s="137"/>
      <c r="HGG7" s="137"/>
      <c r="HGH7" s="136"/>
      <c r="HGI7" s="344"/>
      <c r="HGJ7" s="344"/>
      <c r="HGK7" s="344"/>
      <c r="HGL7" s="344"/>
      <c r="HGM7" s="136"/>
      <c r="HGN7" s="137"/>
      <c r="HGO7" s="137"/>
      <c r="HGP7" s="136"/>
      <c r="HGQ7" s="344"/>
      <c r="HGR7" s="344"/>
      <c r="HGS7" s="344"/>
      <c r="HGT7" s="344"/>
      <c r="HGU7" s="136"/>
      <c r="HGV7" s="137"/>
      <c r="HGW7" s="137"/>
      <c r="HGX7" s="136"/>
      <c r="HGY7" s="344"/>
      <c r="HGZ7" s="344"/>
      <c r="HHA7" s="344"/>
      <c r="HHB7" s="344"/>
      <c r="HHC7" s="136"/>
      <c r="HHD7" s="137"/>
      <c r="HHE7" s="137"/>
      <c r="HHF7" s="136"/>
      <c r="HHG7" s="344"/>
      <c r="HHH7" s="344"/>
      <c r="HHI7" s="344"/>
      <c r="HHJ7" s="344"/>
      <c r="HHK7" s="136"/>
      <c r="HHL7" s="137"/>
      <c r="HHM7" s="137"/>
      <c r="HHN7" s="136"/>
      <c r="HHO7" s="344"/>
      <c r="HHP7" s="344"/>
      <c r="HHQ7" s="344"/>
      <c r="HHR7" s="344"/>
      <c r="HHS7" s="136"/>
      <c r="HHT7" s="137"/>
      <c r="HHU7" s="137"/>
      <c r="HHV7" s="136"/>
      <c r="HHW7" s="344"/>
      <c r="HHX7" s="344"/>
      <c r="HHY7" s="344"/>
      <c r="HHZ7" s="344"/>
      <c r="HIA7" s="136"/>
      <c r="HIB7" s="137"/>
      <c r="HIC7" s="137"/>
      <c r="HID7" s="136"/>
      <c r="HIE7" s="344"/>
      <c r="HIF7" s="344"/>
      <c r="HIG7" s="344"/>
      <c r="HIH7" s="344"/>
      <c r="HII7" s="136"/>
      <c r="HIJ7" s="137"/>
      <c r="HIK7" s="137"/>
      <c r="HIL7" s="136"/>
      <c r="HIM7" s="344"/>
      <c r="HIN7" s="344"/>
      <c r="HIO7" s="344"/>
      <c r="HIP7" s="344"/>
      <c r="HIQ7" s="136"/>
      <c r="HIR7" s="137"/>
      <c r="HIS7" s="137"/>
      <c r="HIT7" s="136"/>
      <c r="HIU7" s="344"/>
      <c r="HIV7" s="344"/>
      <c r="HIW7" s="344"/>
      <c r="HIX7" s="344"/>
      <c r="HIY7" s="136"/>
      <c r="HIZ7" s="137"/>
      <c r="HJA7" s="137"/>
      <c r="HJB7" s="136"/>
      <c r="HJC7" s="344"/>
      <c r="HJD7" s="344"/>
      <c r="HJE7" s="344"/>
      <c r="HJF7" s="344"/>
      <c r="HJG7" s="136"/>
      <c r="HJH7" s="137"/>
      <c r="HJI7" s="137"/>
      <c r="HJJ7" s="136"/>
      <c r="HJK7" s="344"/>
      <c r="HJL7" s="344"/>
      <c r="HJM7" s="344"/>
      <c r="HJN7" s="344"/>
      <c r="HJO7" s="136"/>
      <c r="HJP7" s="137"/>
      <c r="HJQ7" s="137"/>
      <c r="HJR7" s="136"/>
      <c r="HJS7" s="344"/>
      <c r="HJT7" s="344"/>
      <c r="HJU7" s="344"/>
      <c r="HJV7" s="344"/>
      <c r="HJW7" s="136"/>
      <c r="HJX7" s="137"/>
      <c r="HJY7" s="137"/>
      <c r="HJZ7" s="136"/>
      <c r="HKA7" s="344"/>
      <c r="HKB7" s="344"/>
      <c r="HKC7" s="344"/>
      <c r="HKD7" s="344"/>
      <c r="HKE7" s="136"/>
      <c r="HKF7" s="137"/>
      <c r="HKG7" s="137"/>
      <c r="HKH7" s="136"/>
      <c r="HKI7" s="344"/>
      <c r="HKJ7" s="344"/>
      <c r="HKK7" s="344"/>
      <c r="HKL7" s="344"/>
      <c r="HKM7" s="136"/>
      <c r="HKN7" s="137"/>
      <c r="HKO7" s="137"/>
      <c r="HKP7" s="136"/>
      <c r="HKQ7" s="344"/>
      <c r="HKR7" s="344"/>
      <c r="HKS7" s="344"/>
      <c r="HKT7" s="344"/>
      <c r="HKU7" s="136"/>
      <c r="HKV7" s="137"/>
      <c r="HKW7" s="137"/>
      <c r="HKX7" s="136"/>
      <c r="HKY7" s="344"/>
      <c r="HKZ7" s="344"/>
      <c r="HLA7" s="344"/>
      <c r="HLB7" s="344"/>
      <c r="HLC7" s="136"/>
      <c r="HLD7" s="137"/>
      <c r="HLE7" s="137"/>
      <c r="HLF7" s="136"/>
      <c r="HLG7" s="344"/>
      <c r="HLH7" s="344"/>
      <c r="HLI7" s="344"/>
      <c r="HLJ7" s="344"/>
      <c r="HLK7" s="136"/>
      <c r="HLL7" s="137"/>
      <c r="HLM7" s="137"/>
      <c r="HLN7" s="136"/>
      <c r="HLO7" s="344"/>
      <c r="HLP7" s="344"/>
      <c r="HLQ7" s="344"/>
      <c r="HLR7" s="344"/>
      <c r="HLS7" s="136"/>
      <c r="HLT7" s="137"/>
      <c r="HLU7" s="137"/>
      <c r="HLV7" s="136"/>
      <c r="HLW7" s="344"/>
      <c r="HLX7" s="344"/>
      <c r="HLY7" s="344"/>
      <c r="HLZ7" s="344"/>
      <c r="HMA7" s="136"/>
      <c r="HMB7" s="137"/>
      <c r="HMC7" s="137"/>
      <c r="HMD7" s="136"/>
      <c r="HME7" s="344"/>
      <c r="HMF7" s="344"/>
      <c r="HMG7" s="344"/>
      <c r="HMH7" s="344"/>
      <c r="HMI7" s="136"/>
      <c r="HMJ7" s="137"/>
      <c r="HMK7" s="137"/>
      <c r="HML7" s="136"/>
      <c r="HMM7" s="344"/>
      <c r="HMN7" s="344"/>
      <c r="HMO7" s="344"/>
      <c r="HMP7" s="344"/>
      <c r="HMQ7" s="136"/>
      <c r="HMR7" s="137"/>
      <c r="HMS7" s="137"/>
      <c r="HMT7" s="136"/>
      <c r="HMU7" s="344"/>
      <c r="HMV7" s="344"/>
      <c r="HMW7" s="344"/>
      <c r="HMX7" s="344"/>
      <c r="HMY7" s="136"/>
      <c r="HMZ7" s="137"/>
      <c r="HNA7" s="137"/>
      <c r="HNB7" s="136"/>
      <c r="HNC7" s="344"/>
      <c r="HND7" s="344"/>
      <c r="HNE7" s="344"/>
      <c r="HNF7" s="344"/>
      <c r="HNG7" s="136"/>
      <c r="HNH7" s="137"/>
      <c r="HNI7" s="137"/>
      <c r="HNJ7" s="136"/>
      <c r="HNK7" s="344"/>
      <c r="HNL7" s="344"/>
      <c r="HNM7" s="344"/>
      <c r="HNN7" s="344"/>
      <c r="HNO7" s="136"/>
      <c r="HNP7" s="137"/>
      <c r="HNQ7" s="137"/>
      <c r="HNR7" s="136"/>
      <c r="HNS7" s="344"/>
      <c r="HNT7" s="344"/>
      <c r="HNU7" s="344"/>
      <c r="HNV7" s="344"/>
      <c r="HNW7" s="136"/>
      <c r="HNX7" s="137"/>
      <c r="HNY7" s="137"/>
      <c r="HNZ7" s="136"/>
      <c r="HOA7" s="344"/>
      <c r="HOB7" s="344"/>
      <c r="HOC7" s="344"/>
      <c r="HOD7" s="344"/>
      <c r="HOE7" s="136"/>
      <c r="HOF7" s="137"/>
      <c r="HOG7" s="137"/>
      <c r="HOH7" s="136"/>
      <c r="HOI7" s="344"/>
      <c r="HOJ7" s="344"/>
      <c r="HOK7" s="344"/>
      <c r="HOL7" s="344"/>
      <c r="HOM7" s="136"/>
      <c r="HON7" s="137"/>
      <c r="HOO7" s="137"/>
      <c r="HOP7" s="136"/>
      <c r="HOQ7" s="344"/>
      <c r="HOR7" s="344"/>
      <c r="HOS7" s="344"/>
      <c r="HOT7" s="344"/>
      <c r="HOU7" s="136"/>
      <c r="HOV7" s="137"/>
      <c r="HOW7" s="137"/>
      <c r="HOX7" s="136"/>
      <c r="HOY7" s="344"/>
      <c r="HOZ7" s="344"/>
      <c r="HPA7" s="344"/>
      <c r="HPB7" s="344"/>
      <c r="HPC7" s="136"/>
      <c r="HPD7" s="137"/>
      <c r="HPE7" s="137"/>
      <c r="HPF7" s="136"/>
      <c r="HPG7" s="344"/>
      <c r="HPH7" s="344"/>
      <c r="HPI7" s="344"/>
      <c r="HPJ7" s="344"/>
      <c r="HPK7" s="136"/>
      <c r="HPL7" s="137"/>
      <c r="HPM7" s="137"/>
      <c r="HPN7" s="136"/>
      <c r="HPO7" s="344"/>
      <c r="HPP7" s="344"/>
      <c r="HPQ7" s="344"/>
      <c r="HPR7" s="344"/>
      <c r="HPS7" s="136"/>
      <c r="HPT7" s="137"/>
      <c r="HPU7" s="137"/>
      <c r="HPV7" s="136"/>
      <c r="HPW7" s="344"/>
      <c r="HPX7" s="344"/>
      <c r="HPY7" s="344"/>
      <c r="HPZ7" s="344"/>
      <c r="HQA7" s="136"/>
      <c r="HQB7" s="137"/>
      <c r="HQC7" s="137"/>
      <c r="HQD7" s="136"/>
      <c r="HQE7" s="344"/>
      <c r="HQF7" s="344"/>
      <c r="HQG7" s="344"/>
      <c r="HQH7" s="344"/>
      <c r="HQI7" s="136"/>
      <c r="HQJ7" s="137"/>
      <c r="HQK7" s="137"/>
      <c r="HQL7" s="136"/>
      <c r="HQM7" s="344"/>
      <c r="HQN7" s="344"/>
      <c r="HQO7" s="344"/>
      <c r="HQP7" s="344"/>
      <c r="HQQ7" s="136"/>
      <c r="HQR7" s="137"/>
      <c r="HQS7" s="137"/>
      <c r="HQT7" s="136"/>
      <c r="HQU7" s="344"/>
      <c r="HQV7" s="344"/>
      <c r="HQW7" s="344"/>
      <c r="HQX7" s="344"/>
      <c r="HQY7" s="136"/>
      <c r="HQZ7" s="137"/>
      <c r="HRA7" s="137"/>
      <c r="HRB7" s="136"/>
      <c r="HRC7" s="344"/>
      <c r="HRD7" s="344"/>
      <c r="HRE7" s="344"/>
      <c r="HRF7" s="344"/>
      <c r="HRG7" s="136"/>
      <c r="HRH7" s="137"/>
      <c r="HRI7" s="137"/>
      <c r="HRJ7" s="136"/>
      <c r="HRK7" s="344"/>
      <c r="HRL7" s="344"/>
      <c r="HRM7" s="344"/>
      <c r="HRN7" s="344"/>
      <c r="HRO7" s="136"/>
      <c r="HRP7" s="137"/>
      <c r="HRQ7" s="137"/>
      <c r="HRR7" s="136"/>
      <c r="HRS7" s="344"/>
      <c r="HRT7" s="344"/>
      <c r="HRU7" s="344"/>
      <c r="HRV7" s="344"/>
      <c r="HRW7" s="136"/>
      <c r="HRX7" s="137"/>
      <c r="HRY7" s="137"/>
      <c r="HRZ7" s="136"/>
      <c r="HSA7" s="344"/>
      <c r="HSB7" s="344"/>
      <c r="HSC7" s="344"/>
      <c r="HSD7" s="344"/>
      <c r="HSE7" s="136"/>
      <c r="HSF7" s="137"/>
      <c r="HSG7" s="137"/>
      <c r="HSH7" s="136"/>
      <c r="HSI7" s="344"/>
      <c r="HSJ7" s="344"/>
      <c r="HSK7" s="344"/>
      <c r="HSL7" s="344"/>
      <c r="HSM7" s="136"/>
      <c r="HSN7" s="137"/>
      <c r="HSO7" s="137"/>
      <c r="HSP7" s="136"/>
      <c r="HSQ7" s="344"/>
      <c r="HSR7" s="344"/>
      <c r="HSS7" s="344"/>
      <c r="HST7" s="344"/>
      <c r="HSU7" s="136"/>
      <c r="HSV7" s="137"/>
      <c r="HSW7" s="137"/>
      <c r="HSX7" s="136"/>
      <c r="HSY7" s="344"/>
      <c r="HSZ7" s="344"/>
      <c r="HTA7" s="344"/>
      <c r="HTB7" s="344"/>
      <c r="HTC7" s="136"/>
      <c r="HTD7" s="137"/>
      <c r="HTE7" s="137"/>
      <c r="HTF7" s="136"/>
      <c r="HTG7" s="344"/>
      <c r="HTH7" s="344"/>
      <c r="HTI7" s="344"/>
      <c r="HTJ7" s="344"/>
      <c r="HTK7" s="136"/>
      <c r="HTL7" s="137"/>
      <c r="HTM7" s="137"/>
      <c r="HTN7" s="136"/>
      <c r="HTO7" s="344"/>
      <c r="HTP7" s="344"/>
      <c r="HTQ7" s="344"/>
      <c r="HTR7" s="344"/>
      <c r="HTS7" s="136"/>
      <c r="HTT7" s="137"/>
      <c r="HTU7" s="137"/>
      <c r="HTV7" s="136"/>
      <c r="HTW7" s="344"/>
      <c r="HTX7" s="344"/>
      <c r="HTY7" s="344"/>
      <c r="HTZ7" s="344"/>
      <c r="HUA7" s="136"/>
      <c r="HUB7" s="137"/>
      <c r="HUC7" s="137"/>
      <c r="HUD7" s="136"/>
      <c r="HUE7" s="344"/>
      <c r="HUF7" s="344"/>
      <c r="HUG7" s="344"/>
      <c r="HUH7" s="344"/>
      <c r="HUI7" s="136"/>
      <c r="HUJ7" s="137"/>
      <c r="HUK7" s="137"/>
      <c r="HUL7" s="136"/>
      <c r="HUM7" s="344"/>
      <c r="HUN7" s="344"/>
      <c r="HUO7" s="344"/>
      <c r="HUP7" s="344"/>
      <c r="HUQ7" s="136"/>
      <c r="HUR7" s="137"/>
      <c r="HUS7" s="137"/>
      <c r="HUT7" s="136"/>
      <c r="HUU7" s="344"/>
      <c r="HUV7" s="344"/>
      <c r="HUW7" s="344"/>
      <c r="HUX7" s="344"/>
      <c r="HUY7" s="136"/>
      <c r="HUZ7" s="137"/>
      <c r="HVA7" s="137"/>
      <c r="HVB7" s="136"/>
      <c r="HVC7" s="344"/>
      <c r="HVD7" s="344"/>
      <c r="HVE7" s="344"/>
      <c r="HVF7" s="344"/>
      <c r="HVG7" s="136"/>
      <c r="HVH7" s="137"/>
      <c r="HVI7" s="137"/>
      <c r="HVJ7" s="136"/>
      <c r="HVK7" s="344"/>
      <c r="HVL7" s="344"/>
      <c r="HVM7" s="344"/>
      <c r="HVN7" s="344"/>
      <c r="HVO7" s="136"/>
      <c r="HVP7" s="137"/>
      <c r="HVQ7" s="137"/>
      <c r="HVR7" s="136"/>
      <c r="HVS7" s="344"/>
      <c r="HVT7" s="344"/>
      <c r="HVU7" s="344"/>
      <c r="HVV7" s="344"/>
      <c r="HVW7" s="136"/>
      <c r="HVX7" s="137"/>
      <c r="HVY7" s="137"/>
      <c r="HVZ7" s="136"/>
      <c r="HWA7" s="344"/>
      <c r="HWB7" s="344"/>
      <c r="HWC7" s="344"/>
      <c r="HWD7" s="344"/>
      <c r="HWE7" s="136"/>
      <c r="HWF7" s="137"/>
      <c r="HWG7" s="137"/>
      <c r="HWH7" s="136"/>
      <c r="HWI7" s="344"/>
      <c r="HWJ7" s="344"/>
      <c r="HWK7" s="344"/>
      <c r="HWL7" s="344"/>
      <c r="HWM7" s="136"/>
      <c r="HWN7" s="137"/>
      <c r="HWO7" s="137"/>
      <c r="HWP7" s="136"/>
      <c r="HWQ7" s="344"/>
      <c r="HWR7" s="344"/>
      <c r="HWS7" s="344"/>
      <c r="HWT7" s="344"/>
      <c r="HWU7" s="136"/>
      <c r="HWV7" s="137"/>
      <c r="HWW7" s="137"/>
      <c r="HWX7" s="136"/>
      <c r="HWY7" s="344"/>
      <c r="HWZ7" s="344"/>
      <c r="HXA7" s="344"/>
      <c r="HXB7" s="344"/>
      <c r="HXC7" s="136"/>
      <c r="HXD7" s="137"/>
      <c r="HXE7" s="137"/>
      <c r="HXF7" s="136"/>
      <c r="HXG7" s="344"/>
      <c r="HXH7" s="344"/>
      <c r="HXI7" s="344"/>
      <c r="HXJ7" s="344"/>
      <c r="HXK7" s="136"/>
      <c r="HXL7" s="137"/>
      <c r="HXM7" s="137"/>
      <c r="HXN7" s="136"/>
      <c r="HXO7" s="344"/>
      <c r="HXP7" s="344"/>
      <c r="HXQ7" s="344"/>
      <c r="HXR7" s="344"/>
      <c r="HXS7" s="136"/>
      <c r="HXT7" s="137"/>
      <c r="HXU7" s="137"/>
      <c r="HXV7" s="136"/>
      <c r="HXW7" s="344"/>
      <c r="HXX7" s="344"/>
      <c r="HXY7" s="344"/>
      <c r="HXZ7" s="344"/>
      <c r="HYA7" s="136"/>
      <c r="HYB7" s="137"/>
      <c r="HYC7" s="137"/>
      <c r="HYD7" s="136"/>
      <c r="HYE7" s="344"/>
      <c r="HYF7" s="344"/>
      <c r="HYG7" s="344"/>
      <c r="HYH7" s="344"/>
      <c r="HYI7" s="136"/>
      <c r="HYJ7" s="137"/>
      <c r="HYK7" s="137"/>
      <c r="HYL7" s="136"/>
      <c r="HYM7" s="344"/>
      <c r="HYN7" s="344"/>
      <c r="HYO7" s="344"/>
      <c r="HYP7" s="344"/>
      <c r="HYQ7" s="136"/>
      <c r="HYR7" s="137"/>
      <c r="HYS7" s="137"/>
      <c r="HYT7" s="136"/>
      <c r="HYU7" s="344"/>
      <c r="HYV7" s="344"/>
      <c r="HYW7" s="344"/>
      <c r="HYX7" s="344"/>
      <c r="HYY7" s="136"/>
      <c r="HYZ7" s="137"/>
      <c r="HZA7" s="137"/>
      <c r="HZB7" s="136"/>
      <c r="HZC7" s="344"/>
      <c r="HZD7" s="344"/>
      <c r="HZE7" s="344"/>
      <c r="HZF7" s="344"/>
      <c r="HZG7" s="136"/>
      <c r="HZH7" s="137"/>
      <c r="HZI7" s="137"/>
      <c r="HZJ7" s="136"/>
      <c r="HZK7" s="344"/>
      <c r="HZL7" s="344"/>
      <c r="HZM7" s="344"/>
      <c r="HZN7" s="344"/>
      <c r="HZO7" s="136"/>
      <c r="HZP7" s="137"/>
      <c r="HZQ7" s="137"/>
      <c r="HZR7" s="136"/>
      <c r="HZS7" s="344"/>
      <c r="HZT7" s="344"/>
      <c r="HZU7" s="344"/>
      <c r="HZV7" s="344"/>
      <c r="HZW7" s="136"/>
      <c r="HZX7" s="137"/>
      <c r="HZY7" s="137"/>
      <c r="HZZ7" s="136"/>
      <c r="IAA7" s="344"/>
      <c r="IAB7" s="344"/>
      <c r="IAC7" s="344"/>
      <c r="IAD7" s="344"/>
      <c r="IAE7" s="136"/>
      <c r="IAF7" s="137"/>
      <c r="IAG7" s="137"/>
      <c r="IAH7" s="136"/>
      <c r="IAI7" s="344"/>
      <c r="IAJ7" s="344"/>
      <c r="IAK7" s="344"/>
      <c r="IAL7" s="344"/>
      <c r="IAM7" s="136"/>
      <c r="IAN7" s="137"/>
      <c r="IAO7" s="137"/>
      <c r="IAP7" s="136"/>
      <c r="IAQ7" s="344"/>
      <c r="IAR7" s="344"/>
      <c r="IAS7" s="344"/>
      <c r="IAT7" s="344"/>
      <c r="IAU7" s="136"/>
      <c r="IAV7" s="137"/>
      <c r="IAW7" s="137"/>
      <c r="IAX7" s="136"/>
      <c r="IAY7" s="344"/>
      <c r="IAZ7" s="344"/>
      <c r="IBA7" s="344"/>
      <c r="IBB7" s="344"/>
      <c r="IBC7" s="136"/>
      <c r="IBD7" s="137"/>
      <c r="IBE7" s="137"/>
      <c r="IBF7" s="136"/>
      <c r="IBG7" s="344"/>
      <c r="IBH7" s="344"/>
      <c r="IBI7" s="344"/>
      <c r="IBJ7" s="344"/>
      <c r="IBK7" s="136"/>
      <c r="IBL7" s="137"/>
      <c r="IBM7" s="137"/>
      <c r="IBN7" s="136"/>
      <c r="IBO7" s="344"/>
      <c r="IBP7" s="344"/>
      <c r="IBQ7" s="344"/>
      <c r="IBR7" s="344"/>
      <c r="IBS7" s="136"/>
      <c r="IBT7" s="137"/>
      <c r="IBU7" s="137"/>
      <c r="IBV7" s="136"/>
      <c r="IBW7" s="344"/>
      <c r="IBX7" s="344"/>
      <c r="IBY7" s="344"/>
      <c r="IBZ7" s="344"/>
      <c r="ICA7" s="136"/>
      <c r="ICB7" s="137"/>
      <c r="ICC7" s="137"/>
      <c r="ICD7" s="136"/>
      <c r="ICE7" s="344"/>
      <c r="ICF7" s="344"/>
      <c r="ICG7" s="344"/>
      <c r="ICH7" s="344"/>
      <c r="ICI7" s="136"/>
      <c r="ICJ7" s="137"/>
      <c r="ICK7" s="137"/>
      <c r="ICL7" s="136"/>
      <c r="ICM7" s="344"/>
      <c r="ICN7" s="344"/>
      <c r="ICO7" s="344"/>
      <c r="ICP7" s="344"/>
      <c r="ICQ7" s="136"/>
      <c r="ICR7" s="137"/>
      <c r="ICS7" s="137"/>
      <c r="ICT7" s="136"/>
      <c r="ICU7" s="344"/>
      <c r="ICV7" s="344"/>
      <c r="ICW7" s="344"/>
      <c r="ICX7" s="344"/>
      <c r="ICY7" s="136"/>
      <c r="ICZ7" s="137"/>
      <c r="IDA7" s="137"/>
      <c r="IDB7" s="136"/>
      <c r="IDC7" s="344"/>
      <c r="IDD7" s="344"/>
      <c r="IDE7" s="344"/>
      <c r="IDF7" s="344"/>
      <c r="IDG7" s="136"/>
      <c r="IDH7" s="137"/>
      <c r="IDI7" s="137"/>
      <c r="IDJ7" s="136"/>
      <c r="IDK7" s="344"/>
      <c r="IDL7" s="344"/>
      <c r="IDM7" s="344"/>
      <c r="IDN7" s="344"/>
      <c r="IDO7" s="136"/>
      <c r="IDP7" s="137"/>
      <c r="IDQ7" s="137"/>
      <c r="IDR7" s="136"/>
      <c r="IDS7" s="344"/>
      <c r="IDT7" s="344"/>
      <c r="IDU7" s="344"/>
      <c r="IDV7" s="344"/>
      <c r="IDW7" s="136"/>
      <c r="IDX7" s="137"/>
      <c r="IDY7" s="137"/>
      <c r="IDZ7" s="136"/>
      <c r="IEA7" s="344"/>
      <c r="IEB7" s="344"/>
      <c r="IEC7" s="344"/>
      <c r="IED7" s="344"/>
      <c r="IEE7" s="136"/>
      <c r="IEF7" s="137"/>
      <c r="IEG7" s="137"/>
      <c r="IEH7" s="136"/>
      <c r="IEI7" s="344"/>
      <c r="IEJ7" s="344"/>
      <c r="IEK7" s="344"/>
      <c r="IEL7" s="344"/>
      <c r="IEM7" s="136"/>
      <c r="IEN7" s="137"/>
      <c r="IEO7" s="137"/>
      <c r="IEP7" s="136"/>
      <c r="IEQ7" s="344"/>
      <c r="IER7" s="344"/>
      <c r="IES7" s="344"/>
      <c r="IET7" s="344"/>
      <c r="IEU7" s="136"/>
      <c r="IEV7" s="137"/>
      <c r="IEW7" s="137"/>
      <c r="IEX7" s="136"/>
      <c r="IEY7" s="344"/>
      <c r="IEZ7" s="344"/>
      <c r="IFA7" s="344"/>
      <c r="IFB7" s="344"/>
      <c r="IFC7" s="136"/>
      <c r="IFD7" s="137"/>
      <c r="IFE7" s="137"/>
      <c r="IFF7" s="136"/>
      <c r="IFG7" s="344"/>
      <c r="IFH7" s="344"/>
      <c r="IFI7" s="344"/>
      <c r="IFJ7" s="344"/>
      <c r="IFK7" s="136"/>
      <c r="IFL7" s="137"/>
      <c r="IFM7" s="137"/>
      <c r="IFN7" s="136"/>
      <c r="IFO7" s="344"/>
      <c r="IFP7" s="344"/>
      <c r="IFQ7" s="344"/>
      <c r="IFR7" s="344"/>
      <c r="IFS7" s="136"/>
      <c r="IFT7" s="137"/>
      <c r="IFU7" s="137"/>
      <c r="IFV7" s="136"/>
      <c r="IFW7" s="344"/>
      <c r="IFX7" s="344"/>
      <c r="IFY7" s="344"/>
      <c r="IFZ7" s="344"/>
      <c r="IGA7" s="136"/>
      <c r="IGB7" s="137"/>
      <c r="IGC7" s="137"/>
      <c r="IGD7" s="136"/>
      <c r="IGE7" s="344"/>
      <c r="IGF7" s="344"/>
      <c r="IGG7" s="344"/>
      <c r="IGH7" s="344"/>
      <c r="IGI7" s="136"/>
      <c r="IGJ7" s="137"/>
      <c r="IGK7" s="137"/>
      <c r="IGL7" s="136"/>
      <c r="IGM7" s="344"/>
      <c r="IGN7" s="344"/>
      <c r="IGO7" s="344"/>
      <c r="IGP7" s="344"/>
      <c r="IGQ7" s="136"/>
      <c r="IGR7" s="137"/>
      <c r="IGS7" s="137"/>
      <c r="IGT7" s="136"/>
      <c r="IGU7" s="344"/>
      <c r="IGV7" s="344"/>
      <c r="IGW7" s="344"/>
      <c r="IGX7" s="344"/>
      <c r="IGY7" s="136"/>
      <c r="IGZ7" s="137"/>
      <c r="IHA7" s="137"/>
      <c r="IHB7" s="136"/>
      <c r="IHC7" s="344"/>
      <c r="IHD7" s="344"/>
      <c r="IHE7" s="344"/>
      <c r="IHF7" s="344"/>
      <c r="IHG7" s="136"/>
      <c r="IHH7" s="137"/>
      <c r="IHI7" s="137"/>
      <c r="IHJ7" s="136"/>
      <c r="IHK7" s="344"/>
      <c r="IHL7" s="344"/>
      <c r="IHM7" s="344"/>
      <c r="IHN7" s="344"/>
      <c r="IHO7" s="136"/>
      <c r="IHP7" s="137"/>
      <c r="IHQ7" s="137"/>
      <c r="IHR7" s="136"/>
      <c r="IHS7" s="344"/>
      <c r="IHT7" s="344"/>
      <c r="IHU7" s="344"/>
      <c r="IHV7" s="344"/>
      <c r="IHW7" s="136"/>
      <c r="IHX7" s="137"/>
      <c r="IHY7" s="137"/>
      <c r="IHZ7" s="136"/>
      <c r="IIA7" s="344"/>
      <c r="IIB7" s="344"/>
      <c r="IIC7" s="344"/>
      <c r="IID7" s="344"/>
      <c r="IIE7" s="136"/>
      <c r="IIF7" s="137"/>
      <c r="IIG7" s="137"/>
      <c r="IIH7" s="136"/>
      <c r="III7" s="344"/>
      <c r="IIJ7" s="344"/>
      <c r="IIK7" s="344"/>
      <c r="IIL7" s="344"/>
      <c r="IIM7" s="136"/>
      <c r="IIN7" s="137"/>
      <c r="IIO7" s="137"/>
      <c r="IIP7" s="136"/>
      <c r="IIQ7" s="344"/>
      <c r="IIR7" s="344"/>
      <c r="IIS7" s="344"/>
      <c r="IIT7" s="344"/>
      <c r="IIU7" s="136"/>
      <c r="IIV7" s="137"/>
      <c r="IIW7" s="137"/>
      <c r="IIX7" s="136"/>
      <c r="IIY7" s="344"/>
      <c r="IIZ7" s="344"/>
      <c r="IJA7" s="344"/>
      <c r="IJB7" s="344"/>
      <c r="IJC7" s="136"/>
      <c r="IJD7" s="137"/>
      <c r="IJE7" s="137"/>
      <c r="IJF7" s="136"/>
      <c r="IJG7" s="344"/>
      <c r="IJH7" s="344"/>
      <c r="IJI7" s="344"/>
      <c r="IJJ7" s="344"/>
      <c r="IJK7" s="136"/>
      <c r="IJL7" s="137"/>
      <c r="IJM7" s="137"/>
      <c r="IJN7" s="136"/>
      <c r="IJO7" s="344"/>
      <c r="IJP7" s="344"/>
      <c r="IJQ7" s="344"/>
      <c r="IJR7" s="344"/>
      <c r="IJS7" s="136"/>
      <c r="IJT7" s="137"/>
      <c r="IJU7" s="137"/>
      <c r="IJV7" s="136"/>
      <c r="IJW7" s="344"/>
      <c r="IJX7" s="344"/>
      <c r="IJY7" s="344"/>
      <c r="IJZ7" s="344"/>
      <c r="IKA7" s="136"/>
      <c r="IKB7" s="137"/>
      <c r="IKC7" s="137"/>
      <c r="IKD7" s="136"/>
      <c r="IKE7" s="344"/>
      <c r="IKF7" s="344"/>
      <c r="IKG7" s="344"/>
      <c r="IKH7" s="344"/>
      <c r="IKI7" s="136"/>
      <c r="IKJ7" s="137"/>
      <c r="IKK7" s="137"/>
      <c r="IKL7" s="136"/>
      <c r="IKM7" s="344"/>
      <c r="IKN7" s="344"/>
      <c r="IKO7" s="344"/>
      <c r="IKP7" s="344"/>
      <c r="IKQ7" s="136"/>
      <c r="IKR7" s="137"/>
      <c r="IKS7" s="137"/>
      <c r="IKT7" s="136"/>
      <c r="IKU7" s="344"/>
      <c r="IKV7" s="344"/>
      <c r="IKW7" s="344"/>
      <c r="IKX7" s="344"/>
      <c r="IKY7" s="136"/>
      <c r="IKZ7" s="137"/>
      <c r="ILA7" s="137"/>
      <c r="ILB7" s="136"/>
      <c r="ILC7" s="344"/>
      <c r="ILD7" s="344"/>
      <c r="ILE7" s="344"/>
      <c r="ILF7" s="344"/>
      <c r="ILG7" s="136"/>
      <c r="ILH7" s="137"/>
      <c r="ILI7" s="137"/>
      <c r="ILJ7" s="136"/>
      <c r="ILK7" s="344"/>
      <c r="ILL7" s="344"/>
      <c r="ILM7" s="344"/>
      <c r="ILN7" s="344"/>
      <c r="ILO7" s="136"/>
      <c r="ILP7" s="137"/>
      <c r="ILQ7" s="137"/>
      <c r="ILR7" s="136"/>
      <c r="ILS7" s="344"/>
      <c r="ILT7" s="344"/>
      <c r="ILU7" s="344"/>
      <c r="ILV7" s="344"/>
      <c r="ILW7" s="136"/>
      <c r="ILX7" s="137"/>
      <c r="ILY7" s="137"/>
      <c r="ILZ7" s="136"/>
      <c r="IMA7" s="344"/>
      <c r="IMB7" s="344"/>
      <c r="IMC7" s="344"/>
      <c r="IMD7" s="344"/>
      <c r="IME7" s="136"/>
      <c r="IMF7" s="137"/>
      <c r="IMG7" s="137"/>
      <c r="IMH7" s="136"/>
      <c r="IMI7" s="344"/>
      <c r="IMJ7" s="344"/>
      <c r="IMK7" s="344"/>
      <c r="IML7" s="344"/>
      <c r="IMM7" s="136"/>
      <c r="IMN7" s="137"/>
      <c r="IMO7" s="137"/>
      <c r="IMP7" s="136"/>
      <c r="IMQ7" s="344"/>
      <c r="IMR7" s="344"/>
      <c r="IMS7" s="344"/>
      <c r="IMT7" s="344"/>
      <c r="IMU7" s="136"/>
      <c r="IMV7" s="137"/>
      <c r="IMW7" s="137"/>
      <c r="IMX7" s="136"/>
      <c r="IMY7" s="344"/>
      <c r="IMZ7" s="344"/>
      <c r="INA7" s="344"/>
      <c r="INB7" s="344"/>
      <c r="INC7" s="136"/>
      <c r="IND7" s="137"/>
      <c r="INE7" s="137"/>
      <c r="INF7" s="136"/>
      <c r="ING7" s="344"/>
      <c r="INH7" s="344"/>
      <c r="INI7" s="344"/>
      <c r="INJ7" s="344"/>
      <c r="INK7" s="136"/>
      <c r="INL7" s="137"/>
      <c r="INM7" s="137"/>
      <c r="INN7" s="136"/>
      <c r="INO7" s="344"/>
      <c r="INP7" s="344"/>
      <c r="INQ7" s="344"/>
      <c r="INR7" s="344"/>
      <c r="INS7" s="136"/>
      <c r="INT7" s="137"/>
      <c r="INU7" s="137"/>
      <c r="INV7" s="136"/>
      <c r="INW7" s="344"/>
      <c r="INX7" s="344"/>
      <c r="INY7" s="344"/>
      <c r="INZ7" s="344"/>
      <c r="IOA7" s="136"/>
      <c r="IOB7" s="137"/>
      <c r="IOC7" s="137"/>
      <c r="IOD7" s="136"/>
      <c r="IOE7" s="344"/>
      <c r="IOF7" s="344"/>
      <c r="IOG7" s="344"/>
      <c r="IOH7" s="344"/>
      <c r="IOI7" s="136"/>
      <c r="IOJ7" s="137"/>
      <c r="IOK7" s="137"/>
      <c r="IOL7" s="136"/>
      <c r="IOM7" s="344"/>
      <c r="ION7" s="344"/>
      <c r="IOO7" s="344"/>
      <c r="IOP7" s="344"/>
      <c r="IOQ7" s="136"/>
      <c r="IOR7" s="137"/>
      <c r="IOS7" s="137"/>
      <c r="IOT7" s="136"/>
      <c r="IOU7" s="344"/>
      <c r="IOV7" s="344"/>
      <c r="IOW7" s="344"/>
      <c r="IOX7" s="344"/>
      <c r="IOY7" s="136"/>
      <c r="IOZ7" s="137"/>
      <c r="IPA7" s="137"/>
      <c r="IPB7" s="136"/>
      <c r="IPC7" s="344"/>
      <c r="IPD7" s="344"/>
      <c r="IPE7" s="344"/>
      <c r="IPF7" s="344"/>
      <c r="IPG7" s="136"/>
      <c r="IPH7" s="137"/>
      <c r="IPI7" s="137"/>
      <c r="IPJ7" s="136"/>
      <c r="IPK7" s="344"/>
      <c r="IPL7" s="344"/>
      <c r="IPM7" s="344"/>
      <c r="IPN7" s="344"/>
      <c r="IPO7" s="136"/>
      <c r="IPP7" s="137"/>
      <c r="IPQ7" s="137"/>
      <c r="IPR7" s="136"/>
      <c r="IPS7" s="344"/>
      <c r="IPT7" s="344"/>
      <c r="IPU7" s="344"/>
      <c r="IPV7" s="344"/>
      <c r="IPW7" s="136"/>
      <c r="IPX7" s="137"/>
      <c r="IPY7" s="137"/>
      <c r="IPZ7" s="136"/>
      <c r="IQA7" s="344"/>
      <c r="IQB7" s="344"/>
      <c r="IQC7" s="344"/>
      <c r="IQD7" s="344"/>
      <c r="IQE7" s="136"/>
      <c r="IQF7" s="137"/>
      <c r="IQG7" s="137"/>
      <c r="IQH7" s="136"/>
      <c r="IQI7" s="344"/>
      <c r="IQJ7" s="344"/>
      <c r="IQK7" s="344"/>
      <c r="IQL7" s="344"/>
      <c r="IQM7" s="136"/>
      <c r="IQN7" s="137"/>
      <c r="IQO7" s="137"/>
      <c r="IQP7" s="136"/>
      <c r="IQQ7" s="344"/>
      <c r="IQR7" s="344"/>
      <c r="IQS7" s="344"/>
      <c r="IQT7" s="344"/>
      <c r="IQU7" s="136"/>
      <c r="IQV7" s="137"/>
      <c r="IQW7" s="137"/>
      <c r="IQX7" s="136"/>
      <c r="IQY7" s="344"/>
      <c r="IQZ7" s="344"/>
      <c r="IRA7" s="344"/>
      <c r="IRB7" s="344"/>
      <c r="IRC7" s="136"/>
      <c r="IRD7" s="137"/>
      <c r="IRE7" s="137"/>
      <c r="IRF7" s="136"/>
      <c r="IRG7" s="344"/>
      <c r="IRH7" s="344"/>
      <c r="IRI7" s="344"/>
      <c r="IRJ7" s="344"/>
      <c r="IRK7" s="136"/>
      <c r="IRL7" s="137"/>
      <c r="IRM7" s="137"/>
      <c r="IRN7" s="136"/>
      <c r="IRO7" s="344"/>
      <c r="IRP7" s="344"/>
      <c r="IRQ7" s="344"/>
      <c r="IRR7" s="344"/>
      <c r="IRS7" s="136"/>
      <c r="IRT7" s="137"/>
      <c r="IRU7" s="137"/>
      <c r="IRV7" s="136"/>
      <c r="IRW7" s="344"/>
      <c r="IRX7" s="344"/>
      <c r="IRY7" s="344"/>
      <c r="IRZ7" s="344"/>
      <c r="ISA7" s="136"/>
      <c r="ISB7" s="137"/>
      <c r="ISC7" s="137"/>
      <c r="ISD7" s="136"/>
      <c r="ISE7" s="344"/>
      <c r="ISF7" s="344"/>
      <c r="ISG7" s="344"/>
      <c r="ISH7" s="344"/>
      <c r="ISI7" s="136"/>
      <c r="ISJ7" s="137"/>
      <c r="ISK7" s="137"/>
      <c r="ISL7" s="136"/>
      <c r="ISM7" s="344"/>
      <c r="ISN7" s="344"/>
      <c r="ISO7" s="344"/>
      <c r="ISP7" s="344"/>
      <c r="ISQ7" s="136"/>
      <c r="ISR7" s="137"/>
      <c r="ISS7" s="137"/>
      <c r="IST7" s="136"/>
      <c r="ISU7" s="344"/>
      <c r="ISV7" s="344"/>
      <c r="ISW7" s="344"/>
      <c r="ISX7" s="344"/>
      <c r="ISY7" s="136"/>
      <c r="ISZ7" s="137"/>
      <c r="ITA7" s="137"/>
      <c r="ITB7" s="136"/>
      <c r="ITC7" s="344"/>
      <c r="ITD7" s="344"/>
      <c r="ITE7" s="344"/>
      <c r="ITF7" s="344"/>
      <c r="ITG7" s="136"/>
      <c r="ITH7" s="137"/>
      <c r="ITI7" s="137"/>
      <c r="ITJ7" s="136"/>
      <c r="ITK7" s="344"/>
      <c r="ITL7" s="344"/>
      <c r="ITM7" s="344"/>
      <c r="ITN7" s="344"/>
      <c r="ITO7" s="136"/>
      <c r="ITP7" s="137"/>
      <c r="ITQ7" s="137"/>
      <c r="ITR7" s="136"/>
      <c r="ITS7" s="344"/>
      <c r="ITT7" s="344"/>
      <c r="ITU7" s="344"/>
      <c r="ITV7" s="344"/>
      <c r="ITW7" s="136"/>
      <c r="ITX7" s="137"/>
      <c r="ITY7" s="137"/>
      <c r="ITZ7" s="136"/>
      <c r="IUA7" s="344"/>
      <c r="IUB7" s="344"/>
      <c r="IUC7" s="344"/>
      <c r="IUD7" s="344"/>
      <c r="IUE7" s="136"/>
      <c r="IUF7" s="137"/>
      <c r="IUG7" s="137"/>
      <c r="IUH7" s="136"/>
      <c r="IUI7" s="344"/>
      <c r="IUJ7" s="344"/>
      <c r="IUK7" s="344"/>
      <c r="IUL7" s="344"/>
      <c r="IUM7" s="136"/>
      <c r="IUN7" s="137"/>
      <c r="IUO7" s="137"/>
      <c r="IUP7" s="136"/>
      <c r="IUQ7" s="344"/>
      <c r="IUR7" s="344"/>
      <c r="IUS7" s="344"/>
      <c r="IUT7" s="344"/>
      <c r="IUU7" s="136"/>
      <c r="IUV7" s="137"/>
      <c r="IUW7" s="137"/>
      <c r="IUX7" s="136"/>
      <c r="IUY7" s="344"/>
      <c r="IUZ7" s="344"/>
      <c r="IVA7" s="344"/>
      <c r="IVB7" s="344"/>
      <c r="IVC7" s="136"/>
      <c r="IVD7" s="137"/>
      <c r="IVE7" s="137"/>
      <c r="IVF7" s="136"/>
      <c r="IVG7" s="344"/>
      <c r="IVH7" s="344"/>
      <c r="IVI7" s="344"/>
      <c r="IVJ7" s="344"/>
      <c r="IVK7" s="136"/>
      <c r="IVL7" s="137"/>
      <c r="IVM7" s="137"/>
      <c r="IVN7" s="136"/>
      <c r="IVO7" s="344"/>
      <c r="IVP7" s="344"/>
      <c r="IVQ7" s="344"/>
      <c r="IVR7" s="344"/>
      <c r="IVS7" s="136"/>
      <c r="IVT7" s="137"/>
      <c r="IVU7" s="137"/>
      <c r="IVV7" s="136"/>
      <c r="IVW7" s="344"/>
      <c r="IVX7" s="344"/>
      <c r="IVY7" s="344"/>
      <c r="IVZ7" s="344"/>
      <c r="IWA7" s="136"/>
      <c r="IWB7" s="137"/>
      <c r="IWC7" s="137"/>
      <c r="IWD7" s="136"/>
      <c r="IWE7" s="344"/>
      <c r="IWF7" s="344"/>
      <c r="IWG7" s="344"/>
      <c r="IWH7" s="344"/>
      <c r="IWI7" s="136"/>
      <c r="IWJ7" s="137"/>
      <c r="IWK7" s="137"/>
      <c r="IWL7" s="136"/>
      <c r="IWM7" s="344"/>
      <c r="IWN7" s="344"/>
      <c r="IWO7" s="344"/>
      <c r="IWP7" s="344"/>
      <c r="IWQ7" s="136"/>
      <c r="IWR7" s="137"/>
      <c r="IWS7" s="137"/>
      <c r="IWT7" s="136"/>
      <c r="IWU7" s="344"/>
      <c r="IWV7" s="344"/>
      <c r="IWW7" s="344"/>
      <c r="IWX7" s="344"/>
      <c r="IWY7" s="136"/>
      <c r="IWZ7" s="137"/>
      <c r="IXA7" s="137"/>
      <c r="IXB7" s="136"/>
      <c r="IXC7" s="344"/>
      <c r="IXD7" s="344"/>
      <c r="IXE7" s="344"/>
      <c r="IXF7" s="344"/>
      <c r="IXG7" s="136"/>
      <c r="IXH7" s="137"/>
      <c r="IXI7" s="137"/>
      <c r="IXJ7" s="136"/>
      <c r="IXK7" s="344"/>
      <c r="IXL7" s="344"/>
      <c r="IXM7" s="344"/>
      <c r="IXN7" s="344"/>
      <c r="IXO7" s="136"/>
      <c r="IXP7" s="137"/>
      <c r="IXQ7" s="137"/>
      <c r="IXR7" s="136"/>
      <c r="IXS7" s="344"/>
      <c r="IXT7" s="344"/>
      <c r="IXU7" s="344"/>
      <c r="IXV7" s="344"/>
      <c r="IXW7" s="136"/>
      <c r="IXX7" s="137"/>
      <c r="IXY7" s="137"/>
      <c r="IXZ7" s="136"/>
      <c r="IYA7" s="344"/>
      <c r="IYB7" s="344"/>
      <c r="IYC7" s="344"/>
      <c r="IYD7" s="344"/>
      <c r="IYE7" s="136"/>
      <c r="IYF7" s="137"/>
      <c r="IYG7" s="137"/>
      <c r="IYH7" s="136"/>
      <c r="IYI7" s="344"/>
      <c r="IYJ7" s="344"/>
      <c r="IYK7" s="344"/>
      <c r="IYL7" s="344"/>
      <c r="IYM7" s="136"/>
      <c r="IYN7" s="137"/>
      <c r="IYO7" s="137"/>
      <c r="IYP7" s="136"/>
      <c r="IYQ7" s="344"/>
      <c r="IYR7" s="344"/>
      <c r="IYS7" s="344"/>
      <c r="IYT7" s="344"/>
      <c r="IYU7" s="136"/>
      <c r="IYV7" s="137"/>
      <c r="IYW7" s="137"/>
      <c r="IYX7" s="136"/>
      <c r="IYY7" s="344"/>
      <c r="IYZ7" s="344"/>
      <c r="IZA7" s="344"/>
      <c r="IZB7" s="344"/>
      <c r="IZC7" s="136"/>
      <c r="IZD7" s="137"/>
      <c r="IZE7" s="137"/>
      <c r="IZF7" s="136"/>
      <c r="IZG7" s="344"/>
      <c r="IZH7" s="344"/>
      <c r="IZI7" s="344"/>
      <c r="IZJ7" s="344"/>
      <c r="IZK7" s="136"/>
      <c r="IZL7" s="137"/>
      <c r="IZM7" s="137"/>
      <c r="IZN7" s="136"/>
      <c r="IZO7" s="344"/>
      <c r="IZP7" s="344"/>
      <c r="IZQ7" s="344"/>
      <c r="IZR7" s="344"/>
      <c r="IZS7" s="136"/>
      <c r="IZT7" s="137"/>
      <c r="IZU7" s="137"/>
      <c r="IZV7" s="136"/>
      <c r="IZW7" s="344"/>
      <c r="IZX7" s="344"/>
      <c r="IZY7" s="344"/>
      <c r="IZZ7" s="344"/>
      <c r="JAA7" s="136"/>
      <c r="JAB7" s="137"/>
      <c r="JAC7" s="137"/>
      <c r="JAD7" s="136"/>
      <c r="JAE7" s="344"/>
      <c r="JAF7" s="344"/>
      <c r="JAG7" s="344"/>
      <c r="JAH7" s="344"/>
      <c r="JAI7" s="136"/>
      <c r="JAJ7" s="137"/>
      <c r="JAK7" s="137"/>
      <c r="JAL7" s="136"/>
      <c r="JAM7" s="344"/>
      <c r="JAN7" s="344"/>
      <c r="JAO7" s="344"/>
      <c r="JAP7" s="344"/>
      <c r="JAQ7" s="136"/>
      <c r="JAR7" s="137"/>
      <c r="JAS7" s="137"/>
      <c r="JAT7" s="136"/>
      <c r="JAU7" s="344"/>
      <c r="JAV7" s="344"/>
      <c r="JAW7" s="344"/>
      <c r="JAX7" s="344"/>
      <c r="JAY7" s="136"/>
      <c r="JAZ7" s="137"/>
      <c r="JBA7" s="137"/>
      <c r="JBB7" s="136"/>
      <c r="JBC7" s="344"/>
      <c r="JBD7" s="344"/>
      <c r="JBE7" s="344"/>
      <c r="JBF7" s="344"/>
      <c r="JBG7" s="136"/>
      <c r="JBH7" s="137"/>
      <c r="JBI7" s="137"/>
      <c r="JBJ7" s="136"/>
      <c r="JBK7" s="344"/>
      <c r="JBL7" s="344"/>
      <c r="JBM7" s="344"/>
      <c r="JBN7" s="344"/>
      <c r="JBO7" s="136"/>
      <c r="JBP7" s="137"/>
      <c r="JBQ7" s="137"/>
      <c r="JBR7" s="136"/>
      <c r="JBS7" s="344"/>
      <c r="JBT7" s="344"/>
      <c r="JBU7" s="344"/>
      <c r="JBV7" s="344"/>
      <c r="JBW7" s="136"/>
      <c r="JBX7" s="137"/>
      <c r="JBY7" s="137"/>
      <c r="JBZ7" s="136"/>
      <c r="JCA7" s="344"/>
      <c r="JCB7" s="344"/>
      <c r="JCC7" s="344"/>
      <c r="JCD7" s="344"/>
      <c r="JCE7" s="136"/>
      <c r="JCF7" s="137"/>
      <c r="JCG7" s="137"/>
      <c r="JCH7" s="136"/>
      <c r="JCI7" s="344"/>
      <c r="JCJ7" s="344"/>
      <c r="JCK7" s="344"/>
      <c r="JCL7" s="344"/>
      <c r="JCM7" s="136"/>
      <c r="JCN7" s="137"/>
      <c r="JCO7" s="137"/>
      <c r="JCP7" s="136"/>
      <c r="JCQ7" s="344"/>
      <c r="JCR7" s="344"/>
      <c r="JCS7" s="344"/>
      <c r="JCT7" s="344"/>
      <c r="JCU7" s="136"/>
      <c r="JCV7" s="137"/>
      <c r="JCW7" s="137"/>
      <c r="JCX7" s="136"/>
      <c r="JCY7" s="344"/>
      <c r="JCZ7" s="344"/>
      <c r="JDA7" s="344"/>
      <c r="JDB7" s="344"/>
      <c r="JDC7" s="136"/>
      <c r="JDD7" s="137"/>
      <c r="JDE7" s="137"/>
      <c r="JDF7" s="136"/>
      <c r="JDG7" s="344"/>
      <c r="JDH7" s="344"/>
      <c r="JDI7" s="344"/>
      <c r="JDJ7" s="344"/>
      <c r="JDK7" s="136"/>
      <c r="JDL7" s="137"/>
      <c r="JDM7" s="137"/>
      <c r="JDN7" s="136"/>
      <c r="JDO7" s="344"/>
      <c r="JDP7" s="344"/>
      <c r="JDQ7" s="344"/>
      <c r="JDR7" s="344"/>
      <c r="JDS7" s="136"/>
      <c r="JDT7" s="137"/>
      <c r="JDU7" s="137"/>
      <c r="JDV7" s="136"/>
      <c r="JDW7" s="344"/>
      <c r="JDX7" s="344"/>
      <c r="JDY7" s="344"/>
      <c r="JDZ7" s="344"/>
      <c r="JEA7" s="136"/>
      <c r="JEB7" s="137"/>
      <c r="JEC7" s="137"/>
      <c r="JED7" s="136"/>
      <c r="JEE7" s="344"/>
      <c r="JEF7" s="344"/>
      <c r="JEG7" s="344"/>
      <c r="JEH7" s="344"/>
      <c r="JEI7" s="136"/>
      <c r="JEJ7" s="137"/>
      <c r="JEK7" s="137"/>
      <c r="JEL7" s="136"/>
      <c r="JEM7" s="344"/>
      <c r="JEN7" s="344"/>
      <c r="JEO7" s="344"/>
      <c r="JEP7" s="344"/>
      <c r="JEQ7" s="136"/>
      <c r="JER7" s="137"/>
      <c r="JES7" s="137"/>
      <c r="JET7" s="136"/>
      <c r="JEU7" s="344"/>
      <c r="JEV7" s="344"/>
      <c r="JEW7" s="344"/>
      <c r="JEX7" s="344"/>
      <c r="JEY7" s="136"/>
      <c r="JEZ7" s="137"/>
      <c r="JFA7" s="137"/>
      <c r="JFB7" s="136"/>
      <c r="JFC7" s="344"/>
      <c r="JFD7" s="344"/>
      <c r="JFE7" s="344"/>
      <c r="JFF7" s="344"/>
      <c r="JFG7" s="136"/>
      <c r="JFH7" s="137"/>
      <c r="JFI7" s="137"/>
      <c r="JFJ7" s="136"/>
      <c r="JFK7" s="344"/>
      <c r="JFL7" s="344"/>
      <c r="JFM7" s="344"/>
      <c r="JFN7" s="344"/>
      <c r="JFO7" s="136"/>
      <c r="JFP7" s="137"/>
      <c r="JFQ7" s="137"/>
      <c r="JFR7" s="136"/>
      <c r="JFS7" s="344"/>
      <c r="JFT7" s="344"/>
      <c r="JFU7" s="344"/>
      <c r="JFV7" s="344"/>
      <c r="JFW7" s="136"/>
      <c r="JFX7" s="137"/>
      <c r="JFY7" s="137"/>
      <c r="JFZ7" s="136"/>
      <c r="JGA7" s="344"/>
      <c r="JGB7" s="344"/>
      <c r="JGC7" s="344"/>
      <c r="JGD7" s="344"/>
      <c r="JGE7" s="136"/>
      <c r="JGF7" s="137"/>
      <c r="JGG7" s="137"/>
      <c r="JGH7" s="136"/>
      <c r="JGI7" s="344"/>
      <c r="JGJ7" s="344"/>
      <c r="JGK7" s="344"/>
      <c r="JGL7" s="344"/>
      <c r="JGM7" s="136"/>
      <c r="JGN7" s="137"/>
      <c r="JGO7" s="137"/>
      <c r="JGP7" s="136"/>
      <c r="JGQ7" s="344"/>
      <c r="JGR7" s="344"/>
      <c r="JGS7" s="344"/>
      <c r="JGT7" s="344"/>
      <c r="JGU7" s="136"/>
      <c r="JGV7" s="137"/>
      <c r="JGW7" s="137"/>
      <c r="JGX7" s="136"/>
      <c r="JGY7" s="344"/>
      <c r="JGZ7" s="344"/>
      <c r="JHA7" s="344"/>
      <c r="JHB7" s="344"/>
      <c r="JHC7" s="136"/>
      <c r="JHD7" s="137"/>
      <c r="JHE7" s="137"/>
      <c r="JHF7" s="136"/>
      <c r="JHG7" s="344"/>
      <c r="JHH7" s="344"/>
      <c r="JHI7" s="344"/>
      <c r="JHJ7" s="344"/>
      <c r="JHK7" s="136"/>
      <c r="JHL7" s="137"/>
      <c r="JHM7" s="137"/>
      <c r="JHN7" s="136"/>
      <c r="JHO7" s="344"/>
      <c r="JHP7" s="344"/>
      <c r="JHQ7" s="344"/>
      <c r="JHR7" s="344"/>
      <c r="JHS7" s="136"/>
      <c r="JHT7" s="137"/>
      <c r="JHU7" s="137"/>
      <c r="JHV7" s="136"/>
      <c r="JHW7" s="344"/>
      <c r="JHX7" s="344"/>
      <c r="JHY7" s="344"/>
      <c r="JHZ7" s="344"/>
      <c r="JIA7" s="136"/>
      <c r="JIB7" s="137"/>
      <c r="JIC7" s="137"/>
      <c r="JID7" s="136"/>
      <c r="JIE7" s="344"/>
      <c r="JIF7" s="344"/>
      <c r="JIG7" s="344"/>
      <c r="JIH7" s="344"/>
      <c r="JII7" s="136"/>
      <c r="JIJ7" s="137"/>
      <c r="JIK7" s="137"/>
      <c r="JIL7" s="136"/>
      <c r="JIM7" s="344"/>
      <c r="JIN7" s="344"/>
      <c r="JIO7" s="344"/>
      <c r="JIP7" s="344"/>
      <c r="JIQ7" s="136"/>
      <c r="JIR7" s="137"/>
      <c r="JIS7" s="137"/>
      <c r="JIT7" s="136"/>
      <c r="JIU7" s="344"/>
      <c r="JIV7" s="344"/>
      <c r="JIW7" s="344"/>
      <c r="JIX7" s="344"/>
      <c r="JIY7" s="136"/>
      <c r="JIZ7" s="137"/>
      <c r="JJA7" s="137"/>
      <c r="JJB7" s="136"/>
      <c r="JJC7" s="344"/>
      <c r="JJD7" s="344"/>
      <c r="JJE7" s="344"/>
      <c r="JJF7" s="344"/>
      <c r="JJG7" s="136"/>
      <c r="JJH7" s="137"/>
      <c r="JJI7" s="137"/>
      <c r="JJJ7" s="136"/>
      <c r="JJK7" s="344"/>
      <c r="JJL7" s="344"/>
      <c r="JJM7" s="344"/>
      <c r="JJN7" s="344"/>
      <c r="JJO7" s="136"/>
      <c r="JJP7" s="137"/>
      <c r="JJQ7" s="137"/>
      <c r="JJR7" s="136"/>
      <c r="JJS7" s="344"/>
      <c r="JJT7" s="344"/>
      <c r="JJU7" s="344"/>
      <c r="JJV7" s="344"/>
      <c r="JJW7" s="136"/>
      <c r="JJX7" s="137"/>
      <c r="JJY7" s="137"/>
      <c r="JJZ7" s="136"/>
      <c r="JKA7" s="344"/>
      <c r="JKB7" s="344"/>
      <c r="JKC7" s="344"/>
      <c r="JKD7" s="344"/>
      <c r="JKE7" s="136"/>
      <c r="JKF7" s="137"/>
      <c r="JKG7" s="137"/>
      <c r="JKH7" s="136"/>
      <c r="JKI7" s="344"/>
      <c r="JKJ7" s="344"/>
      <c r="JKK7" s="344"/>
      <c r="JKL7" s="344"/>
      <c r="JKM7" s="136"/>
      <c r="JKN7" s="137"/>
      <c r="JKO7" s="137"/>
      <c r="JKP7" s="136"/>
      <c r="JKQ7" s="344"/>
      <c r="JKR7" s="344"/>
      <c r="JKS7" s="344"/>
      <c r="JKT7" s="344"/>
      <c r="JKU7" s="136"/>
      <c r="JKV7" s="137"/>
      <c r="JKW7" s="137"/>
      <c r="JKX7" s="136"/>
      <c r="JKY7" s="344"/>
      <c r="JKZ7" s="344"/>
      <c r="JLA7" s="344"/>
      <c r="JLB7" s="344"/>
      <c r="JLC7" s="136"/>
      <c r="JLD7" s="137"/>
      <c r="JLE7" s="137"/>
      <c r="JLF7" s="136"/>
      <c r="JLG7" s="344"/>
      <c r="JLH7" s="344"/>
      <c r="JLI7" s="344"/>
      <c r="JLJ7" s="344"/>
      <c r="JLK7" s="136"/>
      <c r="JLL7" s="137"/>
      <c r="JLM7" s="137"/>
      <c r="JLN7" s="136"/>
      <c r="JLO7" s="344"/>
      <c r="JLP7" s="344"/>
      <c r="JLQ7" s="344"/>
      <c r="JLR7" s="344"/>
      <c r="JLS7" s="136"/>
      <c r="JLT7" s="137"/>
      <c r="JLU7" s="137"/>
      <c r="JLV7" s="136"/>
      <c r="JLW7" s="344"/>
      <c r="JLX7" s="344"/>
      <c r="JLY7" s="344"/>
      <c r="JLZ7" s="344"/>
      <c r="JMA7" s="136"/>
      <c r="JMB7" s="137"/>
      <c r="JMC7" s="137"/>
      <c r="JMD7" s="136"/>
      <c r="JME7" s="344"/>
      <c r="JMF7" s="344"/>
      <c r="JMG7" s="344"/>
      <c r="JMH7" s="344"/>
      <c r="JMI7" s="136"/>
      <c r="JMJ7" s="137"/>
      <c r="JMK7" s="137"/>
      <c r="JML7" s="136"/>
      <c r="JMM7" s="344"/>
      <c r="JMN7" s="344"/>
      <c r="JMO7" s="344"/>
      <c r="JMP7" s="344"/>
      <c r="JMQ7" s="136"/>
      <c r="JMR7" s="137"/>
      <c r="JMS7" s="137"/>
      <c r="JMT7" s="136"/>
      <c r="JMU7" s="344"/>
      <c r="JMV7" s="344"/>
      <c r="JMW7" s="344"/>
      <c r="JMX7" s="344"/>
      <c r="JMY7" s="136"/>
      <c r="JMZ7" s="137"/>
      <c r="JNA7" s="137"/>
      <c r="JNB7" s="136"/>
      <c r="JNC7" s="344"/>
      <c r="JND7" s="344"/>
      <c r="JNE7" s="344"/>
      <c r="JNF7" s="344"/>
      <c r="JNG7" s="136"/>
      <c r="JNH7" s="137"/>
      <c r="JNI7" s="137"/>
      <c r="JNJ7" s="136"/>
      <c r="JNK7" s="344"/>
      <c r="JNL7" s="344"/>
      <c r="JNM7" s="344"/>
      <c r="JNN7" s="344"/>
      <c r="JNO7" s="136"/>
      <c r="JNP7" s="137"/>
      <c r="JNQ7" s="137"/>
      <c r="JNR7" s="136"/>
      <c r="JNS7" s="344"/>
      <c r="JNT7" s="344"/>
      <c r="JNU7" s="344"/>
      <c r="JNV7" s="344"/>
      <c r="JNW7" s="136"/>
      <c r="JNX7" s="137"/>
      <c r="JNY7" s="137"/>
      <c r="JNZ7" s="136"/>
      <c r="JOA7" s="344"/>
      <c r="JOB7" s="344"/>
      <c r="JOC7" s="344"/>
      <c r="JOD7" s="344"/>
      <c r="JOE7" s="136"/>
      <c r="JOF7" s="137"/>
      <c r="JOG7" s="137"/>
      <c r="JOH7" s="136"/>
      <c r="JOI7" s="344"/>
      <c r="JOJ7" s="344"/>
      <c r="JOK7" s="344"/>
      <c r="JOL7" s="344"/>
      <c r="JOM7" s="136"/>
      <c r="JON7" s="137"/>
      <c r="JOO7" s="137"/>
      <c r="JOP7" s="136"/>
      <c r="JOQ7" s="344"/>
      <c r="JOR7" s="344"/>
      <c r="JOS7" s="344"/>
      <c r="JOT7" s="344"/>
      <c r="JOU7" s="136"/>
      <c r="JOV7" s="137"/>
      <c r="JOW7" s="137"/>
      <c r="JOX7" s="136"/>
      <c r="JOY7" s="344"/>
      <c r="JOZ7" s="344"/>
      <c r="JPA7" s="344"/>
      <c r="JPB7" s="344"/>
      <c r="JPC7" s="136"/>
      <c r="JPD7" s="137"/>
      <c r="JPE7" s="137"/>
      <c r="JPF7" s="136"/>
      <c r="JPG7" s="344"/>
      <c r="JPH7" s="344"/>
      <c r="JPI7" s="344"/>
      <c r="JPJ7" s="344"/>
      <c r="JPK7" s="136"/>
      <c r="JPL7" s="137"/>
      <c r="JPM7" s="137"/>
      <c r="JPN7" s="136"/>
      <c r="JPO7" s="344"/>
      <c r="JPP7" s="344"/>
      <c r="JPQ7" s="344"/>
      <c r="JPR7" s="344"/>
      <c r="JPS7" s="136"/>
      <c r="JPT7" s="137"/>
      <c r="JPU7" s="137"/>
      <c r="JPV7" s="136"/>
      <c r="JPW7" s="344"/>
      <c r="JPX7" s="344"/>
      <c r="JPY7" s="344"/>
      <c r="JPZ7" s="344"/>
      <c r="JQA7" s="136"/>
      <c r="JQB7" s="137"/>
      <c r="JQC7" s="137"/>
      <c r="JQD7" s="136"/>
      <c r="JQE7" s="344"/>
      <c r="JQF7" s="344"/>
      <c r="JQG7" s="344"/>
      <c r="JQH7" s="344"/>
      <c r="JQI7" s="136"/>
      <c r="JQJ7" s="137"/>
      <c r="JQK7" s="137"/>
      <c r="JQL7" s="136"/>
      <c r="JQM7" s="344"/>
      <c r="JQN7" s="344"/>
      <c r="JQO7" s="344"/>
      <c r="JQP7" s="344"/>
      <c r="JQQ7" s="136"/>
      <c r="JQR7" s="137"/>
      <c r="JQS7" s="137"/>
      <c r="JQT7" s="136"/>
      <c r="JQU7" s="344"/>
      <c r="JQV7" s="344"/>
      <c r="JQW7" s="344"/>
      <c r="JQX7" s="344"/>
      <c r="JQY7" s="136"/>
      <c r="JQZ7" s="137"/>
      <c r="JRA7" s="137"/>
      <c r="JRB7" s="136"/>
      <c r="JRC7" s="344"/>
      <c r="JRD7" s="344"/>
      <c r="JRE7" s="344"/>
      <c r="JRF7" s="344"/>
      <c r="JRG7" s="136"/>
      <c r="JRH7" s="137"/>
      <c r="JRI7" s="137"/>
      <c r="JRJ7" s="136"/>
      <c r="JRK7" s="344"/>
      <c r="JRL7" s="344"/>
      <c r="JRM7" s="344"/>
      <c r="JRN7" s="344"/>
      <c r="JRO7" s="136"/>
      <c r="JRP7" s="137"/>
      <c r="JRQ7" s="137"/>
      <c r="JRR7" s="136"/>
      <c r="JRS7" s="344"/>
      <c r="JRT7" s="344"/>
      <c r="JRU7" s="344"/>
      <c r="JRV7" s="344"/>
      <c r="JRW7" s="136"/>
      <c r="JRX7" s="137"/>
      <c r="JRY7" s="137"/>
      <c r="JRZ7" s="136"/>
      <c r="JSA7" s="344"/>
      <c r="JSB7" s="344"/>
      <c r="JSC7" s="344"/>
      <c r="JSD7" s="344"/>
      <c r="JSE7" s="136"/>
      <c r="JSF7" s="137"/>
      <c r="JSG7" s="137"/>
      <c r="JSH7" s="136"/>
      <c r="JSI7" s="344"/>
      <c r="JSJ7" s="344"/>
      <c r="JSK7" s="344"/>
      <c r="JSL7" s="344"/>
      <c r="JSM7" s="136"/>
      <c r="JSN7" s="137"/>
      <c r="JSO7" s="137"/>
      <c r="JSP7" s="136"/>
      <c r="JSQ7" s="344"/>
      <c r="JSR7" s="344"/>
      <c r="JSS7" s="344"/>
      <c r="JST7" s="344"/>
      <c r="JSU7" s="136"/>
      <c r="JSV7" s="137"/>
      <c r="JSW7" s="137"/>
      <c r="JSX7" s="136"/>
      <c r="JSY7" s="344"/>
      <c r="JSZ7" s="344"/>
      <c r="JTA7" s="344"/>
      <c r="JTB7" s="344"/>
      <c r="JTC7" s="136"/>
      <c r="JTD7" s="137"/>
      <c r="JTE7" s="137"/>
      <c r="JTF7" s="136"/>
      <c r="JTG7" s="344"/>
      <c r="JTH7" s="344"/>
      <c r="JTI7" s="344"/>
      <c r="JTJ7" s="344"/>
      <c r="JTK7" s="136"/>
      <c r="JTL7" s="137"/>
      <c r="JTM7" s="137"/>
      <c r="JTN7" s="136"/>
      <c r="JTO7" s="344"/>
      <c r="JTP7" s="344"/>
      <c r="JTQ7" s="344"/>
      <c r="JTR7" s="344"/>
      <c r="JTS7" s="136"/>
      <c r="JTT7" s="137"/>
      <c r="JTU7" s="137"/>
      <c r="JTV7" s="136"/>
      <c r="JTW7" s="344"/>
      <c r="JTX7" s="344"/>
      <c r="JTY7" s="344"/>
      <c r="JTZ7" s="344"/>
      <c r="JUA7" s="136"/>
      <c r="JUB7" s="137"/>
      <c r="JUC7" s="137"/>
      <c r="JUD7" s="136"/>
      <c r="JUE7" s="344"/>
      <c r="JUF7" s="344"/>
      <c r="JUG7" s="344"/>
      <c r="JUH7" s="344"/>
      <c r="JUI7" s="136"/>
      <c r="JUJ7" s="137"/>
      <c r="JUK7" s="137"/>
      <c r="JUL7" s="136"/>
      <c r="JUM7" s="344"/>
      <c r="JUN7" s="344"/>
      <c r="JUO7" s="344"/>
      <c r="JUP7" s="344"/>
      <c r="JUQ7" s="136"/>
      <c r="JUR7" s="137"/>
      <c r="JUS7" s="137"/>
      <c r="JUT7" s="136"/>
      <c r="JUU7" s="344"/>
      <c r="JUV7" s="344"/>
      <c r="JUW7" s="344"/>
      <c r="JUX7" s="344"/>
      <c r="JUY7" s="136"/>
      <c r="JUZ7" s="137"/>
      <c r="JVA7" s="137"/>
      <c r="JVB7" s="136"/>
      <c r="JVC7" s="344"/>
      <c r="JVD7" s="344"/>
      <c r="JVE7" s="344"/>
      <c r="JVF7" s="344"/>
      <c r="JVG7" s="136"/>
      <c r="JVH7" s="137"/>
      <c r="JVI7" s="137"/>
      <c r="JVJ7" s="136"/>
      <c r="JVK7" s="344"/>
      <c r="JVL7" s="344"/>
      <c r="JVM7" s="344"/>
      <c r="JVN7" s="344"/>
      <c r="JVO7" s="136"/>
      <c r="JVP7" s="137"/>
      <c r="JVQ7" s="137"/>
      <c r="JVR7" s="136"/>
      <c r="JVS7" s="344"/>
      <c r="JVT7" s="344"/>
      <c r="JVU7" s="344"/>
      <c r="JVV7" s="344"/>
      <c r="JVW7" s="136"/>
      <c r="JVX7" s="137"/>
      <c r="JVY7" s="137"/>
      <c r="JVZ7" s="136"/>
      <c r="JWA7" s="344"/>
      <c r="JWB7" s="344"/>
      <c r="JWC7" s="344"/>
      <c r="JWD7" s="344"/>
      <c r="JWE7" s="136"/>
      <c r="JWF7" s="137"/>
      <c r="JWG7" s="137"/>
      <c r="JWH7" s="136"/>
      <c r="JWI7" s="344"/>
      <c r="JWJ7" s="344"/>
      <c r="JWK7" s="344"/>
      <c r="JWL7" s="344"/>
      <c r="JWM7" s="136"/>
      <c r="JWN7" s="137"/>
      <c r="JWO7" s="137"/>
      <c r="JWP7" s="136"/>
      <c r="JWQ7" s="344"/>
      <c r="JWR7" s="344"/>
      <c r="JWS7" s="344"/>
      <c r="JWT7" s="344"/>
      <c r="JWU7" s="136"/>
      <c r="JWV7" s="137"/>
      <c r="JWW7" s="137"/>
      <c r="JWX7" s="136"/>
      <c r="JWY7" s="344"/>
      <c r="JWZ7" s="344"/>
      <c r="JXA7" s="344"/>
      <c r="JXB7" s="344"/>
      <c r="JXC7" s="136"/>
      <c r="JXD7" s="137"/>
      <c r="JXE7" s="137"/>
      <c r="JXF7" s="136"/>
      <c r="JXG7" s="344"/>
      <c r="JXH7" s="344"/>
      <c r="JXI7" s="344"/>
      <c r="JXJ7" s="344"/>
      <c r="JXK7" s="136"/>
      <c r="JXL7" s="137"/>
      <c r="JXM7" s="137"/>
      <c r="JXN7" s="136"/>
      <c r="JXO7" s="344"/>
      <c r="JXP7" s="344"/>
      <c r="JXQ7" s="344"/>
      <c r="JXR7" s="344"/>
      <c r="JXS7" s="136"/>
      <c r="JXT7" s="137"/>
      <c r="JXU7" s="137"/>
      <c r="JXV7" s="136"/>
      <c r="JXW7" s="344"/>
      <c r="JXX7" s="344"/>
      <c r="JXY7" s="344"/>
      <c r="JXZ7" s="344"/>
      <c r="JYA7" s="136"/>
      <c r="JYB7" s="137"/>
      <c r="JYC7" s="137"/>
      <c r="JYD7" s="136"/>
      <c r="JYE7" s="344"/>
      <c r="JYF7" s="344"/>
      <c r="JYG7" s="344"/>
      <c r="JYH7" s="344"/>
      <c r="JYI7" s="136"/>
      <c r="JYJ7" s="137"/>
      <c r="JYK7" s="137"/>
      <c r="JYL7" s="136"/>
      <c r="JYM7" s="344"/>
      <c r="JYN7" s="344"/>
      <c r="JYO7" s="344"/>
      <c r="JYP7" s="344"/>
      <c r="JYQ7" s="136"/>
      <c r="JYR7" s="137"/>
      <c r="JYS7" s="137"/>
      <c r="JYT7" s="136"/>
      <c r="JYU7" s="344"/>
      <c r="JYV7" s="344"/>
      <c r="JYW7" s="344"/>
      <c r="JYX7" s="344"/>
      <c r="JYY7" s="136"/>
      <c r="JYZ7" s="137"/>
      <c r="JZA7" s="137"/>
      <c r="JZB7" s="136"/>
      <c r="JZC7" s="344"/>
      <c r="JZD7" s="344"/>
      <c r="JZE7" s="344"/>
      <c r="JZF7" s="344"/>
      <c r="JZG7" s="136"/>
      <c r="JZH7" s="137"/>
      <c r="JZI7" s="137"/>
      <c r="JZJ7" s="136"/>
      <c r="JZK7" s="344"/>
      <c r="JZL7" s="344"/>
      <c r="JZM7" s="344"/>
      <c r="JZN7" s="344"/>
      <c r="JZO7" s="136"/>
      <c r="JZP7" s="137"/>
      <c r="JZQ7" s="137"/>
      <c r="JZR7" s="136"/>
      <c r="JZS7" s="344"/>
      <c r="JZT7" s="344"/>
      <c r="JZU7" s="344"/>
      <c r="JZV7" s="344"/>
      <c r="JZW7" s="136"/>
      <c r="JZX7" s="137"/>
      <c r="JZY7" s="137"/>
      <c r="JZZ7" s="136"/>
      <c r="KAA7" s="344"/>
      <c r="KAB7" s="344"/>
      <c r="KAC7" s="344"/>
      <c r="KAD7" s="344"/>
      <c r="KAE7" s="136"/>
      <c r="KAF7" s="137"/>
      <c r="KAG7" s="137"/>
      <c r="KAH7" s="136"/>
      <c r="KAI7" s="344"/>
      <c r="KAJ7" s="344"/>
      <c r="KAK7" s="344"/>
      <c r="KAL7" s="344"/>
      <c r="KAM7" s="136"/>
      <c r="KAN7" s="137"/>
      <c r="KAO7" s="137"/>
      <c r="KAP7" s="136"/>
      <c r="KAQ7" s="344"/>
      <c r="KAR7" s="344"/>
      <c r="KAS7" s="344"/>
      <c r="KAT7" s="344"/>
      <c r="KAU7" s="136"/>
      <c r="KAV7" s="137"/>
      <c r="KAW7" s="137"/>
      <c r="KAX7" s="136"/>
      <c r="KAY7" s="344"/>
      <c r="KAZ7" s="344"/>
      <c r="KBA7" s="344"/>
      <c r="KBB7" s="344"/>
      <c r="KBC7" s="136"/>
      <c r="KBD7" s="137"/>
      <c r="KBE7" s="137"/>
      <c r="KBF7" s="136"/>
      <c r="KBG7" s="344"/>
      <c r="KBH7" s="344"/>
      <c r="KBI7" s="344"/>
      <c r="KBJ7" s="344"/>
      <c r="KBK7" s="136"/>
      <c r="KBL7" s="137"/>
      <c r="KBM7" s="137"/>
      <c r="KBN7" s="136"/>
      <c r="KBO7" s="344"/>
      <c r="KBP7" s="344"/>
      <c r="KBQ7" s="344"/>
      <c r="KBR7" s="344"/>
      <c r="KBS7" s="136"/>
      <c r="KBT7" s="137"/>
      <c r="KBU7" s="137"/>
      <c r="KBV7" s="136"/>
      <c r="KBW7" s="344"/>
      <c r="KBX7" s="344"/>
      <c r="KBY7" s="344"/>
      <c r="KBZ7" s="344"/>
      <c r="KCA7" s="136"/>
      <c r="KCB7" s="137"/>
      <c r="KCC7" s="137"/>
      <c r="KCD7" s="136"/>
      <c r="KCE7" s="344"/>
      <c r="KCF7" s="344"/>
      <c r="KCG7" s="344"/>
      <c r="KCH7" s="344"/>
      <c r="KCI7" s="136"/>
      <c r="KCJ7" s="137"/>
      <c r="KCK7" s="137"/>
      <c r="KCL7" s="136"/>
      <c r="KCM7" s="344"/>
      <c r="KCN7" s="344"/>
      <c r="KCO7" s="344"/>
      <c r="KCP7" s="344"/>
      <c r="KCQ7" s="136"/>
      <c r="KCR7" s="137"/>
      <c r="KCS7" s="137"/>
      <c r="KCT7" s="136"/>
      <c r="KCU7" s="344"/>
      <c r="KCV7" s="344"/>
      <c r="KCW7" s="344"/>
      <c r="KCX7" s="344"/>
      <c r="KCY7" s="136"/>
      <c r="KCZ7" s="137"/>
      <c r="KDA7" s="137"/>
      <c r="KDB7" s="136"/>
      <c r="KDC7" s="344"/>
      <c r="KDD7" s="344"/>
      <c r="KDE7" s="344"/>
      <c r="KDF7" s="344"/>
      <c r="KDG7" s="136"/>
      <c r="KDH7" s="137"/>
      <c r="KDI7" s="137"/>
      <c r="KDJ7" s="136"/>
      <c r="KDK7" s="344"/>
      <c r="KDL7" s="344"/>
      <c r="KDM7" s="344"/>
      <c r="KDN7" s="344"/>
      <c r="KDO7" s="136"/>
      <c r="KDP7" s="137"/>
      <c r="KDQ7" s="137"/>
      <c r="KDR7" s="136"/>
      <c r="KDS7" s="344"/>
      <c r="KDT7" s="344"/>
      <c r="KDU7" s="344"/>
      <c r="KDV7" s="344"/>
      <c r="KDW7" s="136"/>
      <c r="KDX7" s="137"/>
      <c r="KDY7" s="137"/>
      <c r="KDZ7" s="136"/>
      <c r="KEA7" s="344"/>
      <c r="KEB7" s="344"/>
      <c r="KEC7" s="344"/>
      <c r="KED7" s="344"/>
      <c r="KEE7" s="136"/>
      <c r="KEF7" s="137"/>
      <c r="KEG7" s="137"/>
      <c r="KEH7" s="136"/>
      <c r="KEI7" s="344"/>
      <c r="KEJ7" s="344"/>
      <c r="KEK7" s="344"/>
      <c r="KEL7" s="344"/>
      <c r="KEM7" s="136"/>
      <c r="KEN7" s="137"/>
      <c r="KEO7" s="137"/>
      <c r="KEP7" s="136"/>
      <c r="KEQ7" s="344"/>
      <c r="KER7" s="344"/>
      <c r="KES7" s="344"/>
      <c r="KET7" s="344"/>
      <c r="KEU7" s="136"/>
      <c r="KEV7" s="137"/>
      <c r="KEW7" s="137"/>
      <c r="KEX7" s="136"/>
      <c r="KEY7" s="344"/>
      <c r="KEZ7" s="344"/>
      <c r="KFA7" s="344"/>
      <c r="KFB7" s="344"/>
      <c r="KFC7" s="136"/>
      <c r="KFD7" s="137"/>
      <c r="KFE7" s="137"/>
      <c r="KFF7" s="136"/>
      <c r="KFG7" s="344"/>
      <c r="KFH7" s="344"/>
      <c r="KFI7" s="344"/>
      <c r="KFJ7" s="344"/>
      <c r="KFK7" s="136"/>
      <c r="KFL7" s="137"/>
      <c r="KFM7" s="137"/>
      <c r="KFN7" s="136"/>
      <c r="KFO7" s="344"/>
      <c r="KFP7" s="344"/>
      <c r="KFQ7" s="344"/>
      <c r="KFR7" s="344"/>
      <c r="KFS7" s="136"/>
      <c r="KFT7" s="137"/>
      <c r="KFU7" s="137"/>
      <c r="KFV7" s="136"/>
      <c r="KFW7" s="344"/>
      <c r="KFX7" s="344"/>
      <c r="KFY7" s="344"/>
      <c r="KFZ7" s="344"/>
      <c r="KGA7" s="136"/>
      <c r="KGB7" s="137"/>
      <c r="KGC7" s="137"/>
      <c r="KGD7" s="136"/>
      <c r="KGE7" s="344"/>
      <c r="KGF7" s="344"/>
      <c r="KGG7" s="344"/>
      <c r="KGH7" s="344"/>
      <c r="KGI7" s="136"/>
      <c r="KGJ7" s="137"/>
      <c r="KGK7" s="137"/>
      <c r="KGL7" s="136"/>
      <c r="KGM7" s="344"/>
      <c r="KGN7" s="344"/>
      <c r="KGO7" s="344"/>
      <c r="KGP7" s="344"/>
      <c r="KGQ7" s="136"/>
      <c r="KGR7" s="137"/>
      <c r="KGS7" s="137"/>
      <c r="KGT7" s="136"/>
      <c r="KGU7" s="344"/>
      <c r="KGV7" s="344"/>
      <c r="KGW7" s="344"/>
      <c r="KGX7" s="344"/>
      <c r="KGY7" s="136"/>
      <c r="KGZ7" s="137"/>
      <c r="KHA7" s="137"/>
      <c r="KHB7" s="136"/>
      <c r="KHC7" s="344"/>
      <c r="KHD7" s="344"/>
      <c r="KHE7" s="344"/>
      <c r="KHF7" s="344"/>
      <c r="KHG7" s="136"/>
      <c r="KHH7" s="137"/>
      <c r="KHI7" s="137"/>
      <c r="KHJ7" s="136"/>
      <c r="KHK7" s="344"/>
      <c r="KHL7" s="344"/>
      <c r="KHM7" s="344"/>
      <c r="KHN7" s="344"/>
      <c r="KHO7" s="136"/>
      <c r="KHP7" s="137"/>
      <c r="KHQ7" s="137"/>
      <c r="KHR7" s="136"/>
      <c r="KHS7" s="344"/>
      <c r="KHT7" s="344"/>
      <c r="KHU7" s="344"/>
      <c r="KHV7" s="344"/>
      <c r="KHW7" s="136"/>
      <c r="KHX7" s="137"/>
      <c r="KHY7" s="137"/>
      <c r="KHZ7" s="136"/>
      <c r="KIA7" s="344"/>
      <c r="KIB7" s="344"/>
      <c r="KIC7" s="344"/>
      <c r="KID7" s="344"/>
      <c r="KIE7" s="136"/>
      <c r="KIF7" s="137"/>
      <c r="KIG7" s="137"/>
      <c r="KIH7" s="136"/>
      <c r="KII7" s="344"/>
      <c r="KIJ7" s="344"/>
      <c r="KIK7" s="344"/>
      <c r="KIL7" s="344"/>
      <c r="KIM7" s="136"/>
      <c r="KIN7" s="137"/>
      <c r="KIO7" s="137"/>
      <c r="KIP7" s="136"/>
      <c r="KIQ7" s="344"/>
      <c r="KIR7" s="344"/>
      <c r="KIS7" s="344"/>
      <c r="KIT7" s="344"/>
      <c r="KIU7" s="136"/>
      <c r="KIV7" s="137"/>
      <c r="KIW7" s="137"/>
      <c r="KIX7" s="136"/>
      <c r="KIY7" s="344"/>
      <c r="KIZ7" s="344"/>
      <c r="KJA7" s="344"/>
      <c r="KJB7" s="344"/>
      <c r="KJC7" s="136"/>
      <c r="KJD7" s="137"/>
      <c r="KJE7" s="137"/>
      <c r="KJF7" s="136"/>
      <c r="KJG7" s="344"/>
      <c r="KJH7" s="344"/>
      <c r="KJI7" s="344"/>
      <c r="KJJ7" s="344"/>
      <c r="KJK7" s="136"/>
      <c r="KJL7" s="137"/>
      <c r="KJM7" s="137"/>
      <c r="KJN7" s="136"/>
      <c r="KJO7" s="344"/>
      <c r="KJP7" s="344"/>
      <c r="KJQ7" s="344"/>
      <c r="KJR7" s="344"/>
      <c r="KJS7" s="136"/>
      <c r="KJT7" s="137"/>
      <c r="KJU7" s="137"/>
      <c r="KJV7" s="136"/>
      <c r="KJW7" s="344"/>
      <c r="KJX7" s="344"/>
      <c r="KJY7" s="344"/>
      <c r="KJZ7" s="344"/>
      <c r="KKA7" s="136"/>
      <c r="KKB7" s="137"/>
      <c r="KKC7" s="137"/>
      <c r="KKD7" s="136"/>
      <c r="KKE7" s="344"/>
      <c r="KKF7" s="344"/>
      <c r="KKG7" s="344"/>
      <c r="KKH7" s="344"/>
      <c r="KKI7" s="136"/>
      <c r="KKJ7" s="137"/>
      <c r="KKK7" s="137"/>
      <c r="KKL7" s="136"/>
      <c r="KKM7" s="344"/>
      <c r="KKN7" s="344"/>
      <c r="KKO7" s="344"/>
      <c r="KKP7" s="344"/>
      <c r="KKQ7" s="136"/>
      <c r="KKR7" s="137"/>
      <c r="KKS7" s="137"/>
      <c r="KKT7" s="136"/>
      <c r="KKU7" s="344"/>
      <c r="KKV7" s="344"/>
      <c r="KKW7" s="344"/>
      <c r="KKX7" s="344"/>
      <c r="KKY7" s="136"/>
      <c r="KKZ7" s="137"/>
      <c r="KLA7" s="137"/>
      <c r="KLB7" s="136"/>
      <c r="KLC7" s="344"/>
      <c r="KLD7" s="344"/>
      <c r="KLE7" s="344"/>
      <c r="KLF7" s="344"/>
      <c r="KLG7" s="136"/>
      <c r="KLH7" s="137"/>
      <c r="KLI7" s="137"/>
      <c r="KLJ7" s="136"/>
      <c r="KLK7" s="344"/>
      <c r="KLL7" s="344"/>
      <c r="KLM7" s="344"/>
      <c r="KLN7" s="344"/>
      <c r="KLO7" s="136"/>
      <c r="KLP7" s="137"/>
      <c r="KLQ7" s="137"/>
      <c r="KLR7" s="136"/>
      <c r="KLS7" s="344"/>
      <c r="KLT7" s="344"/>
      <c r="KLU7" s="344"/>
      <c r="KLV7" s="344"/>
      <c r="KLW7" s="136"/>
      <c r="KLX7" s="137"/>
      <c r="KLY7" s="137"/>
      <c r="KLZ7" s="136"/>
      <c r="KMA7" s="344"/>
      <c r="KMB7" s="344"/>
      <c r="KMC7" s="344"/>
      <c r="KMD7" s="344"/>
      <c r="KME7" s="136"/>
      <c r="KMF7" s="137"/>
      <c r="KMG7" s="137"/>
      <c r="KMH7" s="136"/>
      <c r="KMI7" s="344"/>
      <c r="KMJ7" s="344"/>
      <c r="KMK7" s="344"/>
      <c r="KML7" s="344"/>
      <c r="KMM7" s="136"/>
      <c r="KMN7" s="137"/>
      <c r="KMO7" s="137"/>
      <c r="KMP7" s="136"/>
      <c r="KMQ7" s="344"/>
      <c r="KMR7" s="344"/>
      <c r="KMS7" s="344"/>
      <c r="KMT7" s="344"/>
      <c r="KMU7" s="136"/>
      <c r="KMV7" s="137"/>
      <c r="KMW7" s="137"/>
      <c r="KMX7" s="136"/>
      <c r="KMY7" s="344"/>
      <c r="KMZ7" s="344"/>
      <c r="KNA7" s="344"/>
      <c r="KNB7" s="344"/>
      <c r="KNC7" s="136"/>
      <c r="KND7" s="137"/>
      <c r="KNE7" s="137"/>
      <c r="KNF7" s="136"/>
      <c r="KNG7" s="344"/>
      <c r="KNH7" s="344"/>
      <c r="KNI7" s="344"/>
      <c r="KNJ7" s="344"/>
      <c r="KNK7" s="136"/>
      <c r="KNL7" s="137"/>
      <c r="KNM7" s="137"/>
      <c r="KNN7" s="136"/>
      <c r="KNO7" s="344"/>
      <c r="KNP7" s="344"/>
      <c r="KNQ7" s="344"/>
      <c r="KNR7" s="344"/>
      <c r="KNS7" s="136"/>
      <c r="KNT7" s="137"/>
      <c r="KNU7" s="137"/>
      <c r="KNV7" s="136"/>
      <c r="KNW7" s="344"/>
      <c r="KNX7" s="344"/>
      <c r="KNY7" s="344"/>
      <c r="KNZ7" s="344"/>
      <c r="KOA7" s="136"/>
      <c r="KOB7" s="137"/>
      <c r="KOC7" s="137"/>
      <c r="KOD7" s="136"/>
      <c r="KOE7" s="344"/>
      <c r="KOF7" s="344"/>
      <c r="KOG7" s="344"/>
      <c r="KOH7" s="344"/>
      <c r="KOI7" s="136"/>
      <c r="KOJ7" s="137"/>
      <c r="KOK7" s="137"/>
      <c r="KOL7" s="136"/>
      <c r="KOM7" s="344"/>
      <c r="KON7" s="344"/>
      <c r="KOO7" s="344"/>
      <c r="KOP7" s="344"/>
      <c r="KOQ7" s="136"/>
      <c r="KOR7" s="137"/>
      <c r="KOS7" s="137"/>
      <c r="KOT7" s="136"/>
      <c r="KOU7" s="344"/>
      <c r="KOV7" s="344"/>
      <c r="KOW7" s="344"/>
      <c r="KOX7" s="344"/>
      <c r="KOY7" s="136"/>
      <c r="KOZ7" s="137"/>
      <c r="KPA7" s="137"/>
      <c r="KPB7" s="136"/>
      <c r="KPC7" s="344"/>
      <c r="KPD7" s="344"/>
      <c r="KPE7" s="344"/>
      <c r="KPF7" s="344"/>
      <c r="KPG7" s="136"/>
      <c r="KPH7" s="137"/>
      <c r="KPI7" s="137"/>
      <c r="KPJ7" s="136"/>
      <c r="KPK7" s="344"/>
      <c r="KPL7" s="344"/>
      <c r="KPM7" s="344"/>
      <c r="KPN7" s="344"/>
      <c r="KPO7" s="136"/>
      <c r="KPP7" s="137"/>
      <c r="KPQ7" s="137"/>
      <c r="KPR7" s="136"/>
      <c r="KPS7" s="344"/>
      <c r="KPT7" s="344"/>
      <c r="KPU7" s="344"/>
      <c r="KPV7" s="344"/>
      <c r="KPW7" s="136"/>
      <c r="KPX7" s="137"/>
      <c r="KPY7" s="137"/>
      <c r="KPZ7" s="136"/>
      <c r="KQA7" s="344"/>
      <c r="KQB7" s="344"/>
      <c r="KQC7" s="344"/>
      <c r="KQD7" s="344"/>
      <c r="KQE7" s="136"/>
      <c r="KQF7" s="137"/>
      <c r="KQG7" s="137"/>
      <c r="KQH7" s="136"/>
      <c r="KQI7" s="344"/>
      <c r="KQJ7" s="344"/>
      <c r="KQK7" s="344"/>
      <c r="KQL7" s="344"/>
      <c r="KQM7" s="136"/>
      <c r="KQN7" s="137"/>
      <c r="KQO7" s="137"/>
      <c r="KQP7" s="136"/>
      <c r="KQQ7" s="344"/>
      <c r="KQR7" s="344"/>
      <c r="KQS7" s="344"/>
      <c r="KQT7" s="344"/>
      <c r="KQU7" s="136"/>
      <c r="KQV7" s="137"/>
      <c r="KQW7" s="137"/>
      <c r="KQX7" s="136"/>
      <c r="KQY7" s="344"/>
      <c r="KQZ7" s="344"/>
      <c r="KRA7" s="344"/>
      <c r="KRB7" s="344"/>
      <c r="KRC7" s="136"/>
      <c r="KRD7" s="137"/>
      <c r="KRE7" s="137"/>
      <c r="KRF7" s="136"/>
      <c r="KRG7" s="344"/>
      <c r="KRH7" s="344"/>
      <c r="KRI7" s="344"/>
      <c r="KRJ7" s="344"/>
      <c r="KRK7" s="136"/>
      <c r="KRL7" s="137"/>
      <c r="KRM7" s="137"/>
      <c r="KRN7" s="136"/>
      <c r="KRO7" s="344"/>
      <c r="KRP7" s="344"/>
      <c r="KRQ7" s="344"/>
      <c r="KRR7" s="344"/>
      <c r="KRS7" s="136"/>
      <c r="KRT7" s="137"/>
      <c r="KRU7" s="137"/>
      <c r="KRV7" s="136"/>
      <c r="KRW7" s="344"/>
      <c r="KRX7" s="344"/>
      <c r="KRY7" s="344"/>
      <c r="KRZ7" s="344"/>
      <c r="KSA7" s="136"/>
      <c r="KSB7" s="137"/>
      <c r="KSC7" s="137"/>
      <c r="KSD7" s="136"/>
      <c r="KSE7" s="344"/>
      <c r="KSF7" s="344"/>
      <c r="KSG7" s="344"/>
      <c r="KSH7" s="344"/>
      <c r="KSI7" s="136"/>
      <c r="KSJ7" s="137"/>
      <c r="KSK7" s="137"/>
      <c r="KSL7" s="136"/>
      <c r="KSM7" s="344"/>
      <c r="KSN7" s="344"/>
      <c r="KSO7" s="344"/>
      <c r="KSP7" s="344"/>
      <c r="KSQ7" s="136"/>
      <c r="KSR7" s="137"/>
      <c r="KSS7" s="137"/>
      <c r="KST7" s="136"/>
      <c r="KSU7" s="344"/>
      <c r="KSV7" s="344"/>
      <c r="KSW7" s="344"/>
      <c r="KSX7" s="344"/>
      <c r="KSY7" s="136"/>
      <c r="KSZ7" s="137"/>
      <c r="KTA7" s="137"/>
      <c r="KTB7" s="136"/>
      <c r="KTC7" s="344"/>
      <c r="KTD7" s="344"/>
      <c r="KTE7" s="344"/>
      <c r="KTF7" s="344"/>
      <c r="KTG7" s="136"/>
      <c r="KTH7" s="137"/>
      <c r="KTI7" s="137"/>
      <c r="KTJ7" s="136"/>
      <c r="KTK7" s="344"/>
      <c r="KTL7" s="344"/>
      <c r="KTM7" s="344"/>
      <c r="KTN7" s="344"/>
      <c r="KTO7" s="136"/>
      <c r="KTP7" s="137"/>
      <c r="KTQ7" s="137"/>
      <c r="KTR7" s="136"/>
      <c r="KTS7" s="344"/>
      <c r="KTT7" s="344"/>
      <c r="KTU7" s="344"/>
      <c r="KTV7" s="344"/>
      <c r="KTW7" s="136"/>
      <c r="KTX7" s="137"/>
      <c r="KTY7" s="137"/>
      <c r="KTZ7" s="136"/>
      <c r="KUA7" s="344"/>
      <c r="KUB7" s="344"/>
      <c r="KUC7" s="344"/>
      <c r="KUD7" s="344"/>
      <c r="KUE7" s="136"/>
      <c r="KUF7" s="137"/>
      <c r="KUG7" s="137"/>
      <c r="KUH7" s="136"/>
      <c r="KUI7" s="344"/>
      <c r="KUJ7" s="344"/>
      <c r="KUK7" s="344"/>
      <c r="KUL7" s="344"/>
      <c r="KUM7" s="136"/>
      <c r="KUN7" s="137"/>
      <c r="KUO7" s="137"/>
      <c r="KUP7" s="136"/>
      <c r="KUQ7" s="344"/>
      <c r="KUR7" s="344"/>
      <c r="KUS7" s="344"/>
      <c r="KUT7" s="344"/>
      <c r="KUU7" s="136"/>
      <c r="KUV7" s="137"/>
      <c r="KUW7" s="137"/>
      <c r="KUX7" s="136"/>
      <c r="KUY7" s="344"/>
      <c r="KUZ7" s="344"/>
      <c r="KVA7" s="344"/>
      <c r="KVB7" s="344"/>
      <c r="KVC7" s="136"/>
      <c r="KVD7" s="137"/>
      <c r="KVE7" s="137"/>
      <c r="KVF7" s="136"/>
      <c r="KVG7" s="344"/>
      <c r="KVH7" s="344"/>
      <c r="KVI7" s="344"/>
      <c r="KVJ7" s="344"/>
      <c r="KVK7" s="136"/>
      <c r="KVL7" s="137"/>
      <c r="KVM7" s="137"/>
      <c r="KVN7" s="136"/>
      <c r="KVO7" s="344"/>
      <c r="KVP7" s="344"/>
      <c r="KVQ7" s="344"/>
      <c r="KVR7" s="344"/>
      <c r="KVS7" s="136"/>
      <c r="KVT7" s="137"/>
      <c r="KVU7" s="137"/>
      <c r="KVV7" s="136"/>
      <c r="KVW7" s="344"/>
      <c r="KVX7" s="344"/>
      <c r="KVY7" s="344"/>
      <c r="KVZ7" s="344"/>
      <c r="KWA7" s="136"/>
      <c r="KWB7" s="137"/>
      <c r="KWC7" s="137"/>
      <c r="KWD7" s="136"/>
      <c r="KWE7" s="344"/>
      <c r="KWF7" s="344"/>
      <c r="KWG7" s="344"/>
      <c r="KWH7" s="344"/>
      <c r="KWI7" s="136"/>
      <c r="KWJ7" s="137"/>
      <c r="KWK7" s="137"/>
      <c r="KWL7" s="136"/>
      <c r="KWM7" s="344"/>
      <c r="KWN7" s="344"/>
      <c r="KWO7" s="344"/>
      <c r="KWP7" s="344"/>
      <c r="KWQ7" s="136"/>
      <c r="KWR7" s="137"/>
      <c r="KWS7" s="137"/>
      <c r="KWT7" s="136"/>
      <c r="KWU7" s="344"/>
      <c r="KWV7" s="344"/>
      <c r="KWW7" s="344"/>
      <c r="KWX7" s="344"/>
      <c r="KWY7" s="136"/>
      <c r="KWZ7" s="137"/>
      <c r="KXA7" s="137"/>
      <c r="KXB7" s="136"/>
      <c r="KXC7" s="344"/>
      <c r="KXD7" s="344"/>
      <c r="KXE7" s="344"/>
      <c r="KXF7" s="344"/>
      <c r="KXG7" s="136"/>
      <c r="KXH7" s="137"/>
      <c r="KXI7" s="137"/>
      <c r="KXJ7" s="136"/>
      <c r="KXK7" s="344"/>
      <c r="KXL7" s="344"/>
      <c r="KXM7" s="344"/>
      <c r="KXN7" s="344"/>
      <c r="KXO7" s="136"/>
      <c r="KXP7" s="137"/>
      <c r="KXQ7" s="137"/>
      <c r="KXR7" s="136"/>
      <c r="KXS7" s="344"/>
      <c r="KXT7" s="344"/>
      <c r="KXU7" s="344"/>
      <c r="KXV7" s="344"/>
      <c r="KXW7" s="136"/>
      <c r="KXX7" s="137"/>
      <c r="KXY7" s="137"/>
      <c r="KXZ7" s="136"/>
      <c r="KYA7" s="344"/>
      <c r="KYB7" s="344"/>
      <c r="KYC7" s="344"/>
      <c r="KYD7" s="344"/>
      <c r="KYE7" s="136"/>
      <c r="KYF7" s="137"/>
      <c r="KYG7" s="137"/>
      <c r="KYH7" s="136"/>
      <c r="KYI7" s="344"/>
      <c r="KYJ7" s="344"/>
      <c r="KYK7" s="344"/>
      <c r="KYL7" s="344"/>
      <c r="KYM7" s="136"/>
      <c r="KYN7" s="137"/>
      <c r="KYO7" s="137"/>
      <c r="KYP7" s="136"/>
      <c r="KYQ7" s="344"/>
      <c r="KYR7" s="344"/>
      <c r="KYS7" s="344"/>
      <c r="KYT7" s="344"/>
      <c r="KYU7" s="136"/>
      <c r="KYV7" s="137"/>
      <c r="KYW7" s="137"/>
      <c r="KYX7" s="136"/>
      <c r="KYY7" s="344"/>
      <c r="KYZ7" s="344"/>
      <c r="KZA7" s="344"/>
      <c r="KZB7" s="344"/>
      <c r="KZC7" s="136"/>
      <c r="KZD7" s="137"/>
      <c r="KZE7" s="137"/>
      <c r="KZF7" s="136"/>
      <c r="KZG7" s="344"/>
      <c r="KZH7" s="344"/>
      <c r="KZI7" s="344"/>
      <c r="KZJ7" s="344"/>
      <c r="KZK7" s="136"/>
      <c r="KZL7" s="137"/>
      <c r="KZM7" s="137"/>
      <c r="KZN7" s="136"/>
      <c r="KZO7" s="344"/>
      <c r="KZP7" s="344"/>
      <c r="KZQ7" s="344"/>
      <c r="KZR7" s="344"/>
      <c r="KZS7" s="136"/>
      <c r="KZT7" s="137"/>
      <c r="KZU7" s="137"/>
      <c r="KZV7" s="136"/>
      <c r="KZW7" s="344"/>
      <c r="KZX7" s="344"/>
      <c r="KZY7" s="344"/>
      <c r="KZZ7" s="344"/>
      <c r="LAA7" s="136"/>
      <c r="LAB7" s="137"/>
      <c r="LAC7" s="137"/>
      <c r="LAD7" s="136"/>
      <c r="LAE7" s="344"/>
      <c r="LAF7" s="344"/>
      <c r="LAG7" s="344"/>
      <c r="LAH7" s="344"/>
      <c r="LAI7" s="136"/>
      <c r="LAJ7" s="137"/>
      <c r="LAK7" s="137"/>
      <c r="LAL7" s="136"/>
      <c r="LAM7" s="344"/>
      <c r="LAN7" s="344"/>
      <c r="LAO7" s="344"/>
      <c r="LAP7" s="344"/>
      <c r="LAQ7" s="136"/>
      <c r="LAR7" s="137"/>
      <c r="LAS7" s="137"/>
      <c r="LAT7" s="136"/>
      <c r="LAU7" s="344"/>
      <c r="LAV7" s="344"/>
      <c r="LAW7" s="344"/>
      <c r="LAX7" s="344"/>
      <c r="LAY7" s="136"/>
      <c r="LAZ7" s="137"/>
      <c r="LBA7" s="137"/>
      <c r="LBB7" s="136"/>
      <c r="LBC7" s="344"/>
      <c r="LBD7" s="344"/>
      <c r="LBE7" s="344"/>
      <c r="LBF7" s="344"/>
      <c r="LBG7" s="136"/>
      <c r="LBH7" s="137"/>
      <c r="LBI7" s="137"/>
      <c r="LBJ7" s="136"/>
      <c r="LBK7" s="344"/>
      <c r="LBL7" s="344"/>
      <c r="LBM7" s="344"/>
      <c r="LBN7" s="344"/>
      <c r="LBO7" s="136"/>
      <c r="LBP7" s="137"/>
      <c r="LBQ7" s="137"/>
      <c r="LBR7" s="136"/>
      <c r="LBS7" s="344"/>
      <c r="LBT7" s="344"/>
      <c r="LBU7" s="344"/>
      <c r="LBV7" s="344"/>
      <c r="LBW7" s="136"/>
      <c r="LBX7" s="137"/>
      <c r="LBY7" s="137"/>
      <c r="LBZ7" s="136"/>
      <c r="LCA7" s="344"/>
      <c r="LCB7" s="344"/>
      <c r="LCC7" s="344"/>
      <c r="LCD7" s="344"/>
      <c r="LCE7" s="136"/>
      <c r="LCF7" s="137"/>
      <c r="LCG7" s="137"/>
      <c r="LCH7" s="136"/>
      <c r="LCI7" s="344"/>
      <c r="LCJ7" s="344"/>
      <c r="LCK7" s="344"/>
      <c r="LCL7" s="344"/>
      <c r="LCM7" s="136"/>
      <c r="LCN7" s="137"/>
      <c r="LCO7" s="137"/>
      <c r="LCP7" s="136"/>
      <c r="LCQ7" s="344"/>
      <c r="LCR7" s="344"/>
      <c r="LCS7" s="344"/>
      <c r="LCT7" s="344"/>
      <c r="LCU7" s="136"/>
      <c r="LCV7" s="137"/>
      <c r="LCW7" s="137"/>
      <c r="LCX7" s="136"/>
      <c r="LCY7" s="344"/>
      <c r="LCZ7" s="344"/>
      <c r="LDA7" s="344"/>
      <c r="LDB7" s="344"/>
      <c r="LDC7" s="136"/>
      <c r="LDD7" s="137"/>
      <c r="LDE7" s="137"/>
      <c r="LDF7" s="136"/>
      <c r="LDG7" s="344"/>
      <c r="LDH7" s="344"/>
      <c r="LDI7" s="344"/>
      <c r="LDJ7" s="344"/>
      <c r="LDK7" s="136"/>
      <c r="LDL7" s="137"/>
      <c r="LDM7" s="137"/>
      <c r="LDN7" s="136"/>
      <c r="LDO7" s="344"/>
      <c r="LDP7" s="344"/>
      <c r="LDQ7" s="344"/>
      <c r="LDR7" s="344"/>
      <c r="LDS7" s="136"/>
      <c r="LDT7" s="137"/>
      <c r="LDU7" s="137"/>
      <c r="LDV7" s="136"/>
      <c r="LDW7" s="344"/>
      <c r="LDX7" s="344"/>
      <c r="LDY7" s="344"/>
      <c r="LDZ7" s="344"/>
      <c r="LEA7" s="136"/>
      <c r="LEB7" s="137"/>
      <c r="LEC7" s="137"/>
      <c r="LED7" s="136"/>
      <c r="LEE7" s="344"/>
      <c r="LEF7" s="344"/>
      <c r="LEG7" s="344"/>
      <c r="LEH7" s="344"/>
      <c r="LEI7" s="136"/>
      <c r="LEJ7" s="137"/>
      <c r="LEK7" s="137"/>
      <c r="LEL7" s="136"/>
      <c r="LEM7" s="344"/>
      <c r="LEN7" s="344"/>
      <c r="LEO7" s="344"/>
      <c r="LEP7" s="344"/>
      <c r="LEQ7" s="136"/>
      <c r="LER7" s="137"/>
      <c r="LES7" s="137"/>
      <c r="LET7" s="136"/>
      <c r="LEU7" s="344"/>
      <c r="LEV7" s="344"/>
      <c r="LEW7" s="344"/>
      <c r="LEX7" s="344"/>
      <c r="LEY7" s="136"/>
      <c r="LEZ7" s="137"/>
      <c r="LFA7" s="137"/>
      <c r="LFB7" s="136"/>
      <c r="LFC7" s="344"/>
      <c r="LFD7" s="344"/>
      <c r="LFE7" s="344"/>
      <c r="LFF7" s="344"/>
      <c r="LFG7" s="136"/>
      <c r="LFH7" s="137"/>
      <c r="LFI7" s="137"/>
      <c r="LFJ7" s="136"/>
      <c r="LFK7" s="344"/>
      <c r="LFL7" s="344"/>
      <c r="LFM7" s="344"/>
      <c r="LFN7" s="344"/>
      <c r="LFO7" s="136"/>
      <c r="LFP7" s="137"/>
      <c r="LFQ7" s="137"/>
      <c r="LFR7" s="136"/>
      <c r="LFS7" s="344"/>
      <c r="LFT7" s="344"/>
      <c r="LFU7" s="344"/>
      <c r="LFV7" s="344"/>
      <c r="LFW7" s="136"/>
      <c r="LFX7" s="137"/>
      <c r="LFY7" s="137"/>
      <c r="LFZ7" s="136"/>
      <c r="LGA7" s="344"/>
      <c r="LGB7" s="344"/>
      <c r="LGC7" s="344"/>
      <c r="LGD7" s="344"/>
      <c r="LGE7" s="136"/>
      <c r="LGF7" s="137"/>
      <c r="LGG7" s="137"/>
      <c r="LGH7" s="136"/>
      <c r="LGI7" s="344"/>
      <c r="LGJ7" s="344"/>
      <c r="LGK7" s="344"/>
      <c r="LGL7" s="344"/>
      <c r="LGM7" s="136"/>
      <c r="LGN7" s="137"/>
      <c r="LGO7" s="137"/>
      <c r="LGP7" s="136"/>
      <c r="LGQ7" s="344"/>
      <c r="LGR7" s="344"/>
      <c r="LGS7" s="344"/>
      <c r="LGT7" s="344"/>
      <c r="LGU7" s="136"/>
      <c r="LGV7" s="137"/>
      <c r="LGW7" s="137"/>
      <c r="LGX7" s="136"/>
      <c r="LGY7" s="344"/>
      <c r="LGZ7" s="344"/>
      <c r="LHA7" s="344"/>
      <c r="LHB7" s="344"/>
      <c r="LHC7" s="136"/>
      <c r="LHD7" s="137"/>
      <c r="LHE7" s="137"/>
      <c r="LHF7" s="136"/>
      <c r="LHG7" s="344"/>
      <c r="LHH7" s="344"/>
      <c r="LHI7" s="344"/>
      <c r="LHJ7" s="344"/>
      <c r="LHK7" s="136"/>
      <c r="LHL7" s="137"/>
      <c r="LHM7" s="137"/>
      <c r="LHN7" s="136"/>
      <c r="LHO7" s="344"/>
      <c r="LHP7" s="344"/>
      <c r="LHQ7" s="344"/>
      <c r="LHR7" s="344"/>
      <c r="LHS7" s="136"/>
      <c r="LHT7" s="137"/>
      <c r="LHU7" s="137"/>
      <c r="LHV7" s="136"/>
      <c r="LHW7" s="344"/>
      <c r="LHX7" s="344"/>
      <c r="LHY7" s="344"/>
      <c r="LHZ7" s="344"/>
      <c r="LIA7" s="136"/>
      <c r="LIB7" s="137"/>
      <c r="LIC7" s="137"/>
      <c r="LID7" s="136"/>
      <c r="LIE7" s="344"/>
      <c r="LIF7" s="344"/>
      <c r="LIG7" s="344"/>
      <c r="LIH7" s="344"/>
      <c r="LII7" s="136"/>
      <c r="LIJ7" s="137"/>
      <c r="LIK7" s="137"/>
      <c r="LIL7" s="136"/>
      <c r="LIM7" s="344"/>
      <c r="LIN7" s="344"/>
      <c r="LIO7" s="344"/>
      <c r="LIP7" s="344"/>
      <c r="LIQ7" s="136"/>
      <c r="LIR7" s="137"/>
      <c r="LIS7" s="137"/>
      <c r="LIT7" s="136"/>
      <c r="LIU7" s="344"/>
      <c r="LIV7" s="344"/>
      <c r="LIW7" s="344"/>
      <c r="LIX7" s="344"/>
      <c r="LIY7" s="136"/>
      <c r="LIZ7" s="137"/>
      <c r="LJA7" s="137"/>
      <c r="LJB7" s="136"/>
      <c r="LJC7" s="344"/>
      <c r="LJD7" s="344"/>
      <c r="LJE7" s="344"/>
      <c r="LJF7" s="344"/>
      <c r="LJG7" s="136"/>
      <c r="LJH7" s="137"/>
      <c r="LJI7" s="137"/>
      <c r="LJJ7" s="136"/>
      <c r="LJK7" s="344"/>
      <c r="LJL7" s="344"/>
      <c r="LJM7" s="344"/>
      <c r="LJN7" s="344"/>
      <c r="LJO7" s="136"/>
      <c r="LJP7" s="137"/>
      <c r="LJQ7" s="137"/>
      <c r="LJR7" s="136"/>
      <c r="LJS7" s="344"/>
      <c r="LJT7" s="344"/>
      <c r="LJU7" s="344"/>
      <c r="LJV7" s="344"/>
      <c r="LJW7" s="136"/>
      <c r="LJX7" s="137"/>
      <c r="LJY7" s="137"/>
      <c r="LJZ7" s="136"/>
      <c r="LKA7" s="344"/>
      <c r="LKB7" s="344"/>
      <c r="LKC7" s="344"/>
      <c r="LKD7" s="344"/>
      <c r="LKE7" s="136"/>
      <c r="LKF7" s="137"/>
      <c r="LKG7" s="137"/>
      <c r="LKH7" s="136"/>
      <c r="LKI7" s="344"/>
      <c r="LKJ7" s="344"/>
      <c r="LKK7" s="344"/>
      <c r="LKL7" s="344"/>
      <c r="LKM7" s="136"/>
      <c r="LKN7" s="137"/>
      <c r="LKO7" s="137"/>
      <c r="LKP7" s="136"/>
      <c r="LKQ7" s="344"/>
      <c r="LKR7" s="344"/>
      <c r="LKS7" s="344"/>
      <c r="LKT7" s="344"/>
      <c r="LKU7" s="136"/>
      <c r="LKV7" s="137"/>
      <c r="LKW7" s="137"/>
      <c r="LKX7" s="136"/>
      <c r="LKY7" s="344"/>
      <c r="LKZ7" s="344"/>
      <c r="LLA7" s="344"/>
      <c r="LLB7" s="344"/>
      <c r="LLC7" s="136"/>
      <c r="LLD7" s="137"/>
      <c r="LLE7" s="137"/>
      <c r="LLF7" s="136"/>
      <c r="LLG7" s="344"/>
      <c r="LLH7" s="344"/>
      <c r="LLI7" s="344"/>
      <c r="LLJ7" s="344"/>
      <c r="LLK7" s="136"/>
      <c r="LLL7" s="137"/>
      <c r="LLM7" s="137"/>
      <c r="LLN7" s="136"/>
      <c r="LLO7" s="344"/>
      <c r="LLP7" s="344"/>
      <c r="LLQ7" s="344"/>
      <c r="LLR7" s="344"/>
      <c r="LLS7" s="136"/>
      <c r="LLT7" s="137"/>
      <c r="LLU7" s="137"/>
      <c r="LLV7" s="136"/>
      <c r="LLW7" s="344"/>
      <c r="LLX7" s="344"/>
      <c r="LLY7" s="344"/>
      <c r="LLZ7" s="344"/>
      <c r="LMA7" s="136"/>
      <c r="LMB7" s="137"/>
      <c r="LMC7" s="137"/>
      <c r="LMD7" s="136"/>
      <c r="LME7" s="344"/>
      <c r="LMF7" s="344"/>
      <c r="LMG7" s="344"/>
      <c r="LMH7" s="344"/>
      <c r="LMI7" s="136"/>
      <c r="LMJ7" s="137"/>
      <c r="LMK7" s="137"/>
      <c r="LML7" s="136"/>
      <c r="LMM7" s="344"/>
      <c r="LMN7" s="344"/>
      <c r="LMO7" s="344"/>
      <c r="LMP7" s="344"/>
      <c r="LMQ7" s="136"/>
      <c r="LMR7" s="137"/>
      <c r="LMS7" s="137"/>
      <c r="LMT7" s="136"/>
      <c r="LMU7" s="344"/>
      <c r="LMV7" s="344"/>
      <c r="LMW7" s="344"/>
      <c r="LMX7" s="344"/>
      <c r="LMY7" s="136"/>
      <c r="LMZ7" s="137"/>
      <c r="LNA7" s="137"/>
      <c r="LNB7" s="136"/>
      <c r="LNC7" s="344"/>
      <c r="LND7" s="344"/>
      <c r="LNE7" s="344"/>
      <c r="LNF7" s="344"/>
      <c r="LNG7" s="136"/>
      <c r="LNH7" s="137"/>
      <c r="LNI7" s="137"/>
      <c r="LNJ7" s="136"/>
      <c r="LNK7" s="344"/>
      <c r="LNL7" s="344"/>
      <c r="LNM7" s="344"/>
      <c r="LNN7" s="344"/>
      <c r="LNO7" s="136"/>
      <c r="LNP7" s="137"/>
      <c r="LNQ7" s="137"/>
      <c r="LNR7" s="136"/>
      <c r="LNS7" s="344"/>
      <c r="LNT7" s="344"/>
      <c r="LNU7" s="344"/>
      <c r="LNV7" s="344"/>
      <c r="LNW7" s="136"/>
      <c r="LNX7" s="137"/>
      <c r="LNY7" s="137"/>
      <c r="LNZ7" s="136"/>
      <c r="LOA7" s="344"/>
      <c r="LOB7" s="344"/>
      <c r="LOC7" s="344"/>
      <c r="LOD7" s="344"/>
      <c r="LOE7" s="136"/>
      <c r="LOF7" s="137"/>
      <c r="LOG7" s="137"/>
      <c r="LOH7" s="136"/>
      <c r="LOI7" s="344"/>
      <c r="LOJ7" s="344"/>
      <c r="LOK7" s="344"/>
      <c r="LOL7" s="344"/>
      <c r="LOM7" s="136"/>
      <c r="LON7" s="137"/>
      <c r="LOO7" s="137"/>
      <c r="LOP7" s="136"/>
      <c r="LOQ7" s="344"/>
      <c r="LOR7" s="344"/>
      <c r="LOS7" s="344"/>
      <c r="LOT7" s="344"/>
      <c r="LOU7" s="136"/>
      <c r="LOV7" s="137"/>
      <c r="LOW7" s="137"/>
      <c r="LOX7" s="136"/>
      <c r="LOY7" s="344"/>
      <c r="LOZ7" s="344"/>
      <c r="LPA7" s="344"/>
      <c r="LPB7" s="344"/>
      <c r="LPC7" s="136"/>
      <c r="LPD7" s="137"/>
      <c r="LPE7" s="137"/>
      <c r="LPF7" s="136"/>
      <c r="LPG7" s="344"/>
      <c r="LPH7" s="344"/>
      <c r="LPI7" s="344"/>
      <c r="LPJ7" s="344"/>
      <c r="LPK7" s="136"/>
      <c r="LPL7" s="137"/>
      <c r="LPM7" s="137"/>
      <c r="LPN7" s="136"/>
      <c r="LPO7" s="344"/>
      <c r="LPP7" s="344"/>
      <c r="LPQ7" s="344"/>
      <c r="LPR7" s="344"/>
      <c r="LPS7" s="136"/>
      <c r="LPT7" s="137"/>
      <c r="LPU7" s="137"/>
      <c r="LPV7" s="136"/>
      <c r="LPW7" s="344"/>
      <c r="LPX7" s="344"/>
      <c r="LPY7" s="344"/>
      <c r="LPZ7" s="344"/>
      <c r="LQA7" s="136"/>
      <c r="LQB7" s="137"/>
      <c r="LQC7" s="137"/>
      <c r="LQD7" s="136"/>
      <c r="LQE7" s="344"/>
      <c r="LQF7" s="344"/>
      <c r="LQG7" s="344"/>
      <c r="LQH7" s="344"/>
      <c r="LQI7" s="136"/>
      <c r="LQJ7" s="137"/>
      <c r="LQK7" s="137"/>
      <c r="LQL7" s="136"/>
      <c r="LQM7" s="344"/>
      <c r="LQN7" s="344"/>
      <c r="LQO7" s="344"/>
      <c r="LQP7" s="344"/>
      <c r="LQQ7" s="136"/>
      <c r="LQR7" s="137"/>
      <c r="LQS7" s="137"/>
      <c r="LQT7" s="136"/>
      <c r="LQU7" s="344"/>
      <c r="LQV7" s="344"/>
      <c r="LQW7" s="344"/>
      <c r="LQX7" s="344"/>
      <c r="LQY7" s="136"/>
      <c r="LQZ7" s="137"/>
      <c r="LRA7" s="137"/>
      <c r="LRB7" s="136"/>
      <c r="LRC7" s="344"/>
      <c r="LRD7" s="344"/>
      <c r="LRE7" s="344"/>
      <c r="LRF7" s="344"/>
      <c r="LRG7" s="136"/>
      <c r="LRH7" s="137"/>
      <c r="LRI7" s="137"/>
      <c r="LRJ7" s="136"/>
      <c r="LRK7" s="344"/>
      <c r="LRL7" s="344"/>
      <c r="LRM7" s="344"/>
      <c r="LRN7" s="344"/>
      <c r="LRO7" s="136"/>
      <c r="LRP7" s="137"/>
      <c r="LRQ7" s="137"/>
      <c r="LRR7" s="136"/>
      <c r="LRS7" s="344"/>
      <c r="LRT7" s="344"/>
      <c r="LRU7" s="344"/>
      <c r="LRV7" s="344"/>
      <c r="LRW7" s="136"/>
      <c r="LRX7" s="137"/>
      <c r="LRY7" s="137"/>
      <c r="LRZ7" s="136"/>
      <c r="LSA7" s="344"/>
      <c r="LSB7" s="344"/>
      <c r="LSC7" s="344"/>
      <c r="LSD7" s="344"/>
      <c r="LSE7" s="136"/>
      <c r="LSF7" s="137"/>
      <c r="LSG7" s="137"/>
      <c r="LSH7" s="136"/>
      <c r="LSI7" s="344"/>
      <c r="LSJ7" s="344"/>
      <c r="LSK7" s="344"/>
      <c r="LSL7" s="344"/>
      <c r="LSM7" s="136"/>
      <c r="LSN7" s="137"/>
      <c r="LSO7" s="137"/>
      <c r="LSP7" s="136"/>
      <c r="LSQ7" s="344"/>
      <c r="LSR7" s="344"/>
      <c r="LSS7" s="344"/>
      <c r="LST7" s="344"/>
      <c r="LSU7" s="136"/>
      <c r="LSV7" s="137"/>
      <c r="LSW7" s="137"/>
      <c r="LSX7" s="136"/>
      <c r="LSY7" s="344"/>
      <c r="LSZ7" s="344"/>
      <c r="LTA7" s="344"/>
      <c r="LTB7" s="344"/>
      <c r="LTC7" s="136"/>
      <c r="LTD7" s="137"/>
      <c r="LTE7" s="137"/>
      <c r="LTF7" s="136"/>
      <c r="LTG7" s="344"/>
      <c r="LTH7" s="344"/>
      <c r="LTI7" s="344"/>
      <c r="LTJ7" s="344"/>
      <c r="LTK7" s="136"/>
      <c r="LTL7" s="137"/>
      <c r="LTM7" s="137"/>
      <c r="LTN7" s="136"/>
      <c r="LTO7" s="344"/>
      <c r="LTP7" s="344"/>
      <c r="LTQ7" s="344"/>
      <c r="LTR7" s="344"/>
      <c r="LTS7" s="136"/>
      <c r="LTT7" s="137"/>
      <c r="LTU7" s="137"/>
      <c r="LTV7" s="136"/>
      <c r="LTW7" s="344"/>
      <c r="LTX7" s="344"/>
      <c r="LTY7" s="344"/>
      <c r="LTZ7" s="344"/>
      <c r="LUA7" s="136"/>
      <c r="LUB7" s="137"/>
      <c r="LUC7" s="137"/>
      <c r="LUD7" s="136"/>
      <c r="LUE7" s="344"/>
      <c r="LUF7" s="344"/>
      <c r="LUG7" s="344"/>
      <c r="LUH7" s="344"/>
      <c r="LUI7" s="136"/>
      <c r="LUJ7" s="137"/>
      <c r="LUK7" s="137"/>
      <c r="LUL7" s="136"/>
      <c r="LUM7" s="344"/>
      <c r="LUN7" s="344"/>
      <c r="LUO7" s="344"/>
      <c r="LUP7" s="344"/>
      <c r="LUQ7" s="136"/>
      <c r="LUR7" s="137"/>
      <c r="LUS7" s="137"/>
      <c r="LUT7" s="136"/>
      <c r="LUU7" s="344"/>
      <c r="LUV7" s="344"/>
      <c r="LUW7" s="344"/>
      <c r="LUX7" s="344"/>
      <c r="LUY7" s="136"/>
      <c r="LUZ7" s="137"/>
      <c r="LVA7" s="137"/>
      <c r="LVB7" s="136"/>
      <c r="LVC7" s="344"/>
      <c r="LVD7" s="344"/>
      <c r="LVE7" s="344"/>
      <c r="LVF7" s="344"/>
      <c r="LVG7" s="136"/>
      <c r="LVH7" s="137"/>
      <c r="LVI7" s="137"/>
      <c r="LVJ7" s="136"/>
      <c r="LVK7" s="344"/>
      <c r="LVL7" s="344"/>
      <c r="LVM7" s="344"/>
      <c r="LVN7" s="344"/>
      <c r="LVO7" s="136"/>
      <c r="LVP7" s="137"/>
      <c r="LVQ7" s="137"/>
      <c r="LVR7" s="136"/>
      <c r="LVS7" s="344"/>
      <c r="LVT7" s="344"/>
      <c r="LVU7" s="344"/>
      <c r="LVV7" s="344"/>
      <c r="LVW7" s="136"/>
      <c r="LVX7" s="137"/>
      <c r="LVY7" s="137"/>
      <c r="LVZ7" s="136"/>
      <c r="LWA7" s="344"/>
      <c r="LWB7" s="344"/>
      <c r="LWC7" s="344"/>
      <c r="LWD7" s="344"/>
      <c r="LWE7" s="136"/>
      <c r="LWF7" s="137"/>
      <c r="LWG7" s="137"/>
      <c r="LWH7" s="136"/>
      <c r="LWI7" s="344"/>
      <c r="LWJ7" s="344"/>
      <c r="LWK7" s="344"/>
      <c r="LWL7" s="344"/>
      <c r="LWM7" s="136"/>
      <c r="LWN7" s="137"/>
      <c r="LWO7" s="137"/>
      <c r="LWP7" s="136"/>
      <c r="LWQ7" s="344"/>
      <c r="LWR7" s="344"/>
      <c r="LWS7" s="344"/>
      <c r="LWT7" s="344"/>
      <c r="LWU7" s="136"/>
      <c r="LWV7" s="137"/>
      <c r="LWW7" s="137"/>
      <c r="LWX7" s="136"/>
      <c r="LWY7" s="344"/>
      <c r="LWZ7" s="344"/>
      <c r="LXA7" s="344"/>
      <c r="LXB7" s="344"/>
      <c r="LXC7" s="136"/>
      <c r="LXD7" s="137"/>
      <c r="LXE7" s="137"/>
      <c r="LXF7" s="136"/>
      <c r="LXG7" s="344"/>
      <c r="LXH7" s="344"/>
      <c r="LXI7" s="344"/>
      <c r="LXJ7" s="344"/>
      <c r="LXK7" s="136"/>
      <c r="LXL7" s="137"/>
      <c r="LXM7" s="137"/>
      <c r="LXN7" s="136"/>
      <c r="LXO7" s="344"/>
      <c r="LXP7" s="344"/>
      <c r="LXQ7" s="344"/>
      <c r="LXR7" s="344"/>
      <c r="LXS7" s="136"/>
      <c r="LXT7" s="137"/>
      <c r="LXU7" s="137"/>
      <c r="LXV7" s="136"/>
      <c r="LXW7" s="344"/>
      <c r="LXX7" s="344"/>
      <c r="LXY7" s="344"/>
      <c r="LXZ7" s="344"/>
      <c r="LYA7" s="136"/>
      <c r="LYB7" s="137"/>
      <c r="LYC7" s="137"/>
      <c r="LYD7" s="136"/>
      <c r="LYE7" s="344"/>
      <c r="LYF7" s="344"/>
      <c r="LYG7" s="344"/>
      <c r="LYH7" s="344"/>
      <c r="LYI7" s="136"/>
      <c r="LYJ7" s="137"/>
      <c r="LYK7" s="137"/>
      <c r="LYL7" s="136"/>
      <c r="LYM7" s="344"/>
      <c r="LYN7" s="344"/>
      <c r="LYO7" s="344"/>
      <c r="LYP7" s="344"/>
      <c r="LYQ7" s="136"/>
      <c r="LYR7" s="137"/>
      <c r="LYS7" s="137"/>
      <c r="LYT7" s="136"/>
      <c r="LYU7" s="344"/>
      <c r="LYV7" s="344"/>
      <c r="LYW7" s="344"/>
      <c r="LYX7" s="344"/>
      <c r="LYY7" s="136"/>
      <c r="LYZ7" s="137"/>
      <c r="LZA7" s="137"/>
      <c r="LZB7" s="136"/>
      <c r="LZC7" s="344"/>
      <c r="LZD7" s="344"/>
      <c r="LZE7" s="344"/>
      <c r="LZF7" s="344"/>
      <c r="LZG7" s="136"/>
      <c r="LZH7" s="137"/>
      <c r="LZI7" s="137"/>
      <c r="LZJ7" s="136"/>
      <c r="LZK7" s="344"/>
      <c r="LZL7" s="344"/>
      <c r="LZM7" s="344"/>
      <c r="LZN7" s="344"/>
      <c r="LZO7" s="136"/>
      <c r="LZP7" s="137"/>
      <c r="LZQ7" s="137"/>
      <c r="LZR7" s="136"/>
      <c r="LZS7" s="344"/>
      <c r="LZT7" s="344"/>
      <c r="LZU7" s="344"/>
      <c r="LZV7" s="344"/>
      <c r="LZW7" s="136"/>
      <c r="LZX7" s="137"/>
      <c r="LZY7" s="137"/>
      <c r="LZZ7" s="136"/>
      <c r="MAA7" s="344"/>
      <c r="MAB7" s="344"/>
      <c r="MAC7" s="344"/>
      <c r="MAD7" s="344"/>
      <c r="MAE7" s="136"/>
      <c r="MAF7" s="137"/>
      <c r="MAG7" s="137"/>
      <c r="MAH7" s="136"/>
      <c r="MAI7" s="344"/>
      <c r="MAJ7" s="344"/>
      <c r="MAK7" s="344"/>
      <c r="MAL7" s="344"/>
      <c r="MAM7" s="136"/>
      <c r="MAN7" s="137"/>
      <c r="MAO7" s="137"/>
      <c r="MAP7" s="136"/>
      <c r="MAQ7" s="344"/>
      <c r="MAR7" s="344"/>
      <c r="MAS7" s="344"/>
      <c r="MAT7" s="344"/>
      <c r="MAU7" s="136"/>
      <c r="MAV7" s="137"/>
      <c r="MAW7" s="137"/>
      <c r="MAX7" s="136"/>
      <c r="MAY7" s="344"/>
      <c r="MAZ7" s="344"/>
      <c r="MBA7" s="344"/>
      <c r="MBB7" s="344"/>
      <c r="MBC7" s="136"/>
      <c r="MBD7" s="137"/>
      <c r="MBE7" s="137"/>
      <c r="MBF7" s="136"/>
      <c r="MBG7" s="344"/>
      <c r="MBH7" s="344"/>
      <c r="MBI7" s="344"/>
      <c r="MBJ7" s="344"/>
      <c r="MBK7" s="136"/>
      <c r="MBL7" s="137"/>
      <c r="MBM7" s="137"/>
      <c r="MBN7" s="136"/>
      <c r="MBO7" s="344"/>
      <c r="MBP7" s="344"/>
      <c r="MBQ7" s="344"/>
      <c r="MBR7" s="344"/>
      <c r="MBS7" s="136"/>
      <c r="MBT7" s="137"/>
      <c r="MBU7" s="137"/>
      <c r="MBV7" s="136"/>
      <c r="MBW7" s="344"/>
      <c r="MBX7" s="344"/>
      <c r="MBY7" s="344"/>
      <c r="MBZ7" s="344"/>
      <c r="MCA7" s="136"/>
      <c r="MCB7" s="137"/>
      <c r="MCC7" s="137"/>
      <c r="MCD7" s="136"/>
      <c r="MCE7" s="344"/>
      <c r="MCF7" s="344"/>
      <c r="MCG7" s="344"/>
      <c r="MCH7" s="344"/>
      <c r="MCI7" s="136"/>
      <c r="MCJ7" s="137"/>
      <c r="MCK7" s="137"/>
      <c r="MCL7" s="136"/>
      <c r="MCM7" s="344"/>
      <c r="MCN7" s="344"/>
      <c r="MCO7" s="344"/>
      <c r="MCP7" s="344"/>
      <c r="MCQ7" s="136"/>
      <c r="MCR7" s="137"/>
      <c r="MCS7" s="137"/>
      <c r="MCT7" s="136"/>
      <c r="MCU7" s="344"/>
      <c r="MCV7" s="344"/>
      <c r="MCW7" s="344"/>
      <c r="MCX7" s="344"/>
      <c r="MCY7" s="136"/>
      <c r="MCZ7" s="137"/>
      <c r="MDA7" s="137"/>
      <c r="MDB7" s="136"/>
      <c r="MDC7" s="344"/>
      <c r="MDD7" s="344"/>
      <c r="MDE7" s="344"/>
      <c r="MDF7" s="344"/>
      <c r="MDG7" s="136"/>
      <c r="MDH7" s="137"/>
      <c r="MDI7" s="137"/>
      <c r="MDJ7" s="136"/>
      <c r="MDK7" s="344"/>
      <c r="MDL7" s="344"/>
      <c r="MDM7" s="344"/>
      <c r="MDN7" s="344"/>
      <c r="MDO7" s="136"/>
      <c r="MDP7" s="137"/>
      <c r="MDQ7" s="137"/>
      <c r="MDR7" s="136"/>
      <c r="MDS7" s="344"/>
      <c r="MDT7" s="344"/>
      <c r="MDU7" s="344"/>
      <c r="MDV7" s="344"/>
      <c r="MDW7" s="136"/>
      <c r="MDX7" s="137"/>
      <c r="MDY7" s="137"/>
      <c r="MDZ7" s="136"/>
      <c r="MEA7" s="344"/>
      <c r="MEB7" s="344"/>
      <c r="MEC7" s="344"/>
      <c r="MED7" s="344"/>
      <c r="MEE7" s="136"/>
      <c r="MEF7" s="137"/>
      <c r="MEG7" s="137"/>
      <c r="MEH7" s="136"/>
      <c r="MEI7" s="344"/>
      <c r="MEJ7" s="344"/>
      <c r="MEK7" s="344"/>
      <c r="MEL7" s="344"/>
      <c r="MEM7" s="136"/>
      <c r="MEN7" s="137"/>
      <c r="MEO7" s="137"/>
      <c r="MEP7" s="136"/>
      <c r="MEQ7" s="344"/>
      <c r="MER7" s="344"/>
      <c r="MES7" s="344"/>
      <c r="MET7" s="344"/>
      <c r="MEU7" s="136"/>
      <c r="MEV7" s="137"/>
      <c r="MEW7" s="137"/>
      <c r="MEX7" s="136"/>
      <c r="MEY7" s="344"/>
      <c r="MEZ7" s="344"/>
      <c r="MFA7" s="344"/>
      <c r="MFB7" s="344"/>
      <c r="MFC7" s="136"/>
      <c r="MFD7" s="137"/>
      <c r="MFE7" s="137"/>
      <c r="MFF7" s="136"/>
      <c r="MFG7" s="344"/>
      <c r="MFH7" s="344"/>
      <c r="MFI7" s="344"/>
      <c r="MFJ7" s="344"/>
      <c r="MFK7" s="136"/>
      <c r="MFL7" s="137"/>
      <c r="MFM7" s="137"/>
      <c r="MFN7" s="136"/>
      <c r="MFO7" s="344"/>
      <c r="MFP7" s="344"/>
      <c r="MFQ7" s="344"/>
      <c r="MFR7" s="344"/>
      <c r="MFS7" s="136"/>
      <c r="MFT7" s="137"/>
      <c r="MFU7" s="137"/>
      <c r="MFV7" s="136"/>
      <c r="MFW7" s="344"/>
      <c r="MFX7" s="344"/>
      <c r="MFY7" s="344"/>
      <c r="MFZ7" s="344"/>
      <c r="MGA7" s="136"/>
      <c r="MGB7" s="137"/>
      <c r="MGC7" s="137"/>
      <c r="MGD7" s="136"/>
      <c r="MGE7" s="344"/>
      <c r="MGF7" s="344"/>
      <c r="MGG7" s="344"/>
      <c r="MGH7" s="344"/>
      <c r="MGI7" s="136"/>
      <c r="MGJ7" s="137"/>
      <c r="MGK7" s="137"/>
      <c r="MGL7" s="136"/>
      <c r="MGM7" s="344"/>
      <c r="MGN7" s="344"/>
      <c r="MGO7" s="344"/>
      <c r="MGP7" s="344"/>
      <c r="MGQ7" s="136"/>
      <c r="MGR7" s="137"/>
      <c r="MGS7" s="137"/>
      <c r="MGT7" s="136"/>
      <c r="MGU7" s="344"/>
      <c r="MGV7" s="344"/>
      <c r="MGW7" s="344"/>
      <c r="MGX7" s="344"/>
      <c r="MGY7" s="136"/>
      <c r="MGZ7" s="137"/>
      <c r="MHA7" s="137"/>
      <c r="MHB7" s="136"/>
      <c r="MHC7" s="344"/>
      <c r="MHD7" s="344"/>
      <c r="MHE7" s="344"/>
      <c r="MHF7" s="344"/>
      <c r="MHG7" s="136"/>
      <c r="MHH7" s="137"/>
      <c r="MHI7" s="137"/>
      <c r="MHJ7" s="136"/>
      <c r="MHK7" s="344"/>
      <c r="MHL7" s="344"/>
      <c r="MHM7" s="344"/>
      <c r="MHN7" s="344"/>
      <c r="MHO7" s="136"/>
      <c r="MHP7" s="137"/>
      <c r="MHQ7" s="137"/>
      <c r="MHR7" s="136"/>
      <c r="MHS7" s="344"/>
      <c r="MHT7" s="344"/>
      <c r="MHU7" s="344"/>
      <c r="MHV7" s="344"/>
      <c r="MHW7" s="136"/>
      <c r="MHX7" s="137"/>
      <c r="MHY7" s="137"/>
      <c r="MHZ7" s="136"/>
      <c r="MIA7" s="344"/>
      <c r="MIB7" s="344"/>
      <c r="MIC7" s="344"/>
      <c r="MID7" s="344"/>
      <c r="MIE7" s="136"/>
      <c r="MIF7" s="137"/>
      <c r="MIG7" s="137"/>
      <c r="MIH7" s="136"/>
      <c r="MII7" s="344"/>
      <c r="MIJ7" s="344"/>
      <c r="MIK7" s="344"/>
      <c r="MIL7" s="344"/>
      <c r="MIM7" s="136"/>
      <c r="MIN7" s="137"/>
      <c r="MIO7" s="137"/>
      <c r="MIP7" s="136"/>
      <c r="MIQ7" s="344"/>
      <c r="MIR7" s="344"/>
      <c r="MIS7" s="344"/>
      <c r="MIT7" s="344"/>
      <c r="MIU7" s="136"/>
      <c r="MIV7" s="137"/>
      <c r="MIW7" s="137"/>
      <c r="MIX7" s="136"/>
      <c r="MIY7" s="344"/>
      <c r="MIZ7" s="344"/>
      <c r="MJA7" s="344"/>
      <c r="MJB7" s="344"/>
      <c r="MJC7" s="136"/>
      <c r="MJD7" s="137"/>
      <c r="MJE7" s="137"/>
      <c r="MJF7" s="136"/>
      <c r="MJG7" s="344"/>
      <c r="MJH7" s="344"/>
      <c r="MJI7" s="344"/>
      <c r="MJJ7" s="344"/>
      <c r="MJK7" s="136"/>
      <c r="MJL7" s="137"/>
      <c r="MJM7" s="137"/>
      <c r="MJN7" s="136"/>
      <c r="MJO7" s="344"/>
      <c r="MJP7" s="344"/>
      <c r="MJQ7" s="344"/>
      <c r="MJR7" s="344"/>
      <c r="MJS7" s="136"/>
      <c r="MJT7" s="137"/>
      <c r="MJU7" s="137"/>
      <c r="MJV7" s="136"/>
      <c r="MJW7" s="344"/>
      <c r="MJX7" s="344"/>
      <c r="MJY7" s="344"/>
      <c r="MJZ7" s="344"/>
      <c r="MKA7" s="136"/>
      <c r="MKB7" s="137"/>
      <c r="MKC7" s="137"/>
      <c r="MKD7" s="136"/>
      <c r="MKE7" s="344"/>
      <c r="MKF7" s="344"/>
      <c r="MKG7" s="344"/>
      <c r="MKH7" s="344"/>
      <c r="MKI7" s="136"/>
      <c r="MKJ7" s="137"/>
      <c r="MKK7" s="137"/>
      <c r="MKL7" s="136"/>
      <c r="MKM7" s="344"/>
      <c r="MKN7" s="344"/>
      <c r="MKO7" s="344"/>
      <c r="MKP7" s="344"/>
      <c r="MKQ7" s="136"/>
      <c r="MKR7" s="137"/>
      <c r="MKS7" s="137"/>
      <c r="MKT7" s="136"/>
      <c r="MKU7" s="344"/>
      <c r="MKV7" s="344"/>
      <c r="MKW7" s="344"/>
      <c r="MKX7" s="344"/>
      <c r="MKY7" s="136"/>
      <c r="MKZ7" s="137"/>
      <c r="MLA7" s="137"/>
      <c r="MLB7" s="136"/>
      <c r="MLC7" s="344"/>
      <c r="MLD7" s="344"/>
      <c r="MLE7" s="344"/>
      <c r="MLF7" s="344"/>
      <c r="MLG7" s="136"/>
      <c r="MLH7" s="137"/>
      <c r="MLI7" s="137"/>
      <c r="MLJ7" s="136"/>
      <c r="MLK7" s="344"/>
      <c r="MLL7" s="344"/>
      <c r="MLM7" s="344"/>
      <c r="MLN7" s="344"/>
      <c r="MLO7" s="136"/>
      <c r="MLP7" s="137"/>
      <c r="MLQ7" s="137"/>
      <c r="MLR7" s="136"/>
      <c r="MLS7" s="344"/>
      <c r="MLT7" s="344"/>
      <c r="MLU7" s="344"/>
      <c r="MLV7" s="344"/>
      <c r="MLW7" s="136"/>
      <c r="MLX7" s="137"/>
      <c r="MLY7" s="137"/>
      <c r="MLZ7" s="136"/>
      <c r="MMA7" s="344"/>
      <c r="MMB7" s="344"/>
      <c r="MMC7" s="344"/>
      <c r="MMD7" s="344"/>
      <c r="MME7" s="136"/>
      <c r="MMF7" s="137"/>
      <c r="MMG7" s="137"/>
      <c r="MMH7" s="136"/>
      <c r="MMI7" s="344"/>
      <c r="MMJ7" s="344"/>
      <c r="MMK7" s="344"/>
      <c r="MML7" s="344"/>
      <c r="MMM7" s="136"/>
      <c r="MMN7" s="137"/>
      <c r="MMO7" s="137"/>
      <c r="MMP7" s="136"/>
      <c r="MMQ7" s="344"/>
      <c r="MMR7" s="344"/>
      <c r="MMS7" s="344"/>
      <c r="MMT7" s="344"/>
      <c r="MMU7" s="136"/>
      <c r="MMV7" s="137"/>
      <c r="MMW7" s="137"/>
      <c r="MMX7" s="136"/>
      <c r="MMY7" s="344"/>
      <c r="MMZ7" s="344"/>
      <c r="MNA7" s="344"/>
      <c r="MNB7" s="344"/>
      <c r="MNC7" s="136"/>
      <c r="MND7" s="137"/>
      <c r="MNE7" s="137"/>
      <c r="MNF7" s="136"/>
      <c r="MNG7" s="344"/>
      <c r="MNH7" s="344"/>
      <c r="MNI7" s="344"/>
      <c r="MNJ7" s="344"/>
      <c r="MNK7" s="136"/>
      <c r="MNL7" s="137"/>
      <c r="MNM7" s="137"/>
      <c r="MNN7" s="136"/>
      <c r="MNO7" s="344"/>
      <c r="MNP7" s="344"/>
      <c r="MNQ7" s="344"/>
      <c r="MNR7" s="344"/>
      <c r="MNS7" s="136"/>
      <c r="MNT7" s="137"/>
      <c r="MNU7" s="137"/>
      <c r="MNV7" s="136"/>
      <c r="MNW7" s="344"/>
      <c r="MNX7" s="344"/>
      <c r="MNY7" s="344"/>
      <c r="MNZ7" s="344"/>
      <c r="MOA7" s="136"/>
      <c r="MOB7" s="137"/>
      <c r="MOC7" s="137"/>
      <c r="MOD7" s="136"/>
      <c r="MOE7" s="344"/>
      <c r="MOF7" s="344"/>
      <c r="MOG7" s="344"/>
      <c r="MOH7" s="344"/>
      <c r="MOI7" s="136"/>
      <c r="MOJ7" s="137"/>
      <c r="MOK7" s="137"/>
      <c r="MOL7" s="136"/>
      <c r="MOM7" s="344"/>
      <c r="MON7" s="344"/>
      <c r="MOO7" s="344"/>
      <c r="MOP7" s="344"/>
      <c r="MOQ7" s="136"/>
      <c r="MOR7" s="137"/>
      <c r="MOS7" s="137"/>
      <c r="MOT7" s="136"/>
      <c r="MOU7" s="344"/>
      <c r="MOV7" s="344"/>
      <c r="MOW7" s="344"/>
      <c r="MOX7" s="344"/>
      <c r="MOY7" s="136"/>
      <c r="MOZ7" s="137"/>
      <c r="MPA7" s="137"/>
      <c r="MPB7" s="136"/>
      <c r="MPC7" s="344"/>
      <c r="MPD7" s="344"/>
      <c r="MPE7" s="344"/>
      <c r="MPF7" s="344"/>
      <c r="MPG7" s="136"/>
      <c r="MPH7" s="137"/>
      <c r="MPI7" s="137"/>
      <c r="MPJ7" s="136"/>
      <c r="MPK7" s="344"/>
      <c r="MPL7" s="344"/>
      <c r="MPM7" s="344"/>
      <c r="MPN7" s="344"/>
      <c r="MPO7" s="136"/>
      <c r="MPP7" s="137"/>
      <c r="MPQ7" s="137"/>
      <c r="MPR7" s="136"/>
      <c r="MPS7" s="344"/>
      <c r="MPT7" s="344"/>
      <c r="MPU7" s="344"/>
      <c r="MPV7" s="344"/>
      <c r="MPW7" s="136"/>
      <c r="MPX7" s="137"/>
      <c r="MPY7" s="137"/>
      <c r="MPZ7" s="136"/>
      <c r="MQA7" s="344"/>
      <c r="MQB7" s="344"/>
      <c r="MQC7" s="344"/>
      <c r="MQD7" s="344"/>
      <c r="MQE7" s="136"/>
      <c r="MQF7" s="137"/>
      <c r="MQG7" s="137"/>
      <c r="MQH7" s="136"/>
      <c r="MQI7" s="344"/>
      <c r="MQJ7" s="344"/>
      <c r="MQK7" s="344"/>
      <c r="MQL7" s="344"/>
      <c r="MQM7" s="136"/>
      <c r="MQN7" s="137"/>
      <c r="MQO7" s="137"/>
      <c r="MQP7" s="136"/>
      <c r="MQQ7" s="344"/>
      <c r="MQR7" s="344"/>
      <c r="MQS7" s="344"/>
      <c r="MQT7" s="344"/>
      <c r="MQU7" s="136"/>
      <c r="MQV7" s="137"/>
      <c r="MQW7" s="137"/>
      <c r="MQX7" s="136"/>
      <c r="MQY7" s="344"/>
      <c r="MQZ7" s="344"/>
      <c r="MRA7" s="344"/>
      <c r="MRB7" s="344"/>
      <c r="MRC7" s="136"/>
      <c r="MRD7" s="137"/>
      <c r="MRE7" s="137"/>
      <c r="MRF7" s="136"/>
      <c r="MRG7" s="344"/>
      <c r="MRH7" s="344"/>
      <c r="MRI7" s="344"/>
      <c r="MRJ7" s="344"/>
      <c r="MRK7" s="136"/>
      <c r="MRL7" s="137"/>
      <c r="MRM7" s="137"/>
      <c r="MRN7" s="136"/>
      <c r="MRO7" s="344"/>
      <c r="MRP7" s="344"/>
      <c r="MRQ7" s="344"/>
      <c r="MRR7" s="344"/>
      <c r="MRS7" s="136"/>
      <c r="MRT7" s="137"/>
      <c r="MRU7" s="137"/>
      <c r="MRV7" s="136"/>
      <c r="MRW7" s="344"/>
      <c r="MRX7" s="344"/>
      <c r="MRY7" s="344"/>
      <c r="MRZ7" s="344"/>
      <c r="MSA7" s="136"/>
      <c r="MSB7" s="137"/>
      <c r="MSC7" s="137"/>
      <c r="MSD7" s="136"/>
      <c r="MSE7" s="344"/>
      <c r="MSF7" s="344"/>
      <c r="MSG7" s="344"/>
      <c r="MSH7" s="344"/>
      <c r="MSI7" s="136"/>
      <c r="MSJ7" s="137"/>
      <c r="MSK7" s="137"/>
      <c r="MSL7" s="136"/>
      <c r="MSM7" s="344"/>
      <c r="MSN7" s="344"/>
      <c r="MSO7" s="344"/>
      <c r="MSP7" s="344"/>
      <c r="MSQ7" s="136"/>
      <c r="MSR7" s="137"/>
      <c r="MSS7" s="137"/>
      <c r="MST7" s="136"/>
      <c r="MSU7" s="344"/>
      <c r="MSV7" s="344"/>
      <c r="MSW7" s="344"/>
      <c r="MSX7" s="344"/>
      <c r="MSY7" s="136"/>
      <c r="MSZ7" s="137"/>
      <c r="MTA7" s="137"/>
      <c r="MTB7" s="136"/>
      <c r="MTC7" s="344"/>
      <c r="MTD7" s="344"/>
      <c r="MTE7" s="344"/>
      <c r="MTF7" s="344"/>
      <c r="MTG7" s="136"/>
      <c r="MTH7" s="137"/>
      <c r="MTI7" s="137"/>
      <c r="MTJ7" s="136"/>
      <c r="MTK7" s="344"/>
      <c r="MTL7" s="344"/>
      <c r="MTM7" s="344"/>
      <c r="MTN7" s="344"/>
      <c r="MTO7" s="136"/>
      <c r="MTP7" s="137"/>
      <c r="MTQ7" s="137"/>
      <c r="MTR7" s="136"/>
      <c r="MTS7" s="344"/>
      <c r="MTT7" s="344"/>
      <c r="MTU7" s="344"/>
      <c r="MTV7" s="344"/>
      <c r="MTW7" s="136"/>
      <c r="MTX7" s="137"/>
      <c r="MTY7" s="137"/>
      <c r="MTZ7" s="136"/>
      <c r="MUA7" s="344"/>
      <c r="MUB7" s="344"/>
      <c r="MUC7" s="344"/>
      <c r="MUD7" s="344"/>
      <c r="MUE7" s="136"/>
      <c r="MUF7" s="137"/>
      <c r="MUG7" s="137"/>
      <c r="MUH7" s="136"/>
      <c r="MUI7" s="344"/>
      <c r="MUJ7" s="344"/>
      <c r="MUK7" s="344"/>
      <c r="MUL7" s="344"/>
      <c r="MUM7" s="136"/>
      <c r="MUN7" s="137"/>
      <c r="MUO7" s="137"/>
      <c r="MUP7" s="136"/>
      <c r="MUQ7" s="344"/>
      <c r="MUR7" s="344"/>
      <c r="MUS7" s="344"/>
      <c r="MUT7" s="344"/>
      <c r="MUU7" s="136"/>
      <c r="MUV7" s="137"/>
      <c r="MUW7" s="137"/>
      <c r="MUX7" s="136"/>
      <c r="MUY7" s="344"/>
      <c r="MUZ7" s="344"/>
      <c r="MVA7" s="344"/>
      <c r="MVB7" s="344"/>
      <c r="MVC7" s="136"/>
      <c r="MVD7" s="137"/>
      <c r="MVE7" s="137"/>
      <c r="MVF7" s="136"/>
      <c r="MVG7" s="344"/>
      <c r="MVH7" s="344"/>
      <c r="MVI7" s="344"/>
      <c r="MVJ7" s="344"/>
      <c r="MVK7" s="136"/>
      <c r="MVL7" s="137"/>
      <c r="MVM7" s="137"/>
      <c r="MVN7" s="136"/>
      <c r="MVO7" s="344"/>
      <c r="MVP7" s="344"/>
      <c r="MVQ7" s="344"/>
      <c r="MVR7" s="344"/>
      <c r="MVS7" s="136"/>
      <c r="MVT7" s="137"/>
      <c r="MVU7" s="137"/>
      <c r="MVV7" s="136"/>
      <c r="MVW7" s="344"/>
      <c r="MVX7" s="344"/>
      <c r="MVY7" s="344"/>
      <c r="MVZ7" s="344"/>
      <c r="MWA7" s="136"/>
      <c r="MWB7" s="137"/>
      <c r="MWC7" s="137"/>
      <c r="MWD7" s="136"/>
      <c r="MWE7" s="344"/>
      <c r="MWF7" s="344"/>
      <c r="MWG7" s="344"/>
      <c r="MWH7" s="344"/>
      <c r="MWI7" s="136"/>
      <c r="MWJ7" s="137"/>
      <c r="MWK7" s="137"/>
      <c r="MWL7" s="136"/>
      <c r="MWM7" s="344"/>
      <c r="MWN7" s="344"/>
      <c r="MWO7" s="344"/>
      <c r="MWP7" s="344"/>
      <c r="MWQ7" s="136"/>
      <c r="MWR7" s="137"/>
      <c r="MWS7" s="137"/>
      <c r="MWT7" s="136"/>
      <c r="MWU7" s="344"/>
      <c r="MWV7" s="344"/>
      <c r="MWW7" s="344"/>
      <c r="MWX7" s="344"/>
      <c r="MWY7" s="136"/>
      <c r="MWZ7" s="137"/>
      <c r="MXA7" s="137"/>
      <c r="MXB7" s="136"/>
      <c r="MXC7" s="344"/>
      <c r="MXD7" s="344"/>
      <c r="MXE7" s="344"/>
      <c r="MXF7" s="344"/>
      <c r="MXG7" s="136"/>
      <c r="MXH7" s="137"/>
      <c r="MXI7" s="137"/>
      <c r="MXJ7" s="136"/>
      <c r="MXK7" s="344"/>
      <c r="MXL7" s="344"/>
      <c r="MXM7" s="344"/>
      <c r="MXN7" s="344"/>
      <c r="MXO7" s="136"/>
      <c r="MXP7" s="137"/>
      <c r="MXQ7" s="137"/>
      <c r="MXR7" s="136"/>
      <c r="MXS7" s="344"/>
      <c r="MXT7" s="344"/>
      <c r="MXU7" s="344"/>
      <c r="MXV7" s="344"/>
      <c r="MXW7" s="136"/>
      <c r="MXX7" s="137"/>
      <c r="MXY7" s="137"/>
      <c r="MXZ7" s="136"/>
      <c r="MYA7" s="344"/>
      <c r="MYB7" s="344"/>
      <c r="MYC7" s="344"/>
      <c r="MYD7" s="344"/>
      <c r="MYE7" s="136"/>
      <c r="MYF7" s="137"/>
      <c r="MYG7" s="137"/>
      <c r="MYH7" s="136"/>
      <c r="MYI7" s="344"/>
      <c r="MYJ7" s="344"/>
      <c r="MYK7" s="344"/>
      <c r="MYL7" s="344"/>
      <c r="MYM7" s="136"/>
      <c r="MYN7" s="137"/>
      <c r="MYO7" s="137"/>
      <c r="MYP7" s="136"/>
      <c r="MYQ7" s="344"/>
      <c r="MYR7" s="344"/>
      <c r="MYS7" s="344"/>
      <c r="MYT7" s="344"/>
      <c r="MYU7" s="136"/>
      <c r="MYV7" s="137"/>
      <c r="MYW7" s="137"/>
      <c r="MYX7" s="136"/>
      <c r="MYY7" s="344"/>
      <c r="MYZ7" s="344"/>
      <c r="MZA7" s="344"/>
      <c r="MZB7" s="344"/>
      <c r="MZC7" s="136"/>
      <c r="MZD7" s="137"/>
      <c r="MZE7" s="137"/>
      <c r="MZF7" s="136"/>
      <c r="MZG7" s="344"/>
      <c r="MZH7" s="344"/>
      <c r="MZI7" s="344"/>
      <c r="MZJ7" s="344"/>
      <c r="MZK7" s="136"/>
      <c r="MZL7" s="137"/>
      <c r="MZM7" s="137"/>
      <c r="MZN7" s="136"/>
      <c r="MZO7" s="344"/>
      <c r="MZP7" s="344"/>
      <c r="MZQ7" s="344"/>
      <c r="MZR7" s="344"/>
      <c r="MZS7" s="136"/>
      <c r="MZT7" s="137"/>
      <c r="MZU7" s="137"/>
      <c r="MZV7" s="136"/>
      <c r="MZW7" s="344"/>
      <c r="MZX7" s="344"/>
      <c r="MZY7" s="344"/>
      <c r="MZZ7" s="344"/>
      <c r="NAA7" s="136"/>
      <c r="NAB7" s="137"/>
      <c r="NAC7" s="137"/>
      <c r="NAD7" s="136"/>
      <c r="NAE7" s="344"/>
      <c r="NAF7" s="344"/>
      <c r="NAG7" s="344"/>
      <c r="NAH7" s="344"/>
      <c r="NAI7" s="136"/>
      <c r="NAJ7" s="137"/>
      <c r="NAK7" s="137"/>
      <c r="NAL7" s="136"/>
      <c r="NAM7" s="344"/>
      <c r="NAN7" s="344"/>
      <c r="NAO7" s="344"/>
      <c r="NAP7" s="344"/>
      <c r="NAQ7" s="136"/>
      <c r="NAR7" s="137"/>
      <c r="NAS7" s="137"/>
      <c r="NAT7" s="136"/>
      <c r="NAU7" s="344"/>
      <c r="NAV7" s="344"/>
      <c r="NAW7" s="344"/>
      <c r="NAX7" s="344"/>
      <c r="NAY7" s="136"/>
      <c r="NAZ7" s="137"/>
      <c r="NBA7" s="137"/>
      <c r="NBB7" s="136"/>
      <c r="NBC7" s="344"/>
      <c r="NBD7" s="344"/>
      <c r="NBE7" s="344"/>
      <c r="NBF7" s="344"/>
      <c r="NBG7" s="136"/>
      <c r="NBH7" s="137"/>
      <c r="NBI7" s="137"/>
      <c r="NBJ7" s="136"/>
      <c r="NBK7" s="344"/>
      <c r="NBL7" s="344"/>
      <c r="NBM7" s="344"/>
      <c r="NBN7" s="344"/>
      <c r="NBO7" s="136"/>
      <c r="NBP7" s="137"/>
      <c r="NBQ7" s="137"/>
      <c r="NBR7" s="136"/>
      <c r="NBS7" s="344"/>
      <c r="NBT7" s="344"/>
      <c r="NBU7" s="344"/>
      <c r="NBV7" s="344"/>
      <c r="NBW7" s="136"/>
      <c r="NBX7" s="137"/>
      <c r="NBY7" s="137"/>
      <c r="NBZ7" s="136"/>
      <c r="NCA7" s="344"/>
      <c r="NCB7" s="344"/>
      <c r="NCC7" s="344"/>
      <c r="NCD7" s="344"/>
      <c r="NCE7" s="136"/>
      <c r="NCF7" s="137"/>
      <c r="NCG7" s="137"/>
      <c r="NCH7" s="136"/>
      <c r="NCI7" s="344"/>
      <c r="NCJ7" s="344"/>
      <c r="NCK7" s="344"/>
      <c r="NCL7" s="344"/>
      <c r="NCM7" s="136"/>
      <c r="NCN7" s="137"/>
      <c r="NCO7" s="137"/>
      <c r="NCP7" s="136"/>
      <c r="NCQ7" s="344"/>
      <c r="NCR7" s="344"/>
      <c r="NCS7" s="344"/>
      <c r="NCT7" s="344"/>
      <c r="NCU7" s="136"/>
      <c r="NCV7" s="137"/>
      <c r="NCW7" s="137"/>
      <c r="NCX7" s="136"/>
      <c r="NCY7" s="344"/>
      <c r="NCZ7" s="344"/>
      <c r="NDA7" s="344"/>
      <c r="NDB7" s="344"/>
      <c r="NDC7" s="136"/>
      <c r="NDD7" s="137"/>
      <c r="NDE7" s="137"/>
      <c r="NDF7" s="136"/>
      <c r="NDG7" s="344"/>
      <c r="NDH7" s="344"/>
      <c r="NDI7" s="344"/>
      <c r="NDJ7" s="344"/>
      <c r="NDK7" s="136"/>
      <c r="NDL7" s="137"/>
      <c r="NDM7" s="137"/>
      <c r="NDN7" s="136"/>
      <c r="NDO7" s="344"/>
      <c r="NDP7" s="344"/>
      <c r="NDQ7" s="344"/>
      <c r="NDR7" s="344"/>
      <c r="NDS7" s="136"/>
      <c r="NDT7" s="137"/>
      <c r="NDU7" s="137"/>
      <c r="NDV7" s="136"/>
      <c r="NDW7" s="344"/>
      <c r="NDX7" s="344"/>
      <c r="NDY7" s="344"/>
      <c r="NDZ7" s="344"/>
      <c r="NEA7" s="136"/>
      <c r="NEB7" s="137"/>
      <c r="NEC7" s="137"/>
      <c r="NED7" s="136"/>
      <c r="NEE7" s="344"/>
      <c r="NEF7" s="344"/>
      <c r="NEG7" s="344"/>
      <c r="NEH7" s="344"/>
      <c r="NEI7" s="136"/>
      <c r="NEJ7" s="137"/>
      <c r="NEK7" s="137"/>
      <c r="NEL7" s="136"/>
      <c r="NEM7" s="344"/>
      <c r="NEN7" s="344"/>
      <c r="NEO7" s="344"/>
      <c r="NEP7" s="344"/>
      <c r="NEQ7" s="136"/>
      <c r="NER7" s="137"/>
      <c r="NES7" s="137"/>
      <c r="NET7" s="136"/>
      <c r="NEU7" s="344"/>
      <c r="NEV7" s="344"/>
      <c r="NEW7" s="344"/>
      <c r="NEX7" s="344"/>
      <c r="NEY7" s="136"/>
      <c r="NEZ7" s="137"/>
      <c r="NFA7" s="137"/>
      <c r="NFB7" s="136"/>
      <c r="NFC7" s="344"/>
      <c r="NFD7" s="344"/>
      <c r="NFE7" s="344"/>
      <c r="NFF7" s="344"/>
      <c r="NFG7" s="136"/>
      <c r="NFH7" s="137"/>
      <c r="NFI7" s="137"/>
      <c r="NFJ7" s="136"/>
      <c r="NFK7" s="344"/>
      <c r="NFL7" s="344"/>
      <c r="NFM7" s="344"/>
      <c r="NFN7" s="344"/>
      <c r="NFO7" s="136"/>
      <c r="NFP7" s="137"/>
      <c r="NFQ7" s="137"/>
      <c r="NFR7" s="136"/>
      <c r="NFS7" s="344"/>
      <c r="NFT7" s="344"/>
      <c r="NFU7" s="344"/>
      <c r="NFV7" s="344"/>
      <c r="NFW7" s="136"/>
      <c r="NFX7" s="137"/>
      <c r="NFY7" s="137"/>
      <c r="NFZ7" s="136"/>
      <c r="NGA7" s="344"/>
      <c r="NGB7" s="344"/>
      <c r="NGC7" s="344"/>
      <c r="NGD7" s="344"/>
      <c r="NGE7" s="136"/>
      <c r="NGF7" s="137"/>
      <c r="NGG7" s="137"/>
      <c r="NGH7" s="136"/>
      <c r="NGI7" s="344"/>
      <c r="NGJ7" s="344"/>
      <c r="NGK7" s="344"/>
      <c r="NGL7" s="344"/>
      <c r="NGM7" s="136"/>
      <c r="NGN7" s="137"/>
      <c r="NGO7" s="137"/>
      <c r="NGP7" s="136"/>
      <c r="NGQ7" s="344"/>
      <c r="NGR7" s="344"/>
      <c r="NGS7" s="344"/>
      <c r="NGT7" s="344"/>
      <c r="NGU7" s="136"/>
      <c r="NGV7" s="137"/>
      <c r="NGW7" s="137"/>
      <c r="NGX7" s="136"/>
      <c r="NGY7" s="344"/>
      <c r="NGZ7" s="344"/>
      <c r="NHA7" s="344"/>
      <c r="NHB7" s="344"/>
      <c r="NHC7" s="136"/>
      <c r="NHD7" s="137"/>
      <c r="NHE7" s="137"/>
      <c r="NHF7" s="136"/>
      <c r="NHG7" s="344"/>
      <c r="NHH7" s="344"/>
      <c r="NHI7" s="344"/>
      <c r="NHJ7" s="344"/>
      <c r="NHK7" s="136"/>
      <c r="NHL7" s="137"/>
      <c r="NHM7" s="137"/>
      <c r="NHN7" s="136"/>
      <c r="NHO7" s="344"/>
      <c r="NHP7" s="344"/>
      <c r="NHQ7" s="344"/>
      <c r="NHR7" s="344"/>
      <c r="NHS7" s="136"/>
      <c r="NHT7" s="137"/>
      <c r="NHU7" s="137"/>
      <c r="NHV7" s="136"/>
      <c r="NHW7" s="344"/>
      <c r="NHX7" s="344"/>
      <c r="NHY7" s="344"/>
      <c r="NHZ7" s="344"/>
      <c r="NIA7" s="136"/>
      <c r="NIB7" s="137"/>
      <c r="NIC7" s="137"/>
      <c r="NID7" s="136"/>
      <c r="NIE7" s="344"/>
      <c r="NIF7" s="344"/>
      <c r="NIG7" s="344"/>
      <c r="NIH7" s="344"/>
      <c r="NII7" s="136"/>
      <c r="NIJ7" s="137"/>
      <c r="NIK7" s="137"/>
      <c r="NIL7" s="136"/>
      <c r="NIM7" s="344"/>
      <c r="NIN7" s="344"/>
      <c r="NIO7" s="344"/>
      <c r="NIP7" s="344"/>
      <c r="NIQ7" s="136"/>
      <c r="NIR7" s="137"/>
      <c r="NIS7" s="137"/>
      <c r="NIT7" s="136"/>
      <c r="NIU7" s="344"/>
      <c r="NIV7" s="344"/>
      <c r="NIW7" s="344"/>
      <c r="NIX7" s="344"/>
      <c r="NIY7" s="136"/>
      <c r="NIZ7" s="137"/>
      <c r="NJA7" s="137"/>
      <c r="NJB7" s="136"/>
      <c r="NJC7" s="344"/>
      <c r="NJD7" s="344"/>
      <c r="NJE7" s="344"/>
      <c r="NJF7" s="344"/>
      <c r="NJG7" s="136"/>
      <c r="NJH7" s="137"/>
      <c r="NJI7" s="137"/>
      <c r="NJJ7" s="136"/>
      <c r="NJK7" s="344"/>
      <c r="NJL7" s="344"/>
      <c r="NJM7" s="344"/>
      <c r="NJN7" s="344"/>
      <c r="NJO7" s="136"/>
      <c r="NJP7" s="137"/>
      <c r="NJQ7" s="137"/>
      <c r="NJR7" s="136"/>
      <c r="NJS7" s="344"/>
      <c r="NJT7" s="344"/>
      <c r="NJU7" s="344"/>
      <c r="NJV7" s="344"/>
      <c r="NJW7" s="136"/>
      <c r="NJX7" s="137"/>
      <c r="NJY7" s="137"/>
      <c r="NJZ7" s="136"/>
      <c r="NKA7" s="344"/>
      <c r="NKB7" s="344"/>
      <c r="NKC7" s="344"/>
      <c r="NKD7" s="344"/>
      <c r="NKE7" s="136"/>
      <c r="NKF7" s="137"/>
      <c r="NKG7" s="137"/>
      <c r="NKH7" s="136"/>
      <c r="NKI7" s="344"/>
      <c r="NKJ7" s="344"/>
      <c r="NKK7" s="344"/>
      <c r="NKL7" s="344"/>
      <c r="NKM7" s="136"/>
      <c r="NKN7" s="137"/>
      <c r="NKO7" s="137"/>
      <c r="NKP7" s="136"/>
      <c r="NKQ7" s="344"/>
      <c r="NKR7" s="344"/>
      <c r="NKS7" s="344"/>
      <c r="NKT7" s="344"/>
      <c r="NKU7" s="136"/>
      <c r="NKV7" s="137"/>
      <c r="NKW7" s="137"/>
      <c r="NKX7" s="136"/>
      <c r="NKY7" s="344"/>
      <c r="NKZ7" s="344"/>
      <c r="NLA7" s="344"/>
      <c r="NLB7" s="344"/>
      <c r="NLC7" s="136"/>
      <c r="NLD7" s="137"/>
      <c r="NLE7" s="137"/>
      <c r="NLF7" s="136"/>
      <c r="NLG7" s="344"/>
      <c r="NLH7" s="344"/>
      <c r="NLI7" s="344"/>
      <c r="NLJ7" s="344"/>
      <c r="NLK7" s="136"/>
      <c r="NLL7" s="137"/>
      <c r="NLM7" s="137"/>
      <c r="NLN7" s="136"/>
      <c r="NLO7" s="344"/>
      <c r="NLP7" s="344"/>
      <c r="NLQ7" s="344"/>
      <c r="NLR7" s="344"/>
      <c r="NLS7" s="136"/>
      <c r="NLT7" s="137"/>
      <c r="NLU7" s="137"/>
      <c r="NLV7" s="136"/>
      <c r="NLW7" s="344"/>
      <c r="NLX7" s="344"/>
      <c r="NLY7" s="344"/>
      <c r="NLZ7" s="344"/>
      <c r="NMA7" s="136"/>
      <c r="NMB7" s="137"/>
      <c r="NMC7" s="137"/>
      <c r="NMD7" s="136"/>
      <c r="NME7" s="344"/>
      <c r="NMF7" s="344"/>
      <c r="NMG7" s="344"/>
      <c r="NMH7" s="344"/>
      <c r="NMI7" s="136"/>
      <c r="NMJ7" s="137"/>
      <c r="NMK7" s="137"/>
      <c r="NML7" s="136"/>
      <c r="NMM7" s="344"/>
      <c r="NMN7" s="344"/>
      <c r="NMO7" s="344"/>
      <c r="NMP7" s="344"/>
      <c r="NMQ7" s="136"/>
      <c r="NMR7" s="137"/>
      <c r="NMS7" s="137"/>
      <c r="NMT7" s="136"/>
      <c r="NMU7" s="344"/>
      <c r="NMV7" s="344"/>
      <c r="NMW7" s="344"/>
      <c r="NMX7" s="344"/>
      <c r="NMY7" s="136"/>
      <c r="NMZ7" s="137"/>
      <c r="NNA7" s="137"/>
      <c r="NNB7" s="136"/>
      <c r="NNC7" s="344"/>
      <c r="NND7" s="344"/>
      <c r="NNE7" s="344"/>
      <c r="NNF7" s="344"/>
      <c r="NNG7" s="136"/>
      <c r="NNH7" s="137"/>
      <c r="NNI7" s="137"/>
      <c r="NNJ7" s="136"/>
      <c r="NNK7" s="344"/>
      <c r="NNL7" s="344"/>
      <c r="NNM7" s="344"/>
      <c r="NNN7" s="344"/>
      <c r="NNO7" s="136"/>
      <c r="NNP7" s="137"/>
      <c r="NNQ7" s="137"/>
      <c r="NNR7" s="136"/>
      <c r="NNS7" s="344"/>
      <c r="NNT7" s="344"/>
      <c r="NNU7" s="344"/>
      <c r="NNV7" s="344"/>
      <c r="NNW7" s="136"/>
      <c r="NNX7" s="137"/>
      <c r="NNY7" s="137"/>
      <c r="NNZ7" s="136"/>
      <c r="NOA7" s="344"/>
      <c r="NOB7" s="344"/>
      <c r="NOC7" s="344"/>
      <c r="NOD7" s="344"/>
      <c r="NOE7" s="136"/>
      <c r="NOF7" s="137"/>
      <c r="NOG7" s="137"/>
      <c r="NOH7" s="136"/>
      <c r="NOI7" s="344"/>
      <c r="NOJ7" s="344"/>
      <c r="NOK7" s="344"/>
      <c r="NOL7" s="344"/>
      <c r="NOM7" s="136"/>
      <c r="NON7" s="137"/>
      <c r="NOO7" s="137"/>
      <c r="NOP7" s="136"/>
      <c r="NOQ7" s="344"/>
      <c r="NOR7" s="344"/>
      <c r="NOS7" s="344"/>
      <c r="NOT7" s="344"/>
      <c r="NOU7" s="136"/>
      <c r="NOV7" s="137"/>
      <c r="NOW7" s="137"/>
      <c r="NOX7" s="136"/>
      <c r="NOY7" s="344"/>
      <c r="NOZ7" s="344"/>
      <c r="NPA7" s="344"/>
      <c r="NPB7" s="344"/>
      <c r="NPC7" s="136"/>
      <c r="NPD7" s="137"/>
      <c r="NPE7" s="137"/>
      <c r="NPF7" s="136"/>
      <c r="NPG7" s="344"/>
      <c r="NPH7" s="344"/>
      <c r="NPI7" s="344"/>
      <c r="NPJ7" s="344"/>
      <c r="NPK7" s="136"/>
      <c r="NPL7" s="137"/>
      <c r="NPM7" s="137"/>
      <c r="NPN7" s="136"/>
      <c r="NPO7" s="344"/>
      <c r="NPP7" s="344"/>
      <c r="NPQ7" s="344"/>
      <c r="NPR7" s="344"/>
      <c r="NPS7" s="136"/>
      <c r="NPT7" s="137"/>
      <c r="NPU7" s="137"/>
      <c r="NPV7" s="136"/>
      <c r="NPW7" s="344"/>
      <c r="NPX7" s="344"/>
      <c r="NPY7" s="344"/>
      <c r="NPZ7" s="344"/>
      <c r="NQA7" s="136"/>
      <c r="NQB7" s="137"/>
      <c r="NQC7" s="137"/>
      <c r="NQD7" s="136"/>
      <c r="NQE7" s="344"/>
      <c r="NQF7" s="344"/>
      <c r="NQG7" s="344"/>
      <c r="NQH7" s="344"/>
      <c r="NQI7" s="136"/>
      <c r="NQJ7" s="137"/>
      <c r="NQK7" s="137"/>
      <c r="NQL7" s="136"/>
      <c r="NQM7" s="344"/>
      <c r="NQN7" s="344"/>
      <c r="NQO7" s="344"/>
      <c r="NQP7" s="344"/>
      <c r="NQQ7" s="136"/>
      <c r="NQR7" s="137"/>
      <c r="NQS7" s="137"/>
      <c r="NQT7" s="136"/>
      <c r="NQU7" s="344"/>
      <c r="NQV7" s="344"/>
      <c r="NQW7" s="344"/>
      <c r="NQX7" s="344"/>
      <c r="NQY7" s="136"/>
      <c r="NQZ7" s="137"/>
      <c r="NRA7" s="137"/>
      <c r="NRB7" s="136"/>
      <c r="NRC7" s="344"/>
      <c r="NRD7" s="344"/>
      <c r="NRE7" s="344"/>
      <c r="NRF7" s="344"/>
      <c r="NRG7" s="136"/>
      <c r="NRH7" s="137"/>
      <c r="NRI7" s="137"/>
      <c r="NRJ7" s="136"/>
      <c r="NRK7" s="344"/>
      <c r="NRL7" s="344"/>
      <c r="NRM7" s="344"/>
      <c r="NRN7" s="344"/>
      <c r="NRO7" s="136"/>
      <c r="NRP7" s="137"/>
      <c r="NRQ7" s="137"/>
      <c r="NRR7" s="136"/>
      <c r="NRS7" s="344"/>
      <c r="NRT7" s="344"/>
      <c r="NRU7" s="344"/>
      <c r="NRV7" s="344"/>
      <c r="NRW7" s="136"/>
      <c r="NRX7" s="137"/>
      <c r="NRY7" s="137"/>
      <c r="NRZ7" s="136"/>
      <c r="NSA7" s="344"/>
      <c r="NSB7" s="344"/>
      <c r="NSC7" s="344"/>
      <c r="NSD7" s="344"/>
      <c r="NSE7" s="136"/>
      <c r="NSF7" s="137"/>
      <c r="NSG7" s="137"/>
      <c r="NSH7" s="136"/>
      <c r="NSI7" s="344"/>
      <c r="NSJ7" s="344"/>
      <c r="NSK7" s="344"/>
      <c r="NSL7" s="344"/>
      <c r="NSM7" s="136"/>
      <c r="NSN7" s="137"/>
      <c r="NSO7" s="137"/>
      <c r="NSP7" s="136"/>
      <c r="NSQ7" s="344"/>
      <c r="NSR7" s="344"/>
      <c r="NSS7" s="344"/>
      <c r="NST7" s="344"/>
      <c r="NSU7" s="136"/>
      <c r="NSV7" s="137"/>
      <c r="NSW7" s="137"/>
      <c r="NSX7" s="136"/>
      <c r="NSY7" s="344"/>
      <c r="NSZ7" s="344"/>
      <c r="NTA7" s="344"/>
      <c r="NTB7" s="344"/>
      <c r="NTC7" s="136"/>
      <c r="NTD7" s="137"/>
      <c r="NTE7" s="137"/>
      <c r="NTF7" s="136"/>
      <c r="NTG7" s="344"/>
      <c r="NTH7" s="344"/>
      <c r="NTI7" s="344"/>
      <c r="NTJ7" s="344"/>
      <c r="NTK7" s="136"/>
      <c r="NTL7" s="137"/>
      <c r="NTM7" s="137"/>
      <c r="NTN7" s="136"/>
      <c r="NTO7" s="344"/>
      <c r="NTP7" s="344"/>
      <c r="NTQ7" s="344"/>
      <c r="NTR7" s="344"/>
      <c r="NTS7" s="136"/>
      <c r="NTT7" s="137"/>
      <c r="NTU7" s="137"/>
      <c r="NTV7" s="136"/>
      <c r="NTW7" s="344"/>
      <c r="NTX7" s="344"/>
      <c r="NTY7" s="344"/>
      <c r="NTZ7" s="344"/>
      <c r="NUA7" s="136"/>
      <c r="NUB7" s="137"/>
      <c r="NUC7" s="137"/>
      <c r="NUD7" s="136"/>
      <c r="NUE7" s="344"/>
      <c r="NUF7" s="344"/>
      <c r="NUG7" s="344"/>
      <c r="NUH7" s="344"/>
      <c r="NUI7" s="136"/>
      <c r="NUJ7" s="137"/>
      <c r="NUK7" s="137"/>
      <c r="NUL7" s="136"/>
      <c r="NUM7" s="344"/>
      <c r="NUN7" s="344"/>
      <c r="NUO7" s="344"/>
      <c r="NUP7" s="344"/>
      <c r="NUQ7" s="136"/>
      <c r="NUR7" s="137"/>
      <c r="NUS7" s="137"/>
      <c r="NUT7" s="136"/>
      <c r="NUU7" s="344"/>
      <c r="NUV7" s="344"/>
      <c r="NUW7" s="344"/>
      <c r="NUX7" s="344"/>
      <c r="NUY7" s="136"/>
      <c r="NUZ7" s="137"/>
      <c r="NVA7" s="137"/>
      <c r="NVB7" s="136"/>
      <c r="NVC7" s="344"/>
      <c r="NVD7" s="344"/>
      <c r="NVE7" s="344"/>
      <c r="NVF7" s="344"/>
      <c r="NVG7" s="136"/>
      <c r="NVH7" s="137"/>
      <c r="NVI7" s="137"/>
      <c r="NVJ7" s="136"/>
      <c r="NVK7" s="344"/>
      <c r="NVL7" s="344"/>
      <c r="NVM7" s="344"/>
      <c r="NVN7" s="344"/>
      <c r="NVO7" s="136"/>
      <c r="NVP7" s="137"/>
      <c r="NVQ7" s="137"/>
      <c r="NVR7" s="136"/>
      <c r="NVS7" s="344"/>
      <c r="NVT7" s="344"/>
      <c r="NVU7" s="344"/>
      <c r="NVV7" s="344"/>
      <c r="NVW7" s="136"/>
      <c r="NVX7" s="137"/>
      <c r="NVY7" s="137"/>
      <c r="NVZ7" s="136"/>
      <c r="NWA7" s="344"/>
      <c r="NWB7" s="344"/>
      <c r="NWC7" s="344"/>
      <c r="NWD7" s="344"/>
      <c r="NWE7" s="136"/>
      <c r="NWF7" s="137"/>
      <c r="NWG7" s="137"/>
      <c r="NWH7" s="136"/>
      <c r="NWI7" s="344"/>
      <c r="NWJ7" s="344"/>
      <c r="NWK7" s="344"/>
      <c r="NWL7" s="344"/>
      <c r="NWM7" s="136"/>
      <c r="NWN7" s="137"/>
      <c r="NWO7" s="137"/>
      <c r="NWP7" s="136"/>
      <c r="NWQ7" s="344"/>
      <c r="NWR7" s="344"/>
      <c r="NWS7" s="344"/>
      <c r="NWT7" s="344"/>
      <c r="NWU7" s="136"/>
      <c r="NWV7" s="137"/>
      <c r="NWW7" s="137"/>
      <c r="NWX7" s="136"/>
      <c r="NWY7" s="344"/>
      <c r="NWZ7" s="344"/>
      <c r="NXA7" s="344"/>
      <c r="NXB7" s="344"/>
      <c r="NXC7" s="136"/>
      <c r="NXD7" s="137"/>
      <c r="NXE7" s="137"/>
      <c r="NXF7" s="136"/>
      <c r="NXG7" s="344"/>
      <c r="NXH7" s="344"/>
      <c r="NXI7" s="344"/>
      <c r="NXJ7" s="344"/>
      <c r="NXK7" s="136"/>
      <c r="NXL7" s="137"/>
      <c r="NXM7" s="137"/>
      <c r="NXN7" s="136"/>
      <c r="NXO7" s="344"/>
      <c r="NXP7" s="344"/>
      <c r="NXQ7" s="344"/>
      <c r="NXR7" s="344"/>
      <c r="NXS7" s="136"/>
      <c r="NXT7" s="137"/>
      <c r="NXU7" s="137"/>
      <c r="NXV7" s="136"/>
      <c r="NXW7" s="344"/>
      <c r="NXX7" s="344"/>
      <c r="NXY7" s="344"/>
      <c r="NXZ7" s="344"/>
      <c r="NYA7" s="136"/>
      <c r="NYB7" s="137"/>
      <c r="NYC7" s="137"/>
      <c r="NYD7" s="136"/>
      <c r="NYE7" s="344"/>
      <c r="NYF7" s="344"/>
      <c r="NYG7" s="344"/>
      <c r="NYH7" s="344"/>
      <c r="NYI7" s="136"/>
      <c r="NYJ7" s="137"/>
      <c r="NYK7" s="137"/>
      <c r="NYL7" s="136"/>
      <c r="NYM7" s="344"/>
      <c r="NYN7" s="344"/>
      <c r="NYO7" s="344"/>
      <c r="NYP7" s="344"/>
      <c r="NYQ7" s="136"/>
      <c r="NYR7" s="137"/>
      <c r="NYS7" s="137"/>
      <c r="NYT7" s="136"/>
      <c r="NYU7" s="344"/>
      <c r="NYV7" s="344"/>
      <c r="NYW7" s="344"/>
      <c r="NYX7" s="344"/>
      <c r="NYY7" s="136"/>
      <c r="NYZ7" s="137"/>
      <c r="NZA7" s="137"/>
      <c r="NZB7" s="136"/>
      <c r="NZC7" s="344"/>
      <c r="NZD7" s="344"/>
      <c r="NZE7" s="344"/>
      <c r="NZF7" s="344"/>
      <c r="NZG7" s="136"/>
      <c r="NZH7" s="137"/>
      <c r="NZI7" s="137"/>
      <c r="NZJ7" s="136"/>
      <c r="NZK7" s="344"/>
      <c r="NZL7" s="344"/>
      <c r="NZM7" s="344"/>
      <c r="NZN7" s="344"/>
      <c r="NZO7" s="136"/>
      <c r="NZP7" s="137"/>
      <c r="NZQ7" s="137"/>
      <c r="NZR7" s="136"/>
      <c r="NZS7" s="344"/>
      <c r="NZT7" s="344"/>
      <c r="NZU7" s="344"/>
      <c r="NZV7" s="344"/>
      <c r="NZW7" s="136"/>
      <c r="NZX7" s="137"/>
      <c r="NZY7" s="137"/>
      <c r="NZZ7" s="136"/>
      <c r="OAA7" s="344"/>
      <c r="OAB7" s="344"/>
      <c r="OAC7" s="344"/>
      <c r="OAD7" s="344"/>
      <c r="OAE7" s="136"/>
      <c r="OAF7" s="137"/>
      <c r="OAG7" s="137"/>
      <c r="OAH7" s="136"/>
      <c r="OAI7" s="344"/>
      <c r="OAJ7" s="344"/>
      <c r="OAK7" s="344"/>
      <c r="OAL7" s="344"/>
      <c r="OAM7" s="136"/>
      <c r="OAN7" s="137"/>
      <c r="OAO7" s="137"/>
      <c r="OAP7" s="136"/>
      <c r="OAQ7" s="344"/>
      <c r="OAR7" s="344"/>
      <c r="OAS7" s="344"/>
      <c r="OAT7" s="344"/>
      <c r="OAU7" s="136"/>
      <c r="OAV7" s="137"/>
      <c r="OAW7" s="137"/>
      <c r="OAX7" s="136"/>
      <c r="OAY7" s="344"/>
      <c r="OAZ7" s="344"/>
      <c r="OBA7" s="344"/>
      <c r="OBB7" s="344"/>
      <c r="OBC7" s="136"/>
      <c r="OBD7" s="137"/>
      <c r="OBE7" s="137"/>
      <c r="OBF7" s="136"/>
      <c r="OBG7" s="344"/>
      <c r="OBH7" s="344"/>
      <c r="OBI7" s="344"/>
      <c r="OBJ7" s="344"/>
      <c r="OBK7" s="136"/>
      <c r="OBL7" s="137"/>
      <c r="OBM7" s="137"/>
      <c r="OBN7" s="136"/>
      <c r="OBO7" s="344"/>
      <c r="OBP7" s="344"/>
      <c r="OBQ7" s="344"/>
      <c r="OBR7" s="344"/>
      <c r="OBS7" s="136"/>
      <c r="OBT7" s="137"/>
      <c r="OBU7" s="137"/>
      <c r="OBV7" s="136"/>
      <c r="OBW7" s="344"/>
      <c r="OBX7" s="344"/>
      <c r="OBY7" s="344"/>
      <c r="OBZ7" s="344"/>
      <c r="OCA7" s="136"/>
      <c r="OCB7" s="137"/>
      <c r="OCC7" s="137"/>
      <c r="OCD7" s="136"/>
      <c r="OCE7" s="344"/>
      <c r="OCF7" s="344"/>
      <c r="OCG7" s="344"/>
      <c r="OCH7" s="344"/>
      <c r="OCI7" s="136"/>
      <c r="OCJ7" s="137"/>
      <c r="OCK7" s="137"/>
      <c r="OCL7" s="136"/>
      <c r="OCM7" s="344"/>
      <c r="OCN7" s="344"/>
      <c r="OCO7" s="344"/>
      <c r="OCP7" s="344"/>
      <c r="OCQ7" s="136"/>
      <c r="OCR7" s="137"/>
      <c r="OCS7" s="137"/>
      <c r="OCT7" s="136"/>
      <c r="OCU7" s="344"/>
      <c r="OCV7" s="344"/>
      <c r="OCW7" s="344"/>
      <c r="OCX7" s="344"/>
      <c r="OCY7" s="136"/>
      <c r="OCZ7" s="137"/>
      <c r="ODA7" s="137"/>
      <c r="ODB7" s="136"/>
      <c r="ODC7" s="344"/>
      <c r="ODD7" s="344"/>
      <c r="ODE7" s="344"/>
      <c r="ODF7" s="344"/>
      <c r="ODG7" s="136"/>
      <c r="ODH7" s="137"/>
      <c r="ODI7" s="137"/>
      <c r="ODJ7" s="136"/>
      <c r="ODK7" s="344"/>
      <c r="ODL7" s="344"/>
      <c r="ODM7" s="344"/>
      <c r="ODN7" s="344"/>
      <c r="ODO7" s="136"/>
      <c r="ODP7" s="137"/>
      <c r="ODQ7" s="137"/>
      <c r="ODR7" s="136"/>
      <c r="ODS7" s="344"/>
      <c r="ODT7" s="344"/>
      <c r="ODU7" s="344"/>
      <c r="ODV7" s="344"/>
      <c r="ODW7" s="136"/>
      <c r="ODX7" s="137"/>
      <c r="ODY7" s="137"/>
      <c r="ODZ7" s="136"/>
      <c r="OEA7" s="344"/>
      <c r="OEB7" s="344"/>
      <c r="OEC7" s="344"/>
      <c r="OED7" s="344"/>
      <c r="OEE7" s="136"/>
      <c r="OEF7" s="137"/>
      <c r="OEG7" s="137"/>
      <c r="OEH7" s="136"/>
      <c r="OEI7" s="344"/>
      <c r="OEJ7" s="344"/>
      <c r="OEK7" s="344"/>
      <c r="OEL7" s="344"/>
      <c r="OEM7" s="136"/>
      <c r="OEN7" s="137"/>
      <c r="OEO7" s="137"/>
      <c r="OEP7" s="136"/>
      <c r="OEQ7" s="344"/>
      <c r="OER7" s="344"/>
      <c r="OES7" s="344"/>
      <c r="OET7" s="344"/>
      <c r="OEU7" s="136"/>
      <c r="OEV7" s="137"/>
      <c r="OEW7" s="137"/>
      <c r="OEX7" s="136"/>
      <c r="OEY7" s="344"/>
      <c r="OEZ7" s="344"/>
      <c r="OFA7" s="344"/>
      <c r="OFB7" s="344"/>
      <c r="OFC7" s="136"/>
      <c r="OFD7" s="137"/>
      <c r="OFE7" s="137"/>
      <c r="OFF7" s="136"/>
      <c r="OFG7" s="344"/>
      <c r="OFH7" s="344"/>
      <c r="OFI7" s="344"/>
      <c r="OFJ7" s="344"/>
      <c r="OFK7" s="136"/>
      <c r="OFL7" s="137"/>
      <c r="OFM7" s="137"/>
      <c r="OFN7" s="136"/>
      <c r="OFO7" s="344"/>
      <c r="OFP7" s="344"/>
      <c r="OFQ7" s="344"/>
      <c r="OFR7" s="344"/>
      <c r="OFS7" s="136"/>
      <c r="OFT7" s="137"/>
      <c r="OFU7" s="137"/>
      <c r="OFV7" s="136"/>
      <c r="OFW7" s="344"/>
      <c r="OFX7" s="344"/>
      <c r="OFY7" s="344"/>
      <c r="OFZ7" s="344"/>
      <c r="OGA7" s="136"/>
      <c r="OGB7" s="137"/>
      <c r="OGC7" s="137"/>
      <c r="OGD7" s="136"/>
      <c r="OGE7" s="344"/>
      <c r="OGF7" s="344"/>
      <c r="OGG7" s="344"/>
      <c r="OGH7" s="344"/>
      <c r="OGI7" s="136"/>
      <c r="OGJ7" s="137"/>
      <c r="OGK7" s="137"/>
      <c r="OGL7" s="136"/>
      <c r="OGM7" s="344"/>
      <c r="OGN7" s="344"/>
      <c r="OGO7" s="344"/>
      <c r="OGP7" s="344"/>
      <c r="OGQ7" s="136"/>
      <c r="OGR7" s="137"/>
      <c r="OGS7" s="137"/>
      <c r="OGT7" s="136"/>
      <c r="OGU7" s="344"/>
      <c r="OGV7" s="344"/>
      <c r="OGW7" s="344"/>
      <c r="OGX7" s="344"/>
      <c r="OGY7" s="136"/>
      <c r="OGZ7" s="137"/>
      <c r="OHA7" s="137"/>
      <c r="OHB7" s="136"/>
      <c r="OHC7" s="344"/>
      <c r="OHD7" s="344"/>
      <c r="OHE7" s="344"/>
      <c r="OHF7" s="344"/>
      <c r="OHG7" s="136"/>
      <c r="OHH7" s="137"/>
      <c r="OHI7" s="137"/>
      <c r="OHJ7" s="136"/>
      <c r="OHK7" s="344"/>
      <c r="OHL7" s="344"/>
      <c r="OHM7" s="344"/>
      <c r="OHN7" s="344"/>
      <c r="OHO7" s="136"/>
      <c r="OHP7" s="137"/>
      <c r="OHQ7" s="137"/>
      <c r="OHR7" s="136"/>
      <c r="OHS7" s="344"/>
      <c r="OHT7" s="344"/>
      <c r="OHU7" s="344"/>
      <c r="OHV7" s="344"/>
      <c r="OHW7" s="136"/>
      <c r="OHX7" s="137"/>
      <c r="OHY7" s="137"/>
      <c r="OHZ7" s="136"/>
      <c r="OIA7" s="344"/>
      <c r="OIB7" s="344"/>
      <c r="OIC7" s="344"/>
      <c r="OID7" s="344"/>
      <c r="OIE7" s="136"/>
      <c r="OIF7" s="137"/>
      <c r="OIG7" s="137"/>
      <c r="OIH7" s="136"/>
      <c r="OII7" s="344"/>
      <c r="OIJ7" s="344"/>
      <c r="OIK7" s="344"/>
      <c r="OIL7" s="344"/>
      <c r="OIM7" s="136"/>
      <c r="OIN7" s="137"/>
      <c r="OIO7" s="137"/>
      <c r="OIP7" s="136"/>
      <c r="OIQ7" s="344"/>
      <c r="OIR7" s="344"/>
      <c r="OIS7" s="344"/>
      <c r="OIT7" s="344"/>
      <c r="OIU7" s="136"/>
      <c r="OIV7" s="137"/>
      <c r="OIW7" s="137"/>
      <c r="OIX7" s="136"/>
      <c r="OIY7" s="344"/>
      <c r="OIZ7" s="344"/>
      <c r="OJA7" s="344"/>
      <c r="OJB7" s="344"/>
      <c r="OJC7" s="136"/>
      <c r="OJD7" s="137"/>
      <c r="OJE7" s="137"/>
      <c r="OJF7" s="136"/>
      <c r="OJG7" s="344"/>
      <c r="OJH7" s="344"/>
      <c r="OJI7" s="344"/>
      <c r="OJJ7" s="344"/>
      <c r="OJK7" s="136"/>
      <c r="OJL7" s="137"/>
      <c r="OJM7" s="137"/>
      <c r="OJN7" s="136"/>
      <c r="OJO7" s="344"/>
      <c r="OJP7" s="344"/>
      <c r="OJQ7" s="344"/>
      <c r="OJR7" s="344"/>
      <c r="OJS7" s="136"/>
      <c r="OJT7" s="137"/>
      <c r="OJU7" s="137"/>
      <c r="OJV7" s="136"/>
      <c r="OJW7" s="344"/>
      <c r="OJX7" s="344"/>
      <c r="OJY7" s="344"/>
      <c r="OJZ7" s="344"/>
      <c r="OKA7" s="136"/>
      <c r="OKB7" s="137"/>
      <c r="OKC7" s="137"/>
      <c r="OKD7" s="136"/>
      <c r="OKE7" s="344"/>
      <c r="OKF7" s="344"/>
      <c r="OKG7" s="344"/>
      <c r="OKH7" s="344"/>
      <c r="OKI7" s="136"/>
      <c r="OKJ7" s="137"/>
      <c r="OKK7" s="137"/>
      <c r="OKL7" s="136"/>
      <c r="OKM7" s="344"/>
      <c r="OKN7" s="344"/>
      <c r="OKO7" s="344"/>
      <c r="OKP7" s="344"/>
      <c r="OKQ7" s="136"/>
      <c r="OKR7" s="137"/>
      <c r="OKS7" s="137"/>
      <c r="OKT7" s="136"/>
      <c r="OKU7" s="344"/>
      <c r="OKV7" s="344"/>
      <c r="OKW7" s="344"/>
      <c r="OKX7" s="344"/>
      <c r="OKY7" s="136"/>
      <c r="OKZ7" s="137"/>
      <c r="OLA7" s="137"/>
      <c r="OLB7" s="136"/>
      <c r="OLC7" s="344"/>
      <c r="OLD7" s="344"/>
      <c r="OLE7" s="344"/>
      <c r="OLF7" s="344"/>
      <c r="OLG7" s="136"/>
      <c r="OLH7" s="137"/>
      <c r="OLI7" s="137"/>
      <c r="OLJ7" s="136"/>
      <c r="OLK7" s="344"/>
      <c r="OLL7" s="344"/>
      <c r="OLM7" s="344"/>
      <c r="OLN7" s="344"/>
      <c r="OLO7" s="136"/>
      <c r="OLP7" s="137"/>
      <c r="OLQ7" s="137"/>
      <c r="OLR7" s="136"/>
      <c r="OLS7" s="344"/>
      <c r="OLT7" s="344"/>
      <c r="OLU7" s="344"/>
      <c r="OLV7" s="344"/>
      <c r="OLW7" s="136"/>
      <c r="OLX7" s="137"/>
      <c r="OLY7" s="137"/>
      <c r="OLZ7" s="136"/>
      <c r="OMA7" s="344"/>
      <c r="OMB7" s="344"/>
      <c r="OMC7" s="344"/>
      <c r="OMD7" s="344"/>
      <c r="OME7" s="136"/>
      <c r="OMF7" s="137"/>
      <c r="OMG7" s="137"/>
      <c r="OMH7" s="136"/>
      <c r="OMI7" s="344"/>
      <c r="OMJ7" s="344"/>
      <c r="OMK7" s="344"/>
      <c r="OML7" s="344"/>
      <c r="OMM7" s="136"/>
      <c r="OMN7" s="137"/>
      <c r="OMO7" s="137"/>
      <c r="OMP7" s="136"/>
      <c r="OMQ7" s="344"/>
      <c r="OMR7" s="344"/>
      <c r="OMS7" s="344"/>
      <c r="OMT7" s="344"/>
      <c r="OMU7" s="136"/>
      <c r="OMV7" s="137"/>
      <c r="OMW7" s="137"/>
      <c r="OMX7" s="136"/>
      <c r="OMY7" s="344"/>
      <c r="OMZ7" s="344"/>
      <c r="ONA7" s="344"/>
      <c r="ONB7" s="344"/>
      <c r="ONC7" s="136"/>
      <c r="OND7" s="137"/>
      <c r="ONE7" s="137"/>
      <c r="ONF7" s="136"/>
      <c r="ONG7" s="344"/>
      <c r="ONH7" s="344"/>
      <c r="ONI7" s="344"/>
      <c r="ONJ7" s="344"/>
      <c r="ONK7" s="136"/>
      <c r="ONL7" s="137"/>
      <c r="ONM7" s="137"/>
      <c r="ONN7" s="136"/>
      <c r="ONO7" s="344"/>
      <c r="ONP7" s="344"/>
      <c r="ONQ7" s="344"/>
      <c r="ONR7" s="344"/>
      <c r="ONS7" s="136"/>
      <c r="ONT7" s="137"/>
      <c r="ONU7" s="137"/>
      <c r="ONV7" s="136"/>
      <c r="ONW7" s="344"/>
      <c r="ONX7" s="344"/>
      <c r="ONY7" s="344"/>
      <c r="ONZ7" s="344"/>
      <c r="OOA7" s="136"/>
      <c r="OOB7" s="137"/>
      <c r="OOC7" s="137"/>
      <c r="OOD7" s="136"/>
      <c r="OOE7" s="344"/>
      <c r="OOF7" s="344"/>
      <c r="OOG7" s="344"/>
      <c r="OOH7" s="344"/>
      <c r="OOI7" s="136"/>
      <c r="OOJ7" s="137"/>
      <c r="OOK7" s="137"/>
      <c r="OOL7" s="136"/>
      <c r="OOM7" s="344"/>
      <c r="OON7" s="344"/>
      <c r="OOO7" s="344"/>
      <c r="OOP7" s="344"/>
      <c r="OOQ7" s="136"/>
      <c r="OOR7" s="137"/>
      <c r="OOS7" s="137"/>
      <c r="OOT7" s="136"/>
      <c r="OOU7" s="344"/>
      <c r="OOV7" s="344"/>
      <c r="OOW7" s="344"/>
      <c r="OOX7" s="344"/>
      <c r="OOY7" s="136"/>
      <c r="OOZ7" s="137"/>
      <c r="OPA7" s="137"/>
      <c r="OPB7" s="136"/>
      <c r="OPC7" s="344"/>
      <c r="OPD7" s="344"/>
      <c r="OPE7" s="344"/>
      <c r="OPF7" s="344"/>
      <c r="OPG7" s="136"/>
      <c r="OPH7" s="137"/>
      <c r="OPI7" s="137"/>
      <c r="OPJ7" s="136"/>
      <c r="OPK7" s="344"/>
      <c r="OPL7" s="344"/>
      <c r="OPM7" s="344"/>
      <c r="OPN7" s="344"/>
      <c r="OPO7" s="136"/>
      <c r="OPP7" s="137"/>
      <c r="OPQ7" s="137"/>
      <c r="OPR7" s="136"/>
      <c r="OPS7" s="344"/>
      <c r="OPT7" s="344"/>
      <c r="OPU7" s="344"/>
      <c r="OPV7" s="344"/>
      <c r="OPW7" s="136"/>
      <c r="OPX7" s="137"/>
      <c r="OPY7" s="137"/>
      <c r="OPZ7" s="136"/>
      <c r="OQA7" s="344"/>
      <c r="OQB7" s="344"/>
      <c r="OQC7" s="344"/>
      <c r="OQD7" s="344"/>
      <c r="OQE7" s="136"/>
      <c r="OQF7" s="137"/>
      <c r="OQG7" s="137"/>
      <c r="OQH7" s="136"/>
      <c r="OQI7" s="344"/>
      <c r="OQJ7" s="344"/>
      <c r="OQK7" s="344"/>
      <c r="OQL7" s="344"/>
      <c r="OQM7" s="136"/>
      <c r="OQN7" s="137"/>
      <c r="OQO7" s="137"/>
      <c r="OQP7" s="136"/>
      <c r="OQQ7" s="344"/>
      <c r="OQR7" s="344"/>
      <c r="OQS7" s="344"/>
      <c r="OQT7" s="344"/>
      <c r="OQU7" s="136"/>
      <c r="OQV7" s="137"/>
      <c r="OQW7" s="137"/>
      <c r="OQX7" s="136"/>
      <c r="OQY7" s="344"/>
      <c r="OQZ7" s="344"/>
      <c r="ORA7" s="344"/>
      <c r="ORB7" s="344"/>
      <c r="ORC7" s="136"/>
      <c r="ORD7" s="137"/>
      <c r="ORE7" s="137"/>
      <c r="ORF7" s="136"/>
      <c r="ORG7" s="344"/>
      <c r="ORH7" s="344"/>
      <c r="ORI7" s="344"/>
      <c r="ORJ7" s="344"/>
      <c r="ORK7" s="136"/>
      <c r="ORL7" s="137"/>
      <c r="ORM7" s="137"/>
      <c r="ORN7" s="136"/>
      <c r="ORO7" s="344"/>
      <c r="ORP7" s="344"/>
      <c r="ORQ7" s="344"/>
      <c r="ORR7" s="344"/>
      <c r="ORS7" s="136"/>
      <c r="ORT7" s="137"/>
      <c r="ORU7" s="137"/>
      <c r="ORV7" s="136"/>
      <c r="ORW7" s="344"/>
      <c r="ORX7" s="344"/>
      <c r="ORY7" s="344"/>
      <c r="ORZ7" s="344"/>
      <c r="OSA7" s="136"/>
      <c r="OSB7" s="137"/>
      <c r="OSC7" s="137"/>
      <c r="OSD7" s="136"/>
      <c r="OSE7" s="344"/>
      <c r="OSF7" s="344"/>
      <c r="OSG7" s="344"/>
      <c r="OSH7" s="344"/>
      <c r="OSI7" s="136"/>
      <c r="OSJ7" s="137"/>
      <c r="OSK7" s="137"/>
      <c r="OSL7" s="136"/>
      <c r="OSM7" s="344"/>
      <c r="OSN7" s="344"/>
      <c r="OSO7" s="344"/>
      <c r="OSP7" s="344"/>
      <c r="OSQ7" s="136"/>
      <c r="OSR7" s="137"/>
      <c r="OSS7" s="137"/>
      <c r="OST7" s="136"/>
      <c r="OSU7" s="344"/>
      <c r="OSV7" s="344"/>
      <c r="OSW7" s="344"/>
      <c r="OSX7" s="344"/>
      <c r="OSY7" s="136"/>
      <c r="OSZ7" s="137"/>
      <c r="OTA7" s="137"/>
      <c r="OTB7" s="136"/>
      <c r="OTC7" s="344"/>
      <c r="OTD7" s="344"/>
      <c r="OTE7" s="344"/>
      <c r="OTF7" s="344"/>
      <c r="OTG7" s="136"/>
      <c r="OTH7" s="137"/>
      <c r="OTI7" s="137"/>
      <c r="OTJ7" s="136"/>
      <c r="OTK7" s="344"/>
      <c r="OTL7" s="344"/>
      <c r="OTM7" s="344"/>
      <c r="OTN7" s="344"/>
      <c r="OTO7" s="136"/>
      <c r="OTP7" s="137"/>
      <c r="OTQ7" s="137"/>
      <c r="OTR7" s="136"/>
      <c r="OTS7" s="344"/>
      <c r="OTT7" s="344"/>
      <c r="OTU7" s="344"/>
      <c r="OTV7" s="344"/>
      <c r="OTW7" s="136"/>
      <c r="OTX7" s="137"/>
      <c r="OTY7" s="137"/>
      <c r="OTZ7" s="136"/>
      <c r="OUA7" s="344"/>
      <c r="OUB7" s="344"/>
      <c r="OUC7" s="344"/>
      <c r="OUD7" s="344"/>
      <c r="OUE7" s="136"/>
      <c r="OUF7" s="137"/>
      <c r="OUG7" s="137"/>
      <c r="OUH7" s="136"/>
      <c r="OUI7" s="344"/>
      <c r="OUJ7" s="344"/>
      <c r="OUK7" s="344"/>
      <c r="OUL7" s="344"/>
      <c r="OUM7" s="136"/>
      <c r="OUN7" s="137"/>
      <c r="OUO7" s="137"/>
      <c r="OUP7" s="136"/>
      <c r="OUQ7" s="344"/>
      <c r="OUR7" s="344"/>
      <c r="OUS7" s="344"/>
      <c r="OUT7" s="344"/>
      <c r="OUU7" s="136"/>
      <c r="OUV7" s="137"/>
      <c r="OUW7" s="137"/>
      <c r="OUX7" s="136"/>
      <c r="OUY7" s="344"/>
      <c r="OUZ7" s="344"/>
      <c r="OVA7" s="344"/>
      <c r="OVB7" s="344"/>
      <c r="OVC7" s="136"/>
      <c r="OVD7" s="137"/>
      <c r="OVE7" s="137"/>
      <c r="OVF7" s="136"/>
      <c r="OVG7" s="344"/>
      <c r="OVH7" s="344"/>
      <c r="OVI7" s="344"/>
      <c r="OVJ7" s="344"/>
      <c r="OVK7" s="136"/>
      <c r="OVL7" s="137"/>
      <c r="OVM7" s="137"/>
      <c r="OVN7" s="136"/>
      <c r="OVO7" s="344"/>
      <c r="OVP7" s="344"/>
      <c r="OVQ7" s="344"/>
      <c r="OVR7" s="344"/>
      <c r="OVS7" s="136"/>
      <c r="OVT7" s="137"/>
      <c r="OVU7" s="137"/>
      <c r="OVV7" s="136"/>
      <c r="OVW7" s="344"/>
      <c r="OVX7" s="344"/>
      <c r="OVY7" s="344"/>
      <c r="OVZ7" s="344"/>
      <c r="OWA7" s="136"/>
      <c r="OWB7" s="137"/>
      <c r="OWC7" s="137"/>
      <c r="OWD7" s="136"/>
      <c r="OWE7" s="344"/>
      <c r="OWF7" s="344"/>
      <c r="OWG7" s="344"/>
      <c r="OWH7" s="344"/>
      <c r="OWI7" s="136"/>
      <c r="OWJ7" s="137"/>
      <c r="OWK7" s="137"/>
      <c r="OWL7" s="136"/>
      <c r="OWM7" s="344"/>
      <c r="OWN7" s="344"/>
      <c r="OWO7" s="344"/>
      <c r="OWP7" s="344"/>
      <c r="OWQ7" s="136"/>
      <c r="OWR7" s="137"/>
      <c r="OWS7" s="137"/>
      <c r="OWT7" s="136"/>
      <c r="OWU7" s="344"/>
      <c r="OWV7" s="344"/>
      <c r="OWW7" s="344"/>
      <c r="OWX7" s="344"/>
      <c r="OWY7" s="136"/>
      <c r="OWZ7" s="137"/>
      <c r="OXA7" s="137"/>
      <c r="OXB7" s="136"/>
      <c r="OXC7" s="344"/>
      <c r="OXD7" s="344"/>
      <c r="OXE7" s="344"/>
      <c r="OXF7" s="344"/>
      <c r="OXG7" s="136"/>
      <c r="OXH7" s="137"/>
      <c r="OXI7" s="137"/>
      <c r="OXJ7" s="136"/>
      <c r="OXK7" s="344"/>
      <c r="OXL7" s="344"/>
      <c r="OXM7" s="344"/>
      <c r="OXN7" s="344"/>
      <c r="OXO7" s="136"/>
      <c r="OXP7" s="137"/>
      <c r="OXQ7" s="137"/>
      <c r="OXR7" s="136"/>
      <c r="OXS7" s="344"/>
      <c r="OXT7" s="344"/>
      <c r="OXU7" s="344"/>
      <c r="OXV7" s="344"/>
      <c r="OXW7" s="136"/>
      <c r="OXX7" s="137"/>
      <c r="OXY7" s="137"/>
      <c r="OXZ7" s="136"/>
      <c r="OYA7" s="344"/>
      <c r="OYB7" s="344"/>
      <c r="OYC7" s="344"/>
      <c r="OYD7" s="344"/>
      <c r="OYE7" s="136"/>
      <c r="OYF7" s="137"/>
      <c r="OYG7" s="137"/>
      <c r="OYH7" s="136"/>
      <c r="OYI7" s="344"/>
      <c r="OYJ7" s="344"/>
      <c r="OYK7" s="344"/>
      <c r="OYL7" s="344"/>
      <c r="OYM7" s="136"/>
      <c r="OYN7" s="137"/>
      <c r="OYO7" s="137"/>
      <c r="OYP7" s="136"/>
      <c r="OYQ7" s="344"/>
      <c r="OYR7" s="344"/>
      <c r="OYS7" s="344"/>
      <c r="OYT7" s="344"/>
      <c r="OYU7" s="136"/>
      <c r="OYV7" s="137"/>
      <c r="OYW7" s="137"/>
      <c r="OYX7" s="136"/>
      <c r="OYY7" s="344"/>
      <c r="OYZ7" s="344"/>
      <c r="OZA7" s="344"/>
      <c r="OZB7" s="344"/>
      <c r="OZC7" s="136"/>
      <c r="OZD7" s="137"/>
      <c r="OZE7" s="137"/>
      <c r="OZF7" s="136"/>
      <c r="OZG7" s="344"/>
      <c r="OZH7" s="344"/>
      <c r="OZI7" s="344"/>
      <c r="OZJ7" s="344"/>
      <c r="OZK7" s="136"/>
      <c r="OZL7" s="137"/>
      <c r="OZM7" s="137"/>
      <c r="OZN7" s="136"/>
      <c r="OZO7" s="344"/>
      <c r="OZP7" s="344"/>
      <c r="OZQ7" s="344"/>
      <c r="OZR7" s="344"/>
      <c r="OZS7" s="136"/>
      <c r="OZT7" s="137"/>
      <c r="OZU7" s="137"/>
      <c r="OZV7" s="136"/>
      <c r="OZW7" s="344"/>
      <c r="OZX7" s="344"/>
      <c r="OZY7" s="344"/>
      <c r="OZZ7" s="344"/>
      <c r="PAA7" s="136"/>
      <c r="PAB7" s="137"/>
      <c r="PAC7" s="137"/>
      <c r="PAD7" s="136"/>
      <c r="PAE7" s="344"/>
      <c r="PAF7" s="344"/>
      <c r="PAG7" s="344"/>
      <c r="PAH7" s="344"/>
      <c r="PAI7" s="136"/>
      <c r="PAJ7" s="137"/>
      <c r="PAK7" s="137"/>
      <c r="PAL7" s="136"/>
      <c r="PAM7" s="344"/>
      <c r="PAN7" s="344"/>
      <c r="PAO7" s="344"/>
      <c r="PAP7" s="344"/>
      <c r="PAQ7" s="136"/>
      <c r="PAR7" s="137"/>
      <c r="PAS7" s="137"/>
      <c r="PAT7" s="136"/>
      <c r="PAU7" s="344"/>
      <c r="PAV7" s="344"/>
      <c r="PAW7" s="344"/>
      <c r="PAX7" s="344"/>
      <c r="PAY7" s="136"/>
      <c r="PAZ7" s="137"/>
      <c r="PBA7" s="137"/>
      <c r="PBB7" s="136"/>
      <c r="PBC7" s="344"/>
      <c r="PBD7" s="344"/>
      <c r="PBE7" s="344"/>
      <c r="PBF7" s="344"/>
      <c r="PBG7" s="136"/>
      <c r="PBH7" s="137"/>
      <c r="PBI7" s="137"/>
      <c r="PBJ7" s="136"/>
      <c r="PBK7" s="344"/>
      <c r="PBL7" s="344"/>
      <c r="PBM7" s="344"/>
      <c r="PBN7" s="344"/>
      <c r="PBO7" s="136"/>
      <c r="PBP7" s="137"/>
      <c r="PBQ7" s="137"/>
      <c r="PBR7" s="136"/>
      <c r="PBS7" s="344"/>
      <c r="PBT7" s="344"/>
      <c r="PBU7" s="344"/>
      <c r="PBV7" s="344"/>
      <c r="PBW7" s="136"/>
      <c r="PBX7" s="137"/>
      <c r="PBY7" s="137"/>
      <c r="PBZ7" s="136"/>
      <c r="PCA7" s="344"/>
      <c r="PCB7" s="344"/>
      <c r="PCC7" s="344"/>
      <c r="PCD7" s="344"/>
      <c r="PCE7" s="136"/>
      <c r="PCF7" s="137"/>
      <c r="PCG7" s="137"/>
      <c r="PCH7" s="136"/>
      <c r="PCI7" s="344"/>
      <c r="PCJ7" s="344"/>
      <c r="PCK7" s="344"/>
      <c r="PCL7" s="344"/>
      <c r="PCM7" s="136"/>
      <c r="PCN7" s="137"/>
      <c r="PCO7" s="137"/>
      <c r="PCP7" s="136"/>
      <c r="PCQ7" s="344"/>
      <c r="PCR7" s="344"/>
      <c r="PCS7" s="344"/>
      <c r="PCT7" s="344"/>
      <c r="PCU7" s="136"/>
      <c r="PCV7" s="137"/>
      <c r="PCW7" s="137"/>
      <c r="PCX7" s="136"/>
      <c r="PCY7" s="344"/>
      <c r="PCZ7" s="344"/>
      <c r="PDA7" s="344"/>
      <c r="PDB7" s="344"/>
      <c r="PDC7" s="136"/>
      <c r="PDD7" s="137"/>
      <c r="PDE7" s="137"/>
      <c r="PDF7" s="136"/>
      <c r="PDG7" s="344"/>
      <c r="PDH7" s="344"/>
      <c r="PDI7" s="344"/>
      <c r="PDJ7" s="344"/>
      <c r="PDK7" s="136"/>
      <c r="PDL7" s="137"/>
      <c r="PDM7" s="137"/>
      <c r="PDN7" s="136"/>
      <c r="PDO7" s="344"/>
      <c r="PDP7" s="344"/>
      <c r="PDQ7" s="344"/>
      <c r="PDR7" s="344"/>
      <c r="PDS7" s="136"/>
      <c r="PDT7" s="137"/>
      <c r="PDU7" s="137"/>
      <c r="PDV7" s="136"/>
      <c r="PDW7" s="344"/>
      <c r="PDX7" s="344"/>
      <c r="PDY7" s="344"/>
      <c r="PDZ7" s="344"/>
      <c r="PEA7" s="136"/>
      <c r="PEB7" s="137"/>
      <c r="PEC7" s="137"/>
      <c r="PED7" s="136"/>
      <c r="PEE7" s="344"/>
      <c r="PEF7" s="344"/>
      <c r="PEG7" s="344"/>
      <c r="PEH7" s="344"/>
      <c r="PEI7" s="136"/>
      <c r="PEJ7" s="137"/>
      <c r="PEK7" s="137"/>
      <c r="PEL7" s="136"/>
      <c r="PEM7" s="344"/>
      <c r="PEN7" s="344"/>
      <c r="PEO7" s="344"/>
      <c r="PEP7" s="344"/>
      <c r="PEQ7" s="136"/>
      <c r="PER7" s="137"/>
      <c r="PES7" s="137"/>
      <c r="PET7" s="136"/>
      <c r="PEU7" s="344"/>
      <c r="PEV7" s="344"/>
      <c r="PEW7" s="344"/>
      <c r="PEX7" s="344"/>
      <c r="PEY7" s="136"/>
      <c r="PEZ7" s="137"/>
      <c r="PFA7" s="137"/>
      <c r="PFB7" s="136"/>
      <c r="PFC7" s="344"/>
      <c r="PFD7" s="344"/>
      <c r="PFE7" s="344"/>
      <c r="PFF7" s="344"/>
      <c r="PFG7" s="136"/>
      <c r="PFH7" s="137"/>
      <c r="PFI7" s="137"/>
      <c r="PFJ7" s="136"/>
      <c r="PFK7" s="344"/>
      <c r="PFL7" s="344"/>
      <c r="PFM7" s="344"/>
      <c r="PFN7" s="344"/>
      <c r="PFO7" s="136"/>
      <c r="PFP7" s="137"/>
      <c r="PFQ7" s="137"/>
      <c r="PFR7" s="136"/>
      <c r="PFS7" s="344"/>
      <c r="PFT7" s="344"/>
      <c r="PFU7" s="344"/>
      <c r="PFV7" s="344"/>
      <c r="PFW7" s="136"/>
      <c r="PFX7" s="137"/>
      <c r="PFY7" s="137"/>
      <c r="PFZ7" s="136"/>
      <c r="PGA7" s="344"/>
      <c r="PGB7" s="344"/>
      <c r="PGC7" s="344"/>
      <c r="PGD7" s="344"/>
      <c r="PGE7" s="136"/>
      <c r="PGF7" s="137"/>
      <c r="PGG7" s="137"/>
      <c r="PGH7" s="136"/>
      <c r="PGI7" s="344"/>
      <c r="PGJ7" s="344"/>
      <c r="PGK7" s="344"/>
      <c r="PGL7" s="344"/>
      <c r="PGM7" s="136"/>
      <c r="PGN7" s="137"/>
      <c r="PGO7" s="137"/>
      <c r="PGP7" s="136"/>
      <c r="PGQ7" s="344"/>
      <c r="PGR7" s="344"/>
      <c r="PGS7" s="344"/>
      <c r="PGT7" s="344"/>
      <c r="PGU7" s="136"/>
      <c r="PGV7" s="137"/>
      <c r="PGW7" s="137"/>
      <c r="PGX7" s="136"/>
      <c r="PGY7" s="344"/>
      <c r="PGZ7" s="344"/>
      <c r="PHA7" s="344"/>
      <c r="PHB7" s="344"/>
      <c r="PHC7" s="136"/>
      <c r="PHD7" s="137"/>
      <c r="PHE7" s="137"/>
      <c r="PHF7" s="136"/>
      <c r="PHG7" s="344"/>
      <c r="PHH7" s="344"/>
      <c r="PHI7" s="344"/>
      <c r="PHJ7" s="344"/>
      <c r="PHK7" s="136"/>
      <c r="PHL7" s="137"/>
      <c r="PHM7" s="137"/>
      <c r="PHN7" s="136"/>
      <c r="PHO7" s="344"/>
      <c r="PHP7" s="344"/>
      <c r="PHQ7" s="344"/>
      <c r="PHR7" s="344"/>
      <c r="PHS7" s="136"/>
      <c r="PHT7" s="137"/>
      <c r="PHU7" s="137"/>
      <c r="PHV7" s="136"/>
      <c r="PHW7" s="344"/>
      <c r="PHX7" s="344"/>
      <c r="PHY7" s="344"/>
      <c r="PHZ7" s="344"/>
      <c r="PIA7" s="136"/>
      <c r="PIB7" s="137"/>
      <c r="PIC7" s="137"/>
      <c r="PID7" s="136"/>
      <c r="PIE7" s="344"/>
      <c r="PIF7" s="344"/>
      <c r="PIG7" s="344"/>
      <c r="PIH7" s="344"/>
      <c r="PII7" s="136"/>
      <c r="PIJ7" s="137"/>
      <c r="PIK7" s="137"/>
      <c r="PIL7" s="136"/>
      <c r="PIM7" s="344"/>
      <c r="PIN7" s="344"/>
      <c r="PIO7" s="344"/>
      <c r="PIP7" s="344"/>
      <c r="PIQ7" s="136"/>
      <c r="PIR7" s="137"/>
      <c r="PIS7" s="137"/>
      <c r="PIT7" s="136"/>
      <c r="PIU7" s="344"/>
      <c r="PIV7" s="344"/>
      <c r="PIW7" s="344"/>
      <c r="PIX7" s="344"/>
      <c r="PIY7" s="136"/>
      <c r="PIZ7" s="137"/>
      <c r="PJA7" s="137"/>
      <c r="PJB7" s="136"/>
      <c r="PJC7" s="344"/>
      <c r="PJD7" s="344"/>
      <c r="PJE7" s="344"/>
      <c r="PJF7" s="344"/>
      <c r="PJG7" s="136"/>
      <c r="PJH7" s="137"/>
      <c r="PJI7" s="137"/>
      <c r="PJJ7" s="136"/>
      <c r="PJK7" s="344"/>
      <c r="PJL7" s="344"/>
      <c r="PJM7" s="344"/>
      <c r="PJN7" s="344"/>
      <c r="PJO7" s="136"/>
      <c r="PJP7" s="137"/>
      <c r="PJQ7" s="137"/>
      <c r="PJR7" s="136"/>
      <c r="PJS7" s="344"/>
      <c r="PJT7" s="344"/>
      <c r="PJU7" s="344"/>
      <c r="PJV7" s="344"/>
      <c r="PJW7" s="136"/>
      <c r="PJX7" s="137"/>
      <c r="PJY7" s="137"/>
      <c r="PJZ7" s="136"/>
      <c r="PKA7" s="344"/>
      <c r="PKB7" s="344"/>
      <c r="PKC7" s="344"/>
      <c r="PKD7" s="344"/>
      <c r="PKE7" s="136"/>
      <c r="PKF7" s="137"/>
      <c r="PKG7" s="137"/>
      <c r="PKH7" s="136"/>
      <c r="PKI7" s="344"/>
      <c r="PKJ7" s="344"/>
      <c r="PKK7" s="344"/>
      <c r="PKL7" s="344"/>
      <c r="PKM7" s="136"/>
      <c r="PKN7" s="137"/>
      <c r="PKO7" s="137"/>
      <c r="PKP7" s="136"/>
      <c r="PKQ7" s="344"/>
      <c r="PKR7" s="344"/>
      <c r="PKS7" s="344"/>
      <c r="PKT7" s="344"/>
      <c r="PKU7" s="136"/>
      <c r="PKV7" s="137"/>
      <c r="PKW7" s="137"/>
      <c r="PKX7" s="136"/>
      <c r="PKY7" s="344"/>
      <c r="PKZ7" s="344"/>
      <c r="PLA7" s="344"/>
      <c r="PLB7" s="344"/>
      <c r="PLC7" s="136"/>
      <c r="PLD7" s="137"/>
      <c r="PLE7" s="137"/>
      <c r="PLF7" s="136"/>
      <c r="PLG7" s="344"/>
      <c r="PLH7" s="344"/>
      <c r="PLI7" s="344"/>
      <c r="PLJ7" s="344"/>
      <c r="PLK7" s="136"/>
      <c r="PLL7" s="137"/>
      <c r="PLM7" s="137"/>
      <c r="PLN7" s="136"/>
      <c r="PLO7" s="344"/>
      <c r="PLP7" s="344"/>
      <c r="PLQ7" s="344"/>
      <c r="PLR7" s="344"/>
      <c r="PLS7" s="136"/>
      <c r="PLT7" s="137"/>
      <c r="PLU7" s="137"/>
      <c r="PLV7" s="136"/>
      <c r="PLW7" s="344"/>
      <c r="PLX7" s="344"/>
      <c r="PLY7" s="344"/>
      <c r="PLZ7" s="344"/>
      <c r="PMA7" s="136"/>
      <c r="PMB7" s="137"/>
      <c r="PMC7" s="137"/>
      <c r="PMD7" s="136"/>
      <c r="PME7" s="344"/>
      <c r="PMF7" s="344"/>
      <c r="PMG7" s="344"/>
      <c r="PMH7" s="344"/>
      <c r="PMI7" s="136"/>
      <c r="PMJ7" s="137"/>
      <c r="PMK7" s="137"/>
      <c r="PML7" s="136"/>
      <c r="PMM7" s="344"/>
      <c r="PMN7" s="344"/>
      <c r="PMO7" s="344"/>
      <c r="PMP7" s="344"/>
      <c r="PMQ7" s="136"/>
      <c r="PMR7" s="137"/>
      <c r="PMS7" s="137"/>
      <c r="PMT7" s="136"/>
      <c r="PMU7" s="344"/>
      <c r="PMV7" s="344"/>
      <c r="PMW7" s="344"/>
      <c r="PMX7" s="344"/>
      <c r="PMY7" s="136"/>
      <c r="PMZ7" s="137"/>
      <c r="PNA7" s="137"/>
      <c r="PNB7" s="136"/>
      <c r="PNC7" s="344"/>
      <c r="PND7" s="344"/>
      <c r="PNE7" s="344"/>
      <c r="PNF7" s="344"/>
      <c r="PNG7" s="136"/>
      <c r="PNH7" s="137"/>
      <c r="PNI7" s="137"/>
      <c r="PNJ7" s="136"/>
      <c r="PNK7" s="344"/>
      <c r="PNL7" s="344"/>
      <c r="PNM7" s="344"/>
      <c r="PNN7" s="344"/>
      <c r="PNO7" s="136"/>
      <c r="PNP7" s="137"/>
      <c r="PNQ7" s="137"/>
      <c r="PNR7" s="136"/>
      <c r="PNS7" s="344"/>
      <c r="PNT7" s="344"/>
      <c r="PNU7" s="344"/>
      <c r="PNV7" s="344"/>
      <c r="PNW7" s="136"/>
      <c r="PNX7" s="137"/>
      <c r="PNY7" s="137"/>
      <c r="PNZ7" s="136"/>
      <c r="POA7" s="344"/>
      <c r="POB7" s="344"/>
      <c r="POC7" s="344"/>
      <c r="POD7" s="344"/>
      <c r="POE7" s="136"/>
      <c r="POF7" s="137"/>
      <c r="POG7" s="137"/>
      <c r="POH7" s="136"/>
      <c r="POI7" s="344"/>
      <c r="POJ7" s="344"/>
      <c r="POK7" s="344"/>
      <c r="POL7" s="344"/>
      <c r="POM7" s="136"/>
      <c r="PON7" s="137"/>
      <c r="POO7" s="137"/>
      <c r="POP7" s="136"/>
      <c r="POQ7" s="344"/>
      <c r="POR7" s="344"/>
      <c r="POS7" s="344"/>
      <c r="POT7" s="344"/>
      <c r="POU7" s="136"/>
      <c r="POV7" s="137"/>
      <c r="POW7" s="137"/>
      <c r="POX7" s="136"/>
      <c r="POY7" s="344"/>
      <c r="POZ7" s="344"/>
      <c r="PPA7" s="344"/>
      <c r="PPB7" s="344"/>
      <c r="PPC7" s="136"/>
      <c r="PPD7" s="137"/>
      <c r="PPE7" s="137"/>
      <c r="PPF7" s="136"/>
      <c r="PPG7" s="344"/>
      <c r="PPH7" s="344"/>
      <c r="PPI7" s="344"/>
      <c r="PPJ7" s="344"/>
      <c r="PPK7" s="136"/>
      <c r="PPL7" s="137"/>
      <c r="PPM7" s="137"/>
      <c r="PPN7" s="136"/>
      <c r="PPO7" s="344"/>
      <c r="PPP7" s="344"/>
      <c r="PPQ7" s="344"/>
      <c r="PPR7" s="344"/>
      <c r="PPS7" s="136"/>
      <c r="PPT7" s="137"/>
      <c r="PPU7" s="137"/>
      <c r="PPV7" s="136"/>
      <c r="PPW7" s="344"/>
      <c r="PPX7" s="344"/>
      <c r="PPY7" s="344"/>
      <c r="PPZ7" s="344"/>
      <c r="PQA7" s="136"/>
      <c r="PQB7" s="137"/>
      <c r="PQC7" s="137"/>
      <c r="PQD7" s="136"/>
      <c r="PQE7" s="344"/>
      <c r="PQF7" s="344"/>
      <c r="PQG7" s="344"/>
      <c r="PQH7" s="344"/>
      <c r="PQI7" s="136"/>
      <c r="PQJ7" s="137"/>
      <c r="PQK7" s="137"/>
      <c r="PQL7" s="136"/>
      <c r="PQM7" s="344"/>
      <c r="PQN7" s="344"/>
      <c r="PQO7" s="344"/>
      <c r="PQP7" s="344"/>
      <c r="PQQ7" s="136"/>
      <c r="PQR7" s="137"/>
      <c r="PQS7" s="137"/>
      <c r="PQT7" s="136"/>
      <c r="PQU7" s="344"/>
      <c r="PQV7" s="344"/>
      <c r="PQW7" s="344"/>
      <c r="PQX7" s="344"/>
      <c r="PQY7" s="136"/>
      <c r="PQZ7" s="137"/>
      <c r="PRA7" s="137"/>
      <c r="PRB7" s="136"/>
      <c r="PRC7" s="344"/>
      <c r="PRD7" s="344"/>
      <c r="PRE7" s="344"/>
      <c r="PRF7" s="344"/>
      <c r="PRG7" s="136"/>
      <c r="PRH7" s="137"/>
      <c r="PRI7" s="137"/>
      <c r="PRJ7" s="136"/>
      <c r="PRK7" s="344"/>
      <c r="PRL7" s="344"/>
      <c r="PRM7" s="344"/>
      <c r="PRN7" s="344"/>
      <c r="PRO7" s="136"/>
      <c r="PRP7" s="137"/>
      <c r="PRQ7" s="137"/>
      <c r="PRR7" s="136"/>
      <c r="PRS7" s="344"/>
      <c r="PRT7" s="344"/>
      <c r="PRU7" s="344"/>
      <c r="PRV7" s="344"/>
      <c r="PRW7" s="136"/>
      <c r="PRX7" s="137"/>
      <c r="PRY7" s="137"/>
      <c r="PRZ7" s="136"/>
      <c r="PSA7" s="344"/>
      <c r="PSB7" s="344"/>
      <c r="PSC7" s="344"/>
      <c r="PSD7" s="344"/>
      <c r="PSE7" s="136"/>
      <c r="PSF7" s="137"/>
      <c r="PSG7" s="137"/>
      <c r="PSH7" s="136"/>
      <c r="PSI7" s="344"/>
      <c r="PSJ7" s="344"/>
      <c r="PSK7" s="344"/>
      <c r="PSL7" s="344"/>
      <c r="PSM7" s="136"/>
      <c r="PSN7" s="137"/>
      <c r="PSO7" s="137"/>
      <c r="PSP7" s="136"/>
      <c r="PSQ7" s="344"/>
      <c r="PSR7" s="344"/>
      <c r="PSS7" s="344"/>
      <c r="PST7" s="344"/>
      <c r="PSU7" s="136"/>
      <c r="PSV7" s="137"/>
      <c r="PSW7" s="137"/>
      <c r="PSX7" s="136"/>
      <c r="PSY7" s="344"/>
      <c r="PSZ7" s="344"/>
      <c r="PTA7" s="344"/>
      <c r="PTB7" s="344"/>
      <c r="PTC7" s="136"/>
      <c r="PTD7" s="137"/>
      <c r="PTE7" s="137"/>
      <c r="PTF7" s="136"/>
      <c r="PTG7" s="344"/>
      <c r="PTH7" s="344"/>
      <c r="PTI7" s="344"/>
      <c r="PTJ7" s="344"/>
      <c r="PTK7" s="136"/>
      <c r="PTL7" s="137"/>
      <c r="PTM7" s="137"/>
      <c r="PTN7" s="136"/>
      <c r="PTO7" s="344"/>
      <c r="PTP7" s="344"/>
      <c r="PTQ7" s="344"/>
      <c r="PTR7" s="344"/>
      <c r="PTS7" s="136"/>
      <c r="PTT7" s="137"/>
      <c r="PTU7" s="137"/>
      <c r="PTV7" s="136"/>
      <c r="PTW7" s="344"/>
      <c r="PTX7" s="344"/>
      <c r="PTY7" s="344"/>
      <c r="PTZ7" s="344"/>
      <c r="PUA7" s="136"/>
      <c r="PUB7" s="137"/>
      <c r="PUC7" s="137"/>
      <c r="PUD7" s="136"/>
      <c r="PUE7" s="344"/>
      <c r="PUF7" s="344"/>
      <c r="PUG7" s="344"/>
      <c r="PUH7" s="344"/>
      <c r="PUI7" s="136"/>
      <c r="PUJ7" s="137"/>
      <c r="PUK7" s="137"/>
      <c r="PUL7" s="136"/>
      <c r="PUM7" s="344"/>
      <c r="PUN7" s="344"/>
      <c r="PUO7" s="344"/>
      <c r="PUP7" s="344"/>
      <c r="PUQ7" s="136"/>
      <c r="PUR7" s="137"/>
      <c r="PUS7" s="137"/>
      <c r="PUT7" s="136"/>
      <c r="PUU7" s="344"/>
      <c r="PUV7" s="344"/>
      <c r="PUW7" s="344"/>
      <c r="PUX7" s="344"/>
      <c r="PUY7" s="136"/>
      <c r="PUZ7" s="137"/>
      <c r="PVA7" s="137"/>
      <c r="PVB7" s="136"/>
      <c r="PVC7" s="344"/>
      <c r="PVD7" s="344"/>
      <c r="PVE7" s="344"/>
      <c r="PVF7" s="344"/>
      <c r="PVG7" s="136"/>
      <c r="PVH7" s="137"/>
      <c r="PVI7" s="137"/>
      <c r="PVJ7" s="136"/>
      <c r="PVK7" s="344"/>
      <c r="PVL7" s="344"/>
      <c r="PVM7" s="344"/>
      <c r="PVN7" s="344"/>
      <c r="PVO7" s="136"/>
      <c r="PVP7" s="137"/>
      <c r="PVQ7" s="137"/>
      <c r="PVR7" s="136"/>
      <c r="PVS7" s="344"/>
      <c r="PVT7" s="344"/>
      <c r="PVU7" s="344"/>
      <c r="PVV7" s="344"/>
      <c r="PVW7" s="136"/>
      <c r="PVX7" s="137"/>
      <c r="PVY7" s="137"/>
      <c r="PVZ7" s="136"/>
      <c r="PWA7" s="344"/>
      <c r="PWB7" s="344"/>
      <c r="PWC7" s="344"/>
      <c r="PWD7" s="344"/>
      <c r="PWE7" s="136"/>
      <c r="PWF7" s="137"/>
      <c r="PWG7" s="137"/>
      <c r="PWH7" s="136"/>
      <c r="PWI7" s="344"/>
      <c r="PWJ7" s="344"/>
      <c r="PWK7" s="344"/>
      <c r="PWL7" s="344"/>
      <c r="PWM7" s="136"/>
      <c r="PWN7" s="137"/>
      <c r="PWO7" s="137"/>
      <c r="PWP7" s="136"/>
      <c r="PWQ7" s="344"/>
      <c r="PWR7" s="344"/>
      <c r="PWS7" s="344"/>
      <c r="PWT7" s="344"/>
      <c r="PWU7" s="136"/>
      <c r="PWV7" s="137"/>
      <c r="PWW7" s="137"/>
      <c r="PWX7" s="136"/>
      <c r="PWY7" s="344"/>
      <c r="PWZ7" s="344"/>
      <c r="PXA7" s="344"/>
      <c r="PXB7" s="344"/>
      <c r="PXC7" s="136"/>
      <c r="PXD7" s="137"/>
      <c r="PXE7" s="137"/>
      <c r="PXF7" s="136"/>
      <c r="PXG7" s="344"/>
      <c r="PXH7" s="344"/>
      <c r="PXI7" s="344"/>
      <c r="PXJ7" s="344"/>
      <c r="PXK7" s="136"/>
      <c r="PXL7" s="137"/>
      <c r="PXM7" s="137"/>
      <c r="PXN7" s="136"/>
      <c r="PXO7" s="344"/>
      <c r="PXP7" s="344"/>
      <c r="PXQ7" s="344"/>
      <c r="PXR7" s="344"/>
      <c r="PXS7" s="136"/>
      <c r="PXT7" s="137"/>
      <c r="PXU7" s="137"/>
      <c r="PXV7" s="136"/>
      <c r="PXW7" s="344"/>
      <c r="PXX7" s="344"/>
      <c r="PXY7" s="344"/>
      <c r="PXZ7" s="344"/>
      <c r="PYA7" s="136"/>
      <c r="PYB7" s="137"/>
      <c r="PYC7" s="137"/>
      <c r="PYD7" s="136"/>
      <c r="PYE7" s="344"/>
      <c r="PYF7" s="344"/>
      <c r="PYG7" s="344"/>
      <c r="PYH7" s="344"/>
      <c r="PYI7" s="136"/>
      <c r="PYJ7" s="137"/>
      <c r="PYK7" s="137"/>
      <c r="PYL7" s="136"/>
      <c r="PYM7" s="344"/>
      <c r="PYN7" s="344"/>
      <c r="PYO7" s="344"/>
      <c r="PYP7" s="344"/>
      <c r="PYQ7" s="136"/>
      <c r="PYR7" s="137"/>
      <c r="PYS7" s="137"/>
      <c r="PYT7" s="136"/>
      <c r="PYU7" s="344"/>
      <c r="PYV7" s="344"/>
      <c r="PYW7" s="344"/>
      <c r="PYX7" s="344"/>
      <c r="PYY7" s="136"/>
      <c r="PYZ7" s="137"/>
      <c r="PZA7" s="137"/>
      <c r="PZB7" s="136"/>
      <c r="PZC7" s="344"/>
      <c r="PZD7" s="344"/>
      <c r="PZE7" s="344"/>
      <c r="PZF7" s="344"/>
      <c r="PZG7" s="136"/>
      <c r="PZH7" s="137"/>
      <c r="PZI7" s="137"/>
      <c r="PZJ7" s="136"/>
      <c r="PZK7" s="344"/>
      <c r="PZL7" s="344"/>
      <c r="PZM7" s="344"/>
      <c r="PZN7" s="344"/>
      <c r="PZO7" s="136"/>
      <c r="PZP7" s="137"/>
      <c r="PZQ7" s="137"/>
      <c r="PZR7" s="136"/>
      <c r="PZS7" s="344"/>
      <c r="PZT7" s="344"/>
      <c r="PZU7" s="344"/>
      <c r="PZV7" s="344"/>
      <c r="PZW7" s="136"/>
      <c r="PZX7" s="137"/>
      <c r="PZY7" s="137"/>
      <c r="PZZ7" s="136"/>
      <c r="QAA7" s="344"/>
      <c r="QAB7" s="344"/>
      <c r="QAC7" s="344"/>
      <c r="QAD7" s="344"/>
      <c r="QAE7" s="136"/>
      <c r="QAF7" s="137"/>
      <c r="QAG7" s="137"/>
      <c r="QAH7" s="136"/>
      <c r="QAI7" s="344"/>
      <c r="QAJ7" s="344"/>
      <c r="QAK7" s="344"/>
      <c r="QAL7" s="344"/>
      <c r="QAM7" s="136"/>
      <c r="QAN7" s="137"/>
      <c r="QAO7" s="137"/>
      <c r="QAP7" s="136"/>
      <c r="QAQ7" s="344"/>
      <c r="QAR7" s="344"/>
      <c r="QAS7" s="344"/>
      <c r="QAT7" s="344"/>
      <c r="QAU7" s="136"/>
      <c r="QAV7" s="137"/>
      <c r="QAW7" s="137"/>
      <c r="QAX7" s="136"/>
      <c r="QAY7" s="344"/>
      <c r="QAZ7" s="344"/>
      <c r="QBA7" s="344"/>
      <c r="QBB7" s="344"/>
      <c r="QBC7" s="136"/>
      <c r="QBD7" s="137"/>
      <c r="QBE7" s="137"/>
      <c r="QBF7" s="136"/>
      <c r="QBG7" s="344"/>
      <c r="QBH7" s="344"/>
      <c r="QBI7" s="344"/>
      <c r="QBJ7" s="344"/>
      <c r="QBK7" s="136"/>
      <c r="QBL7" s="137"/>
      <c r="QBM7" s="137"/>
      <c r="QBN7" s="136"/>
      <c r="QBO7" s="344"/>
      <c r="QBP7" s="344"/>
      <c r="QBQ7" s="344"/>
      <c r="QBR7" s="344"/>
      <c r="QBS7" s="136"/>
      <c r="QBT7" s="137"/>
      <c r="QBU7" s="137"/>
      <c r="QBV7" s="136"/>
      <c r="QBW7" s="344"/>
      <c r="QBX7" s="344"/>
      <c r="QBY7" s="344"/>
      <c r="QBZ7" s="344"/>
      <c r="QCA7" s="136"/>
      <c r="QCB7" s="137"/>
      <c r="QCC7" s="137"/>
      <c r="QCD7" s="136"/>
      <c r="QCE7" s="344"/>
      <c r="QCF7" s="344"/>
      <c r="QCG7" s="344"/>
      <c r="QCH7" s="344"/>
      <c r="QCI7" s="136"/>
      <c r="QCJ7" s="137"/>
      <c r="QCK7" s="137"/>
      <c r="QCL7" s="136"/>
      <c r="QCM7" s="344"/>
      <c r="QCN7" s="344"/>
      <c r="QCO7" s="344"/>
      <c r="QCP7" s="344"/>
      <c r="QCQ7" s="136"/>
      <c r="QCR7" s="137"/>
      <c r="QCS7" s="137"/>
      <c r="QCT7" s="136"/>
      <c r="QCU7" s="344"/>
      <c r="QCV7" s="344"/>
      <c r="QCW7" s="344"/>
      <c r="QCX7" s="344"/>
      <c r="QCY7" s="136"/>
      <c r="QCZ7" s="137"/>
      <c r="QDA7" s="137"/>
      <c r="QDB7" s="136"/>
      <c r="QDC7" s="344"/>
      <c r="QDD7" s="344"/>
      <c r="QDE7" s="344"/>
      <c r="QDF7" s="344"/>
      <c r="QDG7" s="136"/>
      <c r="QDH7" s="137"/>
      <c r="QDI7" s="137"/>
      <c r="QDJ7" s="136"/>
      <c r="QDK7" s="344"/>
      <c r="QDL7" s="344"/>
      <c r="QDM7" s="344"/>
      <c r="QDN7" s="344"/>
      <c r="QDO7" s="136"/>
      <c r="QDP7" s="137"/>
      <c r="QDQ7" s="137"/>
      <c r="QDR7" s="136"/>
      <c r="QDS7" s="344"/>
      <c r="QDT7" s="344"/>
      <c r="QDU7" s="344"/>
      <c r="QDV7" s="344"/>
      <c r="QDW7" s="136"/>
      <c r="QDX7" s="137"/>
      <c r="QDY7" s="137"/>
      <c r="QDZ7" s="136"/>
      <c r="QEA7" s="344"/>
      <c r="QEB7" s="344"/>
      <c r="QEC7" s="344"/>
      <c r="QED7" s="344"/>
      <c r="QEE7" s="136"/>
      <c r="QEF7" s="137"/>
      <c r="QEG7" s="137"/>
      <c r="QEH7" s="136"/>
      <c r="QEI7" s="344"/>
      <c r="QEJ7" s="344"/>
      <c r="QEK7" s="344"/>
      <c r="QEL7" s="344"/>
      <c r="QEM7" s="136"/>
      <c r="QEN7" s="137"/>
      <c r="QEO7" s="137"/>
      <c r="QEP7" s="136"/>
      <c r="QEQ7" s="344"/>
      <c r="QER7" s="344"/>
      <c r="QES7" s="344"/>
      <c r="QET7" s="344"/>
      <c r="QEU7" s="136"/>
      <c r="QEV7" s="137"/>
      <c r="QEW7" s="137"/>
      <c r="QEX7" s="136"/>
      <c r="QEY7" s="344"/>
      <c r="QEZ7" s="344"/>
      <c r="QFA7" s="344"/>
      <c r="QFB7" s="344"/>
      <c r="QFC7" s="136"/>
      <c r="QFD7" s="137"/>
      <c r="QFE7" s="137"/>
      <c r="QFF7" s="136"/>
      <c r="QFG7" s="344"/>
      <c r="QFH7" s="344"/>
      <c r="QFI7" s="344"/>
      <c r="QFJ7" s="344"/>
      <c r="QFK7" s="136"/>
      <c r="QFL7" s="137"/>
      <c r="QFM7" s="137"/>
      <c r="QFN7" s="136"/>
      <c r="QFO7" s="344"/>
      <c r="QFP7" s="344"/>
      <c r="QFQ7" s="344"/>
      <c r="QFR7" s="344"/>
      <c r="QFS7" s="136"/>
      <c r="QFT7" s="137"/>
      <c r="QFU7" s="137"/>
      <c r="QFV7" s="136"/>
      <c r="QFW7" s="344"/>
      <c r="QFX7" s="344"/>
      <c r="QFY7" s="344"/>
      <c r="QFZ7" s="344"/>
      <c r="QGA7" s="136"/>
      <c r="QGB7" s="137"/>
      <c r="QGC7" s="137"/>
      <c r="QGD7" s="136"/>
      <c r="QGE7" s="344"/>
      <c r="QGF7" s="344"/>
      <c r="QGG7" s="344"/>
      <c r="QGH7" s="344"/>
      <c r="QGI7" s="136"/>
      <c r="QGJ7" s="137"/>
      <c r="QGK7" s="137"/>
      <c r="QGL7" s="136"/>
      <c r="QGM7" s="344"/>
      <c r="QGN7" s="344"/>
      <c r="QGO7" s="344"/>
      <c r="QGP7" s="344"/>
      <c r="QGQ7" s="136"/>
      <c r="QGR7" s="137"/>
      <c r="QGS7" s="137"/>
      <c r="QGT7" s="136"/>
      <c r="QGU7" s="344"/>
      <c r="QGV7" s="344"/>
      <c r="QGW7" s="344"/>
      <c r="QGX7" s="344"/>
      <c r="QGY7" s="136"/>
      <c r="QGZ7" s="137"/>
      <c r="QHA7" s="137"/>
      <c r="QHB7" s="136"/>
      <c r="QHC7" s="344"/>
      <c r="QHD7" s="344"/>
      <c r="QHE7" s="344"/>
      <c r="QHF7" s="344"/>
      <c r="QHG7" s="136"/>
      <c r="QHH7" s="137"/>
      <c r="QHI7" s="137"/>
      <c r="QHJ7" s="136"/>
      <c r="QHK7" s="344"/>
      <c r="QHL7" s="344"/>
      <c r="QHM7" s="344"/>
      <c r="QHN7" s="344"/>
      <c r="QHO7" s="136"/>
      <c r="QHP7" s="137"/>
      <c r="QHQ7" s="137"/>
      <c r="QHR7" s="136"/>
      <c r="QHS7" s="344"/>
      <c r="QHT7" s="344"/>
      <c r="QHU7" s="344"/>
      <c r="QHV7" s="344"/>
      <c r="QHW7" s="136"/>
      <c r="QHX7" s="137"/>
      <c r="QHY7" s="137"/>
      <c r="QHZ7" s="136"/>
      <c r="QIA7" s="344"/>
      <c r="QIB7" s="344"/>
      <c r="QIC7" s="344"/>
      <c r="QID7" s="344"/>
      <c r="QIE7" s="136"/>
      <c r="QIF7" s="137"/>
      <c r="QIG7" s="137"/>
      <c r="QIH7" s="136"/>
      <c r="QII7" s="344"/>
      <c r="QIJ7" s="344"/>
      <c r="QIK7" s="344"/>
      <c r="QIL7" s="344"/>
      <c r="QIM7" s="136"/>
      <c r="QIN7" s="137"/>
      <c r="QIO7" s="137"/>
      <c r="QIP7" s="136"/>
      <c r="QIQ7" s="344"/>
      <c r="QIR7" s="344"/>
      <c r="QIS7" s="344"/>
      <c r="QIT7" s="344"/>
      <c r="QIU7" s="136"/>
      <c r="QIV7" s="137"/>
      <c r="QIW7" s="137"/>
      <c r="QIX7" s="136"/>
      <c r="QIY7" s="344"/>
      <c r="QIZ7" s="344"/>
      <c r="QJA7" s="344"/>
      <c r="QJB7" s="344"/>
      <c r="QJC7" s="136"/>
      <c r="QJD7" s="137"/>
      <c r="QJE7" s="137"/>
      <c r="QJF7" s="136"/>
      <c r="QJG7" s="344"/>
      <c r="QJH7" s="344"/>
      <c r="QJI7" s="344"/>
      <c r="QJJ7" s="344"/>
      <c r="QJK7" s="136"/>
      <c r="QJL7" s="137"/>
      <c r="QJM7" s="137"/>
      <c r="QJN7" s="136"/>
      <c r="QJO7" s="344"/>
      <c r="QJP7" s="344"/>
      <c r="QJQ7" s="344"/>
      <c r="QJR7" s="344"/>
      <c r="QJS7" s="136"/>
      <c r="QJT7" s="137"/>
      <c r="QJU7" s="137"/>
      <c r="QJV7" s="136"/>
      <c r="QJW7" s="344"/>
      <c r="QJX7" s="344"/>
      <c r="QJY7" s="344"/>
      <c r="QJZ7" s="344"/>
      <c r="QKA7" s="136"/>
      <c r="QKB7" s="137"/>
      <c r="QKC7" s="137"/>
      <c r="QKD7" s="136"/>
      <c r="QKE7" s="344"/>
      <c r="QKF7" s="344"/>
      <c r="QKG7" s="344"/>
      <c r="QKH7" s="344"/>
      <c r="QKI7" s="136"/>
      <c r="QKJ7" s="137"/>
      <c r="QKK7" s="137"/>
      <c r="QKL7" s="136"/>
      <c r="QKM7" s="344"/>
      <c r="QKN7" s="344"/>
      <c r="QKO7" s="344"/>
      <c r="QKP7" s="344"/>
      <c r="QKQ7" s="136"/>
      <c r="QKR7" s="137"/>
      <c r="QKS7" s="137"/>
      <c r="QKT7" s="136"/>
      <c r="QKU7" s="344"/>
      <c r="QKV7" s="344"/>
      <c r="QKW7" s="344"/>
      <c r="QKX7" s="344"/>
      <c r="QKY7" s="136"/>
      <c r="QKZ7" s="137"/>
      <c r="QLA7" s="137"/>
      <c r="QLB7" s="136"/>
      <c r="QLC7" s="344"/>
      <c r="QLD7" s="344"/>
      <c r="QLE7" s="344"/>
      <c r="QLF7" s="344"/>
      <c r="QLG7" s="136"/>
      <c r="QLH7" s="137"/>
      <c r="QLI7" s="137"/>
      <c r="QLJ7" s="136"/>
      <c r="QLK7" s="344"/>
      <c r="QLL7" s="344"/>
      <c r="QLM7" s="344"/>
      <c r="QLN7" s="344"/>
      <c r="QLO7" s="136"/>
      <c r="QLP7" s="137"/>
      <c r="QLQ7" s="137"/>
      <c r="QLR7" s="136"/>
      <c r="QLS7" s="344"/>
      <c r="QLT7" s="344"/>
      <c r="QLU7" s="344"/>
      <c r="QLV7" s="344"/>
      <c r="QLW7" s="136"/>
      <c r="QLX7" s="137"/>
      <c r="QLY7" s="137"/>
      <c r="QLZ7" s="136"/>
      <c r="QMA7" s="344"/>
      <c r="QMB7" s="344"/>
      <c r="QMC7" s="344"/>
      <c r="QMD7" s="344"/>
      <c r="QME7" s="136"/>
      <c r="QMF7" s="137"/>
      <c r="QMG7" s="137"/>
      <c r="QMH7" s="136"/>
      <c r="QMI7" s="344"/>
      <c r="QMJ7" s="344"/>
      <c r="QMK7" s="344"/>
      <c r="QML7" s="344"/>
      <c r="QMM7" s="136"/>
      <c r="QMN7" s="137"/>
      <c r="QMO7" s="137"/>
      <c r="QMP7" s="136"/>
      <c r="QMQ7" s="344"/>
      <c r="QMR7" s="344"/>
      <c r="QMS7" s="344"/>
      <c r="QMT7" s="344"/>
      <c r="QMU7" s="136"/>
      <c r="QMV7" s="137"/>
      <c r="QMW7" s="137"/>
      <c r="QMX7" s="136"/>
      <c r="QMY7" s="344"/>
      <c r="QMZ7" s="344"/>
      <c r="QNA7" s="344"/>
      <c r="QNB7" s="344"/>
      <c r="QNC7" s="136"/>
      <c r="QND7" s="137"/>
      <c r="QNE7" s="137"/>
      <c r="QNF7" s="136"/>
      <c r="QNG7" s="344"/>
      <c r="QNH7" s="344"/>
      <c r="QNI7" s="344"/>
      <c r="QNJ7" s="344"/>
      <c r="QNK7" s="136"/>
      <c r="QNL7" s="137"/>
      <c r="QNM7" s="137"/>
      <c r="QNN7" s="136"/>
      <c r="QNO7" s="344"/>
      <c r="QNP7" s="344"/>
      <c r="QNQ7" s="344"/>
      <c r="QNR7" s="344"/>
      <c r="QNS7" s="136"/>
      <c r="QNT7" s="137"/>
      <c r="QNU7" s="137"/>
      <c r="QNV7" s="136"/>
      <c r="QNW7" s="344"/>
      <c r="QNX7" s="344"/>
      <c r="QNY7" s="344"/>
      <c r="QNZ7" s="344"/>
      <c r="QOA7" s="136"/>
      <c r="QOB7" s="137"/>
      <c r="QOC7" s="137"/>
      <c r="QOD7" s="136"/>
      <c r="QOE7" s="344"/>
      <c r="QOF7" s="344"/>
      <c r="QOG7" s="344"/>
      <c r="QOH7" s="344"/>
      <c r="QOI7" s="136"/>
      <c r="QOJ7" s="137"/>
      <c r="QOK7" s="137"/>
      <c r="QOL7" s="136"/>
      <c r="QOM7" s="344"/>
      <c r="QON7" s="344"/>
      <c r="QOO7" s="344"/>
      <c r="QOP7" s="344"/>
      <c r="QOQ7" s="136"/>
      <c r="QOR7" s="137"/>
      <c r="QOS7" s="137"/>
      <c r="QOT7" s="136"/>
      <c r="QOU7" s="344"/>
      <c r="QOV7" s="344"/>
      <c r="QOW7" s="344"/>
      <c r="QOX7" s="344"/>
      <c r="QOY7" s="136"/>
      <c r="QOZ7" s="137"/>
      <c r="QPA7" s="137"/>
      <c r="QPB7" s="136"/>
      <c r="QPC7" s="344"/>
      <c r="QPD7" s="344"/>
      <c r="QPE7" s="344"/>
      <c r="QPF7" s="344"/>
      <c r="QPG7" s="136"/>
      <c r="QPH7" s="137"/>
      <c r="QPI7" s="137"/>
      <c r="QPJ7" s="136"/>
      <c r="QPK7" s="344"/>
      <c r="QPL7" s="344"/>
      <c r="QPM7" s="344"/>
      <c r="QPN7" s="344"/>
      <c r="QPO7" s="136"/>
      <c r="QPP7" s="137"/>
      <c r="QPQ7" s="137"/>
      <c r="QPR7" s="136"/>
      <c r="QPS7" s="344"/>
      <c r="QPT7" s="344"/>
      <c r="QPU7" s="344"/>
      <c r="QPV7" s="344"/>
      <c r="QPW7" s="136"/>
      <c r="QPX7" s="137"/>
      <c r="QPY7" s="137"/>
      <c r="QPZ7" s="136"/>
      <c r="QQA7" s="344"/>
      <c r="QQB7" s="344"/>
      <c r="QQC7" s="344"/>
      <c r="QQD7" s="344"/>
      <c r="QQE7" s="136"/>
      <c r="QQF7" s="137"/>
      <c r="QQG7" s="137"/>
      <c r="QQH7" s="136"/>
      <c r="QQI7" s="344"/>
      <c r="QQJ7" s="344"/>
      <c r="QQK7" s="344"/>
      <c r="QQL7" s="344"/>
      <c r="QQM7" s="136"/>
      <c r="QQN7" s="137"/>
      <c r="QQO7" s="137"/>
      <c r="QQP7" s="136"/>
      <c r="QQQ7" s="344"/>
      <c r="QQR7" s="344"/>
      <c r="QQS7" s="344"/>
      <c r="QQT7" s="344"/>
      <c r="QQU7" s="136"/>
      <c r="QQV7" s="137"/>
      <c r="QQW7" s="137"/>
      <c r="QQX7" s="136"/>
      <c r="QQY7" s="344"/>
      <c r="QQZ7" s="344"/>
      <c r="QRA7" s="344"/>
      <c r="QRB7" s="344"/>
      <c r="QRC7" s="136"/>
      <c r="QRD7" s="137"/>
      <c r="QRE7" s="137"/>
      <c r="QRF7" s="136"/>
      <c r="QRG7" s="344"/>
      <c r="QRH7" s="344"/>
      <c r="QRI7" s="344"/>
      <c r="QRJ7" s="344"/>
      <c r="QRK7" s="136"/>
      <c r="QRL7" s="137"/>
      <c r="QRM7" s="137"/>
      <c r="QRN7" s="136"/>
      <c r="QRO7" s="344"/>
      <c r="QRP7" s="344"/>
      <c r="QRQ7" s="344"/>
      <c r="QRR7" s="344"/>
      <c r="QRS7" s="136"/>
      <c r="QRT7" s="137"/>
      <c r="QRU7" s="137"/>
      <c r="QRV7" s="136"/>
      <c r="QRW7" s="344"/>
      <c r="QRX7" s="344"/>
      <c r="QRY7" s="344"/>
      <c r="QRZ7" s="344"/>
      <c r="QSA7" s="136"/>
      <c r="QSB7" s="137"/>
      <c r="QSC7" s="137"/>
      <c r="QSD7" s="136"/>
      <c r="QSE7" s="344"/>
      <c r="QSF7" s="344"/>
      <c r="QSG7" s="344"/>
      <c r="QSH7" s="344"/>
      <c r="QSI7" s="136"/>
      <c r="QSJ7" s="137"/>
      <c r="QSK7" s="137"/>
      <c r="QSL7" s="136"/>
      <c r="QSM7" s="344"/>
      <c r="QSN7" s="344"/>
      <c r="QSO7" s="344"/>
      <c r="QSP7" s="344"/>
      <c r="QSQ7" s="136"/>
      <c r="QSR7" s="137"/>
      <c r="QSS7" s="137"/>
      <c r="QST7" s="136"/>
      <c r="QSU7" s="344"/>
      <c r="QSV7" s="344"/>
      <c r="QSW7" s="344"/>
      <c r="QSX7" s="344"/>
      <c r="QSY7" s="136"/>
      <c r="QSZ7" s="137"/>
      <c r="QTA7" s="137"/>
      <c r="QTB7" s="136"/>
      <c r="QTC7" s="344"/>
      <c r="QTD7" s="344"/>
      <c r="QTE7" s="344"/>
      <c r="QTF7" s="344"/>
      <c r="QTG7" s="136"/>
      <c r="QTH7" s="137"/>
      <c r="QTI7" s="137"/>
      <c r="QTJ7" s="136"/>
      <c r="QTK7" s="344"/>
      <c r="QTL7" s="344"/>
      <c r="QTM7" s="344"/>
      <c r="QTN7" s="344"/>
      <c r="QTO7" s="136"/>
      <c r="QTP7" s="137"/>
      <c r="QTQ7" s="137"/>
      <c r="QTR7" s="136"/>
      <c r="QTS7" s="344"/>
      <c r="QTT7" s="344"/>
      <c r="QTU7" s="344"/>
      <c r="QTV7" s="344"/>
      <c r="QTW7" s="136"/>
      <c r="QTX7" s="137"/>
      <c r="QTY7" s="137"/>
      <c r="QTZ7" s="136"/>
      <c r="QUA7" s="344"/>
      <c r="QUB7" s="344"/>
      <c r="QUC7" s="344"/>
      <c r="QUD7" s="344"/>
      <c r="QUE7" s="136"/>
      <c r="QUF7" s="137"/>
      <c r="QUG7" s="137"/>
      <c r="QUH7" s="136"/>
      <c r="QUI7" s="344"/>
      <c r="QUJ7" s="344"/>
      <c r="QUK7" s="344"/>
      <c r="QUL7" s="344"/>
      <c r="QUM7" s="136"/>
      <c r="QUN7" s="137"/>
      <c r="QUO7" s="137"/>
      <c r="QUP7" s="136"/>
      <c r="QUQ7" s="344"/>
      <c r="QUR7" s="344"/>
      <c r="QUS7" s="344"/>
      <c r="QUT7" s="344"/>
      <c r="QUU7" s="136"/>
      <c r="QUV7" s="137"/>
      <c r="QUW7" s="137"/>
      <c r="QUX7" s="136"/>
      <c r="QUY7" s="344"/>
      <c r="QUZ7" s="344"/>
      <c r="QVA7" s="344"/>
      <c r="QVB7" s="344"/>
      <c r="QVC7" s="136"/>
      <c r="QVD7" s="137"/>
      <c r="QVE7" s="137"/>
      <c r="QVF7" s="136"/>
      <c r="QVG7" s="344"/>
      <c r="QVH7" s="344"/>
      <c r="QVI7" s="344"/>
      <c r="QVJ7" s="344"/>
      <c r="QVK7" s="136"/>
      <c r="QVL7" s="137"/>
      <c r="QVM7" s="137"/>
      <c r="QVN7" s="136"/>
      <c r="QVO7" s="344"/>
      <c r="QVP7" s="344"/>
      <c r="QVQ7" s="344"/>
      <c r="QVR7" s="344"/>
      <c r="QVS7" s="136"/>
      <c r="QVT7" s="137"/>
      <c r="QVU7" s="137"/>
      <c r="QVV7" s="136"/>
      <c r="QVW7" s="344"/>
      <c r="QVX7" s="344"/>
      <c r="QVY7" s="344"/>
      <c r="QVZ7" s="344"/>
      <c r="QWA7" s="136"/>
      <c r="QWB7" s="137"/>
      <c r="QWC7" s="137"/>
      <c r="QWD7" s="136"/>
      <c r="QWE7" s="344"/>
      <c r="QWF7" s="344"/>
      <c r="QWG7" s="344"/>
      <c r="QWH7" s="344"/>
      <c r="QWI7" s="136"/>
      <c r="QWJ7" s="137"/>
      <c r="QWK7" s="137"/>
      <c r="QWL7" s="136"/>
      <c r="QWM7" s="344"/>
      <c r="QWN7" s="344"/>
      <c r="QWO7" s="344"/>
      <c r="QWP7" s="344"/>
      <c r="QWQ7" s="136"/>
      <c r="QWR7" s="137"/>
      <c r="QWS7" s="137"/>
      <c r="QWT7" s="136"/>
      <c r="QWU7" s="344"/>
      <c r="QWV7" s="344"/>
      <c r="QWW7" s="344"/>
      <c r="QWX7" s="344"/>
      <c r="QWY7" s="136"/>
      <c r="QWZ7" s="137"/>
      <c r="QXA7" s="137"/>
      <c r="QXB7" s="136"/>
      <c r="QXC7" s="344"/>
      <c r="QXD7" s="344"/>
      <c r="QXE7" s="344"/>
      <c r="QXF7" s="344"/>
      <c r="QXG7" s="136"/>
      <c r="QXH7" s="137"/>
      <c r="QXI7" s="137"/>
      <c r="QXJ7" s="136"/>
      <c r="QXK7" s="344"/>
      <c r="QXL7" s="344"/>
      <c r="QXM7" s="344"/>
      <c r="QXN7" s="344"/>
      <c r="QXO7" s="136"/>
      <c r="QXP7" s="137"/>
      <c r="QXQ7" s="137"/>
      <c r="QXR7" s="136"/>
      <c r="QXS7" s="344"/>
      <c r="QXT7" s="344"/>
      <c r="QXU7" s="344"/>
      <c r="QXV7" s="344"/>
      <c r="QXW7" s="136"/>
      <c r="QXX7" s="137"/>
      <c r="QXY7" s="137"/>
      <c r="QXZ7" s="136"/>
      <c r="QYA7" s="344"/>
      <c r="QYB7" s="344"/>
      <c r="QYC7" s="344"/>
      <c r="QYD7" s="344"/>
      <c r="QYE7" s="136"/>
      <c r="QYF7" s="137"/>
      <c r="QYG7" s="137"/>
      <c r="QYH7" s="136"/>
      <c r="QYI7" s="344"/>
      <c r="QYJ7" s="344"/>
      <c r="QYK7" s="344"/>
      <c r="QYL7" s="344"/>
      <c r="QYM7" s="136"/>
      <c r="QYN7" s="137"/>
      <c r="QYO7" s="137"/>
      <c r="QYP7" s="136"/>
      <c r="QYQ7" s="344"/>
      <c r="QYR7" s="344"/>
      <c r="QYS7" s="344"/>
      <c r="QYT7" s="344"/>
      <c r="QYU7" s="136"/>
      <c r="QYV7" s="137"/>
      <c r="QYW7" s="137"/>
      <c r="QYX7" s="136"/>
      <c r="QYY7" s="344"/>
      <c r="QYZ7" s="344"/>
      <c r="QZA7" s="344"/>
      <c r="QZB7" s="344"/>
      <c r="QZC7" s="136"/>
      <c r="QZD7" s="137"/>
      <c r="QZE7" s="137"/>
      <c r="QZF7" s="136"/>
      <c r="QZG7" s="344"/>
      <c r="QZH7" s="344"/>
      <c r="QZI7" s="344"/>
      <c r="QZJ7" s="344"/>
      <c r="QZK7" s="136"/>
      <c r="QZL7" s="137"/>
      <c r="QZM7" s="137"/>
      <c r="QZN7" s="136"/>
      <c r="QZO7" s="344"/>
      <c r="QZP7" s="344"/>
      <c r="QZQ7" s="344"/>
      <c r="QZR7" s="344"/>
      <c r="QZS7" s="136"/>
      <c r="QZT7" s="137"/>
      <c r="QZU7" s="137"/>
      <c r="QZV7" s="136"/>
      <c r="QZW7" s="344"/>
      <c r="QZX7" s="344"/>
      <c r="QZY7" s="344"/>
      <c r="QZZ7" s="344"/>
      <c r="RAA7" s="136"/>
      <c r="RAB7" s="137"/>
      <c r="RAC7" s="137"/>
      <c r="RAD7" s="136"/>
      <c r="RAE7" s="344"/>
      <c r="RAF7" s="344"/>
      <c r="RAG7" s="344"/>
      <c r="RAH7" s="344"/>
      <c r="RAI7" s="136"/>
      <c r="RAJ7" s="137"/>
      <c r="RAK7" s="137"/>
      <c r="RAL7" s="136"/>
      <c r="RAM7" s="344"/>
      <c r="RAN7" s="344"/>
      <c r="RAO7" s="344"/>
      <c r="RAP7" s="344"/>
      <c r="RAQ7" s="136"/>
      <c r="RAR7" s="137"/>
      <c r="RAS7" s="137"/>
      <c r="RAT7" s="136"/>
      <c r="RAU7" s="344"/>
      <c r="RAV7" s="344"/>
      <c r="RAW7" s="344"/>
      <c r="RAX7" s="344"/>
      <c r="RAY7" s="136"/>
      <c r="RAZ7" s="137"/>
      <c r="RBA7" s="137"/>
      <c r="RBB7" s="136"/>
      <c r="RBC7" s="344"/>
      <c r="RBD7" s="344"/>
      <c r="RBE7" s="344"/>
      <c r="RBF7" s="344"/>
      <c r="RBG7" s="136"/>
      <c r="RBH7" s="137"/>
      <c r="RBI7" s="137"/>
      <c r="RBJ7" s="136"/>
      <c r="RBK7" s="344"/>
      <c r="RBL7" s="344"/>
      <c r="RBM7" s="344"/>
      <c r="RBN7" s="344"/>
      <c r="RBO7" s="136"/>
      <c r="RBP7" s="137"/>
      <c r="RBQ7" s="137"/>
      <c r="RBR7" s="136"/>
      <c r="RBS7" s="344"/>
      <c r="RBT7" s="344"/>
      <c r="RBU7" s="344"/>
      <c r="RBV7" s="344"/>
      <c r="RBW7" s="136"/>
      <c r="RBX7" s="137"/>
      <c r="RBY7" s="137"/>
      <c r="RBZ7" s="136"/>
      <c r="RCA7" s="344"/>
      <c r="RCB7" s="344"/>
      <c r="RCC7" s="344"/>
      <c r="RCD7" s="344"/>
      <c r="RCE7" s="136"/>
      <c r="RCF7" s="137"/>
      <c r="RCG7" s="137"/>
      <c r="RCH7" s="136"/>
      <c r="RCI7" s="344"/>
      <c r="RCJ7" s="344"/>
      <c r="RCK7" s="344"/>
      <c r="RCL7" s="344"/>
      <c r="RCM7" s="136"/>
      <c r="RCN7" s="137"/>
      <c r="RCO7" s="137"/>
      <c r="RCP7" s="136"/>
      <c r="RCQ7" s="344"/>
      <c r="RCR7" s="344"/>
      <c r="RCS7" s="344"/>
      <c r="RCT7" s="344"/>
      <c r="RCU7" s="136"/>
      <c r="RCV7" s="137"/>
      <c r="RCW7" s="137"/>
      <c r="RCX7" s="136"/>
      <c r="RCY7" s="344"/>
      <c r="RCZ7" s="344"/>
      <c r="RDA7" s="344"/>
      <c r="RDB7" s="344"/>
      <c r="RDC7" s="136"/>
      <c r="RDD7" s="137"/>
      <c r="RDE7" s="137"/>
      <c r="RDF7" s="136"/>
      <c r="RDG7" s="344"/>
      <c r="RDH7" s="344"/>
      <c r="RDI7" s="344"/>
      <c r="RDJ7" s="344"/>
      <c r="RDK7" s="136"/>
      <c r="RDL7" s="137"/>
      <c r="RDM7" s="137"/>
      <c r="RDN7" s="136"/>
      <c r="RDO7" s="344"/>
      <c r="RDP7" s="344"/>
      <c r="RDQ7" s="344"/>
      <c r="RDR7" s="344"/>
      <c r="RDS7" s="136"/>
      <c r="RDT7" s="137"/>
      <c r="RDU7" s="137"/>
      <c r="RDV7" s="136"/>
      <c r="RDW7" s="344"/>
      <c r="RDX7" s="344"/>
      <c r="RDY7" s="344"/>
      <c r="RDZ7" s="344"/>
      <c r="REA7" s="136"/>
      <c r="REB7" s="137"/>
      <c r="REC7" s="137"/>
      <c r="RED7" s="136"/>
      <c r="REE7" s="344"/>
      <c r="REF7" s="344"/>
      <c r="REG7" s="344"/>
      <c r="REH7" s="344"/>
      <c r="REI7" s="136"/>
      <c r="REJ7" s="137"/>
      <c r="REK7" s="137"/>
      <c r="REL7" s="136"/>
      <c r="REM7" s="344"/>
      <c r="REN7" s="344"/>
      <c r="REO7" s="344"/>
      <c r="REP7" s="344"/>
      <c r="REQ7" s="136"/>
      <c r="RER7" s="137"/>
      <c r="RES7" s="137"/>
      <c r="RET7" s="136"/>
      <c r="REU7" s="344"/>
      <c r="REV7" s="344"/>
      <c r="REW7" s="344"/>
      <c r="REX7" s="344"/>
      <c r="REY7" s="136"/>
      <c r="REZ7" s="137"/>
      <c r="RFA7" s="137"/>
      <c r="RFB7" s="136"/>
      <c r="RFC7" s="344"/>
      <c r="RFD7" s="344"/>
      <c r="RFE7" s="344"/>
      <c r="RFF7" s="344"/>
      <c r="RFG7" s="136"/>
      <c r="RFH7" s="137"/>
      <c r="RFI7" s="137"/>
      <c r="RFJ7" s="136"/>
      <c r="RFK7" s="344"/>
      <c r="RFL7" s="344"/>
      <c r="RFM7" s="344"/>
      <c r="RFN7" s="344"/>
      <c r="RFO7" s="136"/>
      <c r="RFP7" s="137"/>
      <c r="RFQ7" s="137"/>
      <c r="RFR7" s="136"/>
      <c r="RFS7" s="344"/>
      <c r="RFT7" s="344"/>
      <c r="RFU7" s="344"/>
      <c r="RFV7" s="344"/>
      <c r="RFW7" s="136"/>
      <c r="RFX7" s="137"/>
      <c r="RFY7" s="137"/>
      <c r="RFZ7" s="136"/>
      <c r="RGA7" s="344"/>
      <c r="RGB7" s="344"/>
      <c r="RGC7" s="344"/>
      <c r="RGD7" s="344"/>
      <c r="RGE7" s="136"/>
      <c r="RGF7" s="137"/>
      <c r="RGG7" s="137"/>
      <c r="RGH7" s="136"/>
      <c r="RGI7" s="344"/>
      <c r="RGJ7" s="344"/>
      <c r="RGK7" s="344"/>
      <c r="RGL7" s="344"/>
      <c r="RGM7" s="136"/>
      <c r="RGN7" s="137"/>
      <c r="RGO7" s="137"/>
      <c r="RGP7" s="136"/>
      <c r="RGQ7" s="344"/>
      <c r="RGR7" s="344"/>
      <c r="RGS7" s="344"/>
      <c r="RGT7" s="344"/>
      <c r="RGU7" s="136"/>
      <c r="RGV7" s="137"/>
      <c r="RGW7" s="137"/>
      <c r="RGX7" s="136"/>
      <c r="RGY7" s="344"/>
      <c r="RGZ7" s="344"/>
      <c r="RHA7" s="344"/>
      <c r="RHB7" s="344"/>
      <c r="RHC7" s="136"/>
      <c r="RHD7" s="137"/>
      <c r="RHE7" s="137"/>
      <c r="RHF7" s="136"/>
      <c r="RHG7" s="344"/>
      <c r="RHH7" s="344"/>
      <c r="RHI7" s="344"/>
      <c r="RHJ7" s="344"/>
      <c r="RHK7" s="136"/>
      <c r="RHL7" s="137"/>
      <c r="RHM7" s="137"/>
      <c r="RHN7" s="136"/>
      <c r="RHO7" s="344"/>
      <c r="RHP7" s="344"/>
      <c r="RHQ7" s="344"/>
      <c r="RHR7" s="344"/>
      <c r="RHS7" s="136"/>
      <c r="RHT7" s="137"/>
      <c r="RHU7" s="137"/>
      <c r="RHV7" s="136"/>
      <c r="RHW7" s="344"/>
      <c r="RHX7" s="344"/>
      <c r="RHY7" s="344"/>
      <c r="RHZ7" s="344"/>
      <c r="RIA7" s="136"/>
      <c r="RIB7" s="137"/>
      <c r="RIC7" s="137"/>
      <c r="RID7" s="136"/>
      <c r="RIE7" s="344"/>
      <c r="RIF7" s="344"/>
      <c r="RIG7" s="344"/>
      <c r="RIH7" s="344"/>
      <c r="RII7" s="136"/>
      <c r="RIJ7" s="137"/>
      <c r="RIK7" s="137"/>
      <c r="RIL7" s="136"/>
      <c r="RIM7" s="344"/>
      <c r="RIN7" s="344"/>
      <c r="RIO7" s="344"/>
      <c r="RIP7" s="344"/>
      <c r="RIQ7" s="136"/>
      <c r="RIR7" s="137"/>
      <c r="RIS7" s="137"/>
      <c r="RIT7" s="136"/>
      <c r="RIU7" s="344"/>
      <c r="RIV7" s="344"/>
      <c r="RIW7" s="344"/>
      <c r="RIX7" s="344"/>
      <c r="RIY7" s="136"/>
      <c r="RIZ7" s="137"/>
      <c r="RJA7" s="137"/>
      <c r="RJB7" s="136"/>
      <c r="RJC7" s="344"/>
      <c r="RJD7" s="344"/>
      <c r="RJE7" s="344"/>
      <c r="RJF7" s="344"/>
      <c r="RJG7" s="136"/>
      <c r="RJH7" s="137"/>
      <c r="RJI7" s="137"/>
      <c r="RJJ7" s="136"/>
      <c r="RJK7" s="344"/>
      <c r="RJL7" s="344"/>
      <c r="RJM7" s="344"/>
      <c r="RJN7" s="344"/>
      <c r="RJO7" s="136"/>
      <c r="RJP7" s="137"/>
      <c r="RJQ7" s="137"/>
      <c r="RJR7" s="136"/>
      <c r="RJS7" s="344"/>
      <c r="RJT7" s="344"/>
      <c r="RJU7" s="344"/>
      <c r="RJV7" s="344"/>
      <c r="RJW7" s="136"/>
      <c r="RJX7" s="137"/>
      <c r="RJY7" s="137"/>
      <c r="RJZ7" s="136"/>
      <c r="RKA7" s="344"/>
      <c r="RKB7" s="344"/>
      <c r="RKC7" s="344"/>
      <c r="RKD7" s="344"/>
      <c r="RKE7" s="136"/>
      <c r="RKF7" s="137"/>
      <c r="RKG7" s="137"/>
      <c r="RKH7" s="136"/>
      <c r="RKI7" s="344"/>
      <c r="RKJ7" s="344"/>
      <c r="RKK7" s="344"/>
      <c r="RKL7" s="344"/>
      <c r="RKM7" s="136"/>
      <c r="RKN7" s="137"/>
      <c r="RKO7" s="137"/>
      <c r="RKP7" s="136"/>
      <c r="RKQ7" s="344"/>
      <c r="RKR7" s="344"/>
      <c r="RKS7" s="344"/>
      <c r="RKT7" s="344"/>
      <c r="RKU7" s="136"/>
      <c r="RKV7" s="137"/>
      <c r="RKW7" s="137"/>
      <c r="RKX7" s="136"/>
      <c r="RKY7" s="344"/>
      <c r="RKZ7" s="344"/>
      <c r="RLA7" s="344"/>
      <c r="RLB7" s="344"/>
      <c r="RLC7" s="136"/>
      <c r="RLD7" s="137"/>
      <c r="RLE7" s="137"/>
      <c r="RLF7" s="136"/>
      <c r="RLG7" s="344"/>
      <c r="RLH7" s="344"/>
      <c r="RLI7" s="344"/>
      <c r="RLJ7" s="344"/>
      <c r="RLK7" s="136"/>
      <c r="RLL7" s="137"/>
      <c r="RLM7" s="137"/>
      <c r="RLN7" s="136"/>
      <c r="RLO7" s="344"/>
      <c r="RLP7" s="344"/>
      <c r="RLQ7" s="344"/>
      <c r="RLR7" s="344"/>
      <c r="RLS7" s="136"/>
      <c r="RLT7" s="137"/>
      <c r="RLU7" s="137"/>
      <c r="RLV7" s="136"/>
      <c r="RLW7" s="344"/>
      <c r="RLX7" s="344"/>
      <c r="RLY7" s="344"/>
      <c r="RLZ7" s="344"/>
      <c r="RMA7" s="136"/>
      <c r="RMB7" s="137"/>
      <c r="RMC7" s="137"/>
      <c r="RMD7" s="136"/>
      <c r="RME7" s="344"/>
      <c r="RMF7" s="344"/>
      <c r="RMG7" s="344"/>
      <c r="RMH7" s="344"/>
      <c r="RMI7" s="136"/>
      <c r="RMJ7" s="137"/>
      <c r="RMK7" s="137"/>
      <c r="RML7" s="136"/>
      <c r="RMM7" s="344"/>
      <c r="RMN7" s="344"/>
      <c r="RMO7" s="344"/>
      <c r="RMP7" s="344"/>
      <c r="RMQ7" s="136"/>
      <c r="RMR7" s="137"/>
      <c r="RMS7" s="137"/>
      <c r="RMT7" s="136"/>
      <c r="RMU7" s="344"/>
      <c r="RMV7" s="344"/>
      <c r="RMW7" s="344"/>
      <c r="RMX7" s="344"/>
      <c r="RMY7" s="136"/>
      <c r="RMZ7" s="137"/>
      <c r="RNA7" s="137"/>
      <c r="RNB7" s="136"/>
      <c r="RNC7" s="344"/>
      <c r="RND7" s="344"/>
      <c r="RNE7" s="344"/>
      <c r="RNF7" s="344"/>
      <c r="RNG7" s="136"/>
      <c r="RNH7" s="137"/>
      <c r="RNI7" s="137"/>
      <c r="RNJ7" s="136"/>
      <c r="RNK7" s="344"/>
      <c r="RNL7" s="344"/>
      <c r="RNM7" s="344"/>
      <c r="RNN7" s="344"/>
      <c r="RNO7" s="136"/>
      <c r="RNP7" s="137"/>
      <c r="RNQ7" s="137"/>
      <c r="RNR7" s="136"/>
      <c r="RNS7" s="344"/>
      <c r="RNT7" s="344"/>
      <c r="RNU7" s="344"/>
      <c r="RNV7" s="344"/>
      <c r="RNW7" s="136"/>
      <c r="RNX7" s="137"/>
      <c r="RNY7" s="137"/>
      <c r="RNZ7" s="136"/>
      <c r="ROA7" s="344"/>
      <c r="ROB7" s="344"/>
      <c r="ROC7" s="344"/>
      <c r="ROD7" s="344"/>
      <c r="ROE7" s="136"/>
      <c r="ROF7" s="137"/>
      <c r="ROG7" s="137"/>
      <c r="ROH7" s="136"/>
      <c r="ROI7" s="344"/>
      <c r="ROJ7" s="344"/>
      <c r="ROK7" s="344"/>
      <c r="ROL7" s="344"/>
      <c r="ROM7" s="136"/>
      <c r="RON7" s="137"/>
      <c r="ROO7" s="137"/>
      <c r="ROP7" s="136"/>
      <c r="ROQ7" s="344"/>
      <c r="ROR7" s="344"/>
      <c r="ROS7" s="344"/>
      <c r="ROT7" s="344"/>
      <c r="ROU7" s="136"/>
      <c r="ROV7" s="137"/>
      <c r="ROW7" s="137"/>
      <c r="ROX7" s="136"/>
      <c r="ROY7" s="344"/>
      <c r="ROZ7" s="344"/>
      <c r="RPA7" s="344"/>
      <c r="RPB7" s="344"/>
      <c r="RPC7" s="136"/>
      <c r="RPD7" s="137"/>
      <c r="RPE7" s="137"/>
      <c r="RPF7" s="136"/>
      <c r="RPG7" s="344"/>
      <c r="RPH7" s="344"/>
      <c r="RPI7" s="344"/>
      <c r="RPJ7" s="344"/>
      <c r="RPK7" s="136"/>
      <c r="RPL7" s="137"/>
      <c r="RPM7" s="137"/>
      <c r="RPN7" s="136"/>
      <c r="RPO7" s="344"/>
      <c r="RPP7" s="344"/>
      <c r="RPQ7" s="344"/>
      <c r="RPR7" s="344"/>
      <c r="RPS7" s="136"/>
      <c r="RPT7" s="137"/>
      <c r="RPU7" s="137"/>
      <c r="RPV7" s="136"/>
      <c r="RPW7" s="344"/>
      <c r="RPX7" s="344"/>
      <c r="RPY7" s="344"/>
      <c r="RPZ7" s="344"/>
      <c r="RQA7" s="136"/>
      <c r="RQB7" s="137"/>
      <c r="RQC7" s="137"/>
      <c r="RQD7" s="136"/>
      <c r="RQE7" s="344"/>
      <c r="RQF7" s="344"/>
      <c r="RQG7" s="344"/>
      <c r="RQH7" s="344"/>
      <c r="RQI7" s="136"/>
      <c r="RQJ7" s="137"/>
      <c r="RQK7" s="137"/>
      <c r="RQL7" s="136"/>
      <c r="RQM7" s="344"/>
      <c r="RQN7" s="344"/>
      <c r="RQO7" s="344"/>
      <c r="RQP7" s="344"/>
      <c r="RQQ7" s="136"/>
      <c r="RQR7" s="137"/>
      <c r="RQS7" s="137"/>
      <c r="RQT7" s="136"/>
      <c r="RQU7" s="344"/>
      <c r="RQV7" s="344"/>
      <c r="RQW7" s="344"/>
      <c r="RQX7" s="344"/>
      <c r="RQY7" s="136"/>
      <c r="RQZ7" s="137"/>
      <c r="RRA7" s="137"/>
      <c r="RRB7" s="136"/>
      <c r="RRC7" s="344"/>
      <c r="RRD7" s="344"/>
      <c r="RRE7" s="344"/>
      <c r="RRF7" s="344"/>
      <c r="RRG7" s="136"/>
      <c r="RRH7" s="137"/>
      <c r="RRI7" s="137"/>
      <c r="RRJ7" s="136"/>
      <c r="RRK7" s="344"/>
      <c r="RRL7" s="344"/>
      <c r="RRM7" s="344"/>
      <c r="RRN7" s="344"/>
      <c r="RRO7" s="136"/>
      <c r="RRP7" s="137"/>
      <c r="RRQ7" s="137"/>
      <c r="RRR7" s="136"/>
      <c r="RRS7" s="344"/>
      <c r="RRT7" s="344"/>
      <c r="RRU7" s="344"/>
      <c r="RRV7" s="344"/>
      <c r="RRW7" s="136"/>
      <c r="RRX7" s="137"/>
      <c r="RRY7" s="137"/>
      <c r="RRZ7" s="136"/>
      <c r="RSA7" s="344"/>
      <c r="RSB7" s="344"/>
      <c r="RSC7" s="344"/>
      <c r="RSD7" s="344"/>
      <c r="RSE7" s="136"/>
      <c r="RSF7" s="137"/>
      <c r="RSG7" s="137"/>
      <c r="RSH7" s="136"/>
      <c r="RSI7" s="344"/>
      <c r="RSJ7" s="344"/>
      <c r="RSK7" s="344"/>
      <c r="RSL7" s="344"/>
      <c r="RSM7" s="136"/>
      <c r="RSN7" s="137"/>
      <c r="RSO7" s="137"/>
      <c r="RSP7" s="136"/>
      <c r="RSQ7" s="344"/>
      <c r="RSR7" s="344"/>
      <c r="RSS7" s="344"/>
      <c r="RST7" s="344"/>
      <c r="RSU7" s="136"/>
      <c r="RSV7" s="137"/>
      <c r="RSW7" s="137"/>
      <c r="RSX7" s="136"/>
      <c r="RSY7" s="344"/>
      <c r="RSZ7" s="344"/>
      <c r="RTA7" s="344"/>
      <c r="RTB7" s="344"/>
      <c r="RTC7" s="136"/>
      <c r="RTD7" s="137"/>
      <c r="RTE7" s="137"/>
      <c r="RTF7" s="136"/>
      <c r="RTG7" s="344"/>
      <c r="RTH7" s="344"/>
      <c r="RTI7" s="344"/>
      <c r="RTJ7" s="344"/>
      <c r="RTK7" s="136"/>
      <c r="RTL7" s="137"/>
      <c r="RTM7" s="137"/>
      <c r="RTN7" s="136"/>
      <c r="RTO7" s="344"/>
      <c r="RTP7" s="344"/>
      <c r="RTQ7" s="344"/>
      <c r="RTR7" s="344"/>
      <c r="RTS7" s="136"/>
      <c r="RTT7" s="137"/>
      <c r="RTU7" s="137"/>
      <c r="RTV7" s="136"/>
      <c r="RTW7" s="344"/>
      <c r="RTX7" s="344"/>
      <c r="RTY7" s="344"/>
      <c r="RTZ7" s="344"/>
      <c r="RUA7" s="136"/>
      <c r="RUB7" s="137"/>
      <c r="RUC7" s="137"/>
      <c r="RUD7" s="136"/>
      <c r="RUE7" s="344"/>
      <c r="RUF7" s="344"/>
      <c r="RUG7" s="344"/>
      <c r="RUH7" s="344"/>
      <c r="RUI7" s="136"/>
      <c r="RUJ7" s="137"/>
      <c r="RUK7" s="137"/>
      <c r="RUL7" s="136"/>
      <c r="RUM7" s="344"/>
      <c r="RUN7" s="344"/>
      <c r="RUO7" s="344"/>
      <c r="RUP7" s="344"/>
      <c r="RUQ7" s="136"/>
      <c r="RUR7" s="137"/>
      <c r="RUS7" s="137"/>
      <c r="RUT7" s="136"/>
      <c r="RUU7" s="344"/>
      <c r="RUV7" s="344"/>
      <c r="RUW7" s="344"/>
      <c r="RUX7" s="344"/>
      <c r="RUY7" s="136"/>
      <c r="RUZ7" s="137"/>
      <c r="RVA7" s="137"/>
      <c r="RVB7" s="136"/>
      <c r="RVC7" s="344"/>
      <c r="RVD7" s="344"/>
      <c r="RVE7" s="344"/>
      <c r="RVF7" s="344"/>
      <c r="RVG7" s="136"/>
      <c r="RVH7" s="137"/>
      <c r="RVI7" s="137"/>
      <c r="RVJ7" s="136"/>
      <c r="RVK7" s="344"/>
      <c r="RVL7" s="344"/>
      <c r="RVM7" s="344"/>
      <c r="RVN7" s="344"/>
      <c r="RVO7" s="136"/>
      <c r="RVP7" s="137"/>
      <c r="RVQ7" s="137"/>
      <c r="RVR7" s="136"/>
      <c r="RVS7" s="344"/>
      <c r="RVT7" s="344"/>
      <c r="RVU7" s="344"/>
      <c r="RVV7" s="344"/>
      <c r="RVW7" s="136"/>
      <c r="RVX7" s="137"/>
      <c r="RVY7" s="137"/>
      <c r="RVZ7" s="136"/>
      <c r="RWA7" s="344"/>
      <c r="RWB7" s="344"/>
      <c r="RWC7" s="344"/>
      <c r="RWD7" s="344"/>
      <c r="RWE7" s="136"/>
      <c r="RWF7" s="137"/>
      <c r="RWG7" s="137"/>
      <c r="RWH7" s="136"/>
      <c r="RWI7" s="344"/>
      <c r="RWJ7" s="344"/>
      <c r="RWK7" s="344"/>
      <c r="RWL7" s="344"/>
      <c r="RWM7" s="136"/>
      <c r="RWN7" s="137"/>
      <c r="RWO7" s="137"/>
      <c r="RWP7" s="136"/>
      <c r="RWQ7" s="344"/>
      <c r="RWR7" s="344"/>
      <c r="RWS7" s="344"/>
      <c r="RWT7" s="344"/>
      <c r="RWU7" s="136"/>
      <c r="RWV7" s="137"/>
      <c r="RWW7" s="137"/>
      <c r="RWX7" s="136"/>
      <c r="RWY7" s="344"/>
      <c r="RWZ7" s="344"/>
      <c r="RXA7" s="344"/>
      <c r="RXB7" s="344"/>
      <c r="RXC7" s="136"/>
      <c r="RXD7" s="137"/>
      <c r="RXE7" s="137"/>
      <c r="RXF7" s="136"/>
      <c r="RXG7" s="344"/>
      <c r="RXH7" s="344"/>
      <c r="RXI7" s="344"/>
      <c r="RXJ7" s="344"/>
      <c r="RXK7" s="136"/>
      <c r="RXL7" s="137"/>
      <c r="RXM7" s="137"/>
      <c r="RXN7" s="136"/>
      <c r="RXO7" s="344"/>
      <c r="RXP7" s="344"/>
      <c r="RXQ7" s="344"/>
      <c r="RXR7" s="344"/>
      <c r="RXS7" s="136"/>
      <c r="RXT7" s="137"/>
      <c r="RXU7" s="137"/>
      <c r="RXV7" s="136"/>
      <c r="RXW7" s="344"/>
      <c r="RXX7" s="344"/>
      <c r="RXY7" s="344"/>
      <c r="RXZ7" s="344"/>
      <c r="RYA7" s="136"/>
      <c r="RYB7" s="137"/>
      <c r="RYC7" s="137"/>
      <c r="RYD7" s="136"/>
      <c r="RYE7" s="344"/>
      <c r="RYF7" s="344"/>
      <c r="RYG7" s="344"/>
      <c r="RYH7" s="344"/>
      <c r="RYI7" s="136"/>
      <c r="RYJ7" s="137"/>
      <c r="RYK7" s="137"/>
      <c r="RYL7" s="136"/>
      <c r="RYM7" s="344"/>
      <c r="RYN7" s="344"/>
      <c r="RYO7" s="344"/>
      <c r="RYP7" s="344"/>
      <c r="RYQ7" s="136"/>
      <c r="RYR7" s="137"/>
      <c r="RYS7" s="137"/>
      <c r="RYT7" s="136"/>
      <c r="RYU7" s="344"/>
      <c r="RYV7" s="344"/>
      <c r="RYW7" s="344"/>
      <c r="RYX7" s="344"/>
      <c r="RYY7" s="136"/>
      <c r="RYZ7" s="137"/>
      <c r="RZA7" s="137"/>
      <c r="RZB7" s="136"/>
      <c r="RZC7" s="344"/>
      <c r="RZD7" s="344"/>
      <c r="RZE7" s="344"/>
      <c r="RZF7" s="344"/>
      <c r="RZG7" s="136"/>
      <c r="RZH7" s="137"/>
      <c r="RZI7" s="137"/>
      <c r="RZJ7" s="136"/>
      <c r="RZK7" s="344"/>
      <c r="RZL7" s="344"/>
      <c r="RZM7" s="344"/>
      <c r="RZN7" s="344"/>
      <c r="RZO7" s="136"/>
      <c r="RZP7" s="137"/>
      <c r="RZQ7" s="137"/>
      <c r="RZR7" s="136"/>
      <c r="RZS7" s="344"/>
      <c r="RZT7" s="344"/>
      <c r="RZU7" s="344"/>
      <c r="RZV7" s="344"/>
      <c r="RZW7" s="136"/>
      <c r="RZX7" s="137"/>
      <c r="RZY7" s="137"/>
      <c r="RZZ7" s="136"/>
      <c r="SAA7" s="344"/>
      <c r="SAB7" s="344"/>
      <c r="SAC7" s="344"/>
      <c r="SAD7" s="344"/>
      <c r="SAE7" s="136"/>
      <c r="SAF7" s="137"/>
      <c r="SAG7" s="137"/>
      <c r="SAH7" s="136"/>
      <c r="SAI7" s="344"/>
      <c r="SAJ7" s="344"/>
      <c r="SAK7" s="344"/>
      <c r="SAL7" s="344"/>
      <c r="SAM7" s="136"/>
      <c r="SAN7" s="137"/>
      <c r="SAO7" s="137"/>
      <c r="SAP7" s="136"/>
      <c r="SAQ7" s="344"/>
      <c r="SAR7" s="344"/>
      <c r="SAS7" s="344"/>
      <c r="SAT7" s="344"/>
      <c r="SAU7" s="136"/>
      <c r="SAV7" s="137"/>
      <c r="SAW7" s="137"/>
      <c r="SAX7" s="136"/>
      <c r="SAY7" s="344"/>
      <c r="SAZ7" s="344"/>
      <c r="SBA7" s="344"/>
      <c r="SBB7" s="344"/>
      <c r="SBC7" s="136"/>
      <c r="SBD7" s="137"/>
      <c r="SBE7" s="137"/>
      <c r="SBF7" s="136"/>
      <c r="SBG7" s="344"/>
      <c r="SBH7" s="344"/>
      <c r="SBI7" s="344"/>
      <c r="SBJ7" s="344"/>
      <c r="SBK7" s="136"/>
      <c r="SBL7" s="137"/>
      <c r="SBM7" s="137"/>
      <c r="SBN7" s="136"/>
      <c r="SBO7" s="344"/>
      <c r="SBP7" s="344"/>
      <c r="SBQ7" s="344"/>
      <c r="SBR7" s="344"/>
      <c r="SBS7" s="136"/>
      <c r="SBT7" s="137"/>
      <c r="SBU7" s="137"/>
      <c r="SBV7" s="136"/>
      <c r="SBW7" s="344"/>
      <c r="SBX7" s="344"/>
      <c r="SBY7" s="344"/>
      <c r="SBZ7" s="344"/>
      <c r="SCA7" s="136"/>
      <c r="SCB7" s="137"/>
      <c r="SCC7" s="137"/>
      <c r="SCD7" s="136"/>
      <c r="SCE7" s="344"/>
      <c r="SCF7" s="344"/>
      <c r="SCG7" s="344"/>
      <c r="SCH7" s="344"/>
      <c r="SCI7" s="136"/>
      <c r="SCJ7" s="137"/>
      <c r="SCK7" s="137"/>
      <c r="SCL7" s="136"/>
      <c r="SCM7" s="344"/>
      <c r="SCN7" s="344"/>
      <c r="SCO7" s="344"/>
      <c r="SCP7" s="344"/>
      <c r="SCQ7" s="136"/>
      <c r="SCR7" s="137"/>
      <c r="SCS7" s="137"/>
      <c r="SCT7" s="136"/>
      <c r="SCU7" s="344"/>
      <c r="SCV7" s="344"/>
      <c r="SCW7" s="344"/>
      <c r="SCX7" s="344"/>
      <c r="SCY7" s="136"/>
      <c r="SCZ7" s="137"/>
      <c r="SDA7" s="137"/>
      <c r="SDB7" s="136"/>
      <c r="SDC7" s="344"/>
      <c r="SDD7" s="344"/>
      <c r="SDE7" s="344"/>
      <c r="SDF7" s="344"/>
      <c r="SDG7" s="136"/>
      <c r="SDH7" s="137"/>
      <c r="SDI7" s="137"/>
      <c r="SDJ7" s="136"/>
      <c r="SDK7" s="344"/>
      <c r="SDL7" s="344"/>
      <c r="SDM7" s="344"/>
      <c r="SDN7" s="344"/>
      <c r="SDO7" s="136"/>
      <c r="SDP7" s="137"/>
      <c r="SDQ7" s="137"/>
      <c r="SDR7" s="136"/>
      <c r="SDS7" s="344"/>
      <c r="SDT7" s="344"/>
      <c r="SDU7" s="344"/>
      <c r="SDV7" s="344"/>
      <c r="SDW7" s="136"/>
      <c r="SDX7" s="137"/>
      <c r="SDY7" s="137"/>
      <c r="SDZ7" s="136"/>
      <c r="SEA7" s="344"/>
      <c r="SEB7" s="344"/>
      <c r="SEC7" s="344"/>
      <c r="SED7" s="344"/>
      <c r="SEE7" s="136"/>
      <c r="SEF7" s="137"/>
      <c r="SEG7" s="137"/>
      <c r="SEH7" s="136"/>
      <c r="SEI7" s="344"/>
      <c r="SEJ7" s="344"/>
      <c r="SEK7" s="344"/>
      <c r="SEL7" s="344"/>
      <c r="SEM7" s="136"/>
      <c r="SEN7" s="137"/>
      <c r="SEO7" s="137"/>
      <c r="SEP7" s="136"/>
      <c r="SEQ7" s="344"/>
      <c r="SER7" s="344"/>
      <c r="SES7" s="344"/>
      <c r="SET7" s="344"/>
      <c r="SEU7" s="136"/>
      <c r="SEV7" s="137"/>
      <c r="SEW7" s="137"/>
      <c r="SEX7" s="136"/>
      <c r="SEY7" s="344"/>
      <c r="SEZ7" s="344"/>
      <c r="SFA7" s="344"/>
      <c r="SFB7" s="344"/>
      <c r="SFC7" s="136"/>
      <c r="SFD7" s="137"/>
      <c r="SFE7" s="137"/>
      <c r="SFF7" s="136"/>
      <c r="SFG7" s="344"/>
      <c r="SFH7" s="344"/>
      <c r="SFI7" s="344"/>
      <c r="SFJ7" s="344"/>
      <c r="SFK7" s="136"/>
      <c r="SFL7" s="137"/>
      <c r="SFM7" s="137"/>
      <c r="SFN7" s="136"/>
      <c r="SFO7" s="344"/>
      <c r="SFP7" s="344"/>
      <c r="SFQ7" s="344"/>
      <c r="SFR7" s="344"/>
      <c r="SFS7" s="136"/>
      <c r="SFT7" s="137"/>
      <c r="SFU7" s="137"/>
      <c r="SFV7" s="136"/>
      <c r="SFW7" s="344"/>
      <c r="SFX7" s="344"/>
      <c r="SFY7" s="344"/>
      <c r="SFZ7" s="344"/>
      <c r="SGA7" s="136"/>
      <c r="SGB7" s="137"/>
      <c r="SGC7" s="137"/>
      <c r="SGD7" s="136"/>
      <c r="SGE7" s="344"/>
      <c r="SGF7" s="344"/>
      <c r="SGG7" s="344"/>
      <c r="SGH7" s="344"/>
      <c r="SGI7" s="136"/>
      <c r="SGJ7" s="137"/>
      <c r="SGK7" s="137"/>
      <c r="SGL7" s="136"/>
      <c r="SGM7" s="344"/>
      <c r="SGN7" s="344"/>
      <c r="SGO7" s="344"/>
      <c r="SGP7" s="344"/>
      <c r="SGQ7" s="136"/>
      <c r="SGR7" s="137"/>
      <c r="SGS7" s="137"/>
      <c r="SGT7" s="136"/>
      <c r="SGU7" s="344"/>
      <c r="SGV7" s="344"/>
      <c r="SGW7" s="344"/>
      <c r="SGX7" s="344"/>
      <c r="SGY7" s="136"/>
      <c r="SGZ7" s="137"/>
      <c r="SHA7" s="137"/>
      <c r="SHB7" s="136"/>
      <c r="SHC7" s="344"/>
      <c r="SHD7" s="344"/>
      <c r="SHE7" s="344"/>
      <c r="SHF7" s="344"/>
      <c r="SHG7" s="136"/>
      <c r="SHH7" s="137"/>
      <c r="SHI7" s="137"/>
      <c r="SHJ7" s="136"/>
      <c r="SHK7" s="344"/>
      <c r="SHL7" s="344"/>
      <c r="SHM7" s="344"/>
      <c r="SHN7" s="344"/>
      <c r="SHO7" s="136"/>
      <c r="SHP7" s="137"/>
      <c r="SHQ7" s="137"/>
      <c r="SHR7" s="136"/>
      <c r="SHS7" s="344"/>
      <c r="SHT7" s="344"/>
      <c r="SHU7" s="344"/>
      <c r="SHV7" s="344"/>
      <c r="SHW7" s="136"/>
      <c r="SHX7" s="137"/>
      <c r="SHY7" s="137"/>
      <c r="SHZ7" s="136"/>
      <c r="SIA7" s="344"/>
      <c r="SIB7" s="344"/>
      <c r="SIC7" s="344"/>
      <c r="SID7" s="344"/>
      <c r="SIE7" s="136"/>
      <c r="SIF7" s="137"/>
      <c r="SIG7" s="137"/>
      <c r="SIH7" s="136"/>
      <c r="SII7" s="344"/>
      <c r="SIJ7" s="344"/>
      <c r="SIK7" s="344"/>
      <c r="SIL7" s="344"/>
      <c r="SIM7" s="136"/>
      <c r="SIN7" s="137"/>
      <c r="SIO7" s="137"/>
      <c r="SIP7" s="136"/>
      <c r="SIQ7" s="344"/>
      <c r="SIR7" s="344"/>
      <c r="SIS7" s="344"/>
      <c r="SIT7" s="344"/>
      <c r="SIU7" s="136"/>
      <c r="SIV7" s="137"/>
      <c r="SIW7" s="137"/>
      <c r="SIX7" s="136"/>
      <c r="SIY7" s="344"/>
      <c r="SIZ7" s="344"/>
      <c r="SJA7" s="344"/>
      <c r="SJB7" s="344"/>
      <c r="SJC7" s="136"/>
      <c r="SJD7" s="137"/>
      <c r="SJE7" s="137"/>
      <c r="SJF7" s="136"/>
      <c r="SJG7" s="344"/>
      <c r="SJH7" s="344"/>
      <c r="SJI7" s="344"/>
      <c r="SJJ7" s="344"/>
      <c r="SJK7" s="136"/>
      <c r="SJL7" s="137"/>
      <c r="SJM7" s="137"/>
      <c r="SJN7" s="136"/>
      <c r="SJO7" s="344"/>
      <c r="SJP7" s="344"/>
      <c r="SJQ7" s="344"/>
      <c r="SJR7" s="344"/>
      <c r="SJS7" s="136"/>
      <c r="SJT7" s="137"/>
      <c r="SJU7" s="137"/>
      <c r="SJV7" s="136"/>
      <c r="SJW7" s="344"/>
      <c r="SJX7" s="344"/>
      <c r="SJY7" s="344"/>
      <c r="SJZ7" s="344"/>
      <c r="SKA7" s="136"/>
      <c r="SKB7" s="137"/>
      <c r="SKC7" s="137"/>
      <c r="SKD7" s="136"/>
      <c r="SKE7" s="344"/>
      <c r="SKF7" s="344"/>
      <c r="SKG7" s="344"/>
      <c r="SKH7" s="344"/>
      <c r="SKI7" s="136"/>
      <c r="SKJ7" s="137"/>
      <c r="SKK7" s="137"/>
      <c r="SKL7" s="136"/>
      <c r="SKM7" s="344"/>
      <c r="SKN7" s="344"/>
      <c r="SKO7" s="344"/>
      <c r="SKP7" s="344"/>
      <c r="SKQ7" s="136"/>
      <c r="SKR7" s="137"/>
      <c r="SKS7" s="137"/>
      <c r="SKT7" s="136"/>
      <c r="SKU7" s="344"/>
      <c r="SKV7" s="344"/>
      <c r="SKW7" s="344"/>
      <c r="SKX7" s="344"/>
      <c r="SKY7" s="136"/>
      <c r="SKZ7" s="137"/>
      <c r="SLA7" s="137"/>
      <c r="SLB7" s="136"/>
      <c r="SLC7" s="344"/>
      <c r="SLD7" s="344"/>
      <c r="SLE7" s="344"/>
      <c r="SLF7" s="344"/>
      <c r="SLG7" s="136"/>
      <c r="SLH7" s="137"/>
      <c r="SLI7" s="137"/>
      <c r="SLJ7" s="136"/>
      <c r="SLK7" s="344"/>
      <c r="SLL7" s="344"/>
      <c r="SLM7" s="344"/>
      <c r="SLN7" s="344"/>
      <c r="SLO7" s="136"/>
      <c r="SLP7" s="137"/>
      <c r="SLQ7" s="137"/>
      <c r="SLR7" s="136"/>
      <c r="SLS7" s="344"/>
      <c r="SLT7" s="344"/>
      <c r="SLU7" s="344"/>
      <c r="SLV7" s="344"/>
      <c r="SLW7" s="136"/>
      <c r="SLX7" s="137"/>
      <c r="SLY7" s="137"/>
      <c r="SLZ7" s="136"/>
      <c r="SMA7" s="344"/>
      <c r="SMB7" s="344"/>
      <c r="SMC7" s="344"/>
      <c r="SMD7" s="344"/>
      <c r="SME7" s="136"/>
      <c r="SMF7" s="137"/>
      <c r="SMG7" s="137"/>
      <c r="SMH7" s="136"/>
      <c r="SMI7" s="344"/>
      <c r="SMJ7" s="344"/>
      <c r="SMK7" s="344"/>
      <c r="SML7" s="344"/>
      <c r="SMM7" s="136"/>
      <c r="SMN7" s="137"/>
      <c r="SMO7" s="137"/>
      <c r="SMP7" s="136"/>
      <c r="SMQ7" s="344"/>
      <c r="SMR7" s="344"/>
      <c r="SMS7" s="344"/>
      <c r="SMT7" s="344"/>
      <c r="SMU7" s="136"/>
      <c r="SMV7" s="137"/>
      <c r="SMW7" s="137"/>
      <c r="SMX7" s="136"/>
      <c r="SMY7" s="344"/>
      <c r="SMZ7" s="344"/>
      <c r="SNA7" s="344"/>
      <c r="SNB7" s="344"/>
      <c r="SNC7" s="136"/>
      <c r="SND7" s="137"/>
      <c r="SNE7" s="137"/>
      <c r="SNF7" s="136"/>
      <c r="SNG7" s="344"/>
      <c r="SNH7" s="344"/>
      <c r="SNI7" s="344"/>
      <c r="SNJ7" s="344"/>
      <c r="SNK7" s="136"/>
      <c r="SNL7" s="137"/>
      <c r="SNM7" s="137"/>
      <c r="SNN7" s="136"/>
      <c r="SNO7" s="344"/>
      <c r="SNP7" s="344"/>
      <c r="SNQ7" s="344"/>
      <c r="SNR7" s="344"/>
      <c r="SNS7" s="136"/>
      <c r="SNT7" s="137"/>
      <c r="SNU7" s="137"/>
      <c r="SNV7" s="136"/>
      <c r="SNW7" s="344"/>
      <c r="SNX7" s="344"/>
      <c r="SNY7" s="344"/>
      <c r="SNZ7" s="344"/>
      <c r="SOA7" s="136"/>
      <c r="SOB7" s="137"/>
      <c r="SOC7" s="137"/>
      <c r="SOD7" s="136"/>
      <c r="SOE7" s="344"/>
      <c r="SOF7" s="344"/>
      <c r="SOG7" s="344"/>
      <c r="SOH7" s="344"/>
      <c r="SOI7" s="136"/>
      <c r="SOJ7" s="137"/>
      <c r="SOK7" s="137"/>
      <c r="SOL7" s="136"/>
      <c r="SOM7" s="344"/>
      <c r="SON7" s="344"/>
      <c r="SOO7" s="344"/>
      <c r="SOP7" s="344"/>
      <c r="SOQ7" s="136"/>
      <c r="SOR7" s="137"/>
      <c r="SOS7" s="137"/>
      <c r="SOT7" s="136"/>
      <c r="SOU7" s="344"/>
      <c r="SOV7" s="344"/>
      <c r="SOW7" s="344"/>
      <c r="SOX7" s="344"/>
      <c r="SOY7" s="136"/>
      <c r="SOZ7" s="137"/>
      <c r="SPA7" s="137"/>
      <c r="SPB7" s="136"/>
      <c r="SPC7" s="344"/>
      <c r="SPD7" s="344"/>
      <c r="SPE7" s="344"/>
      <c r="SPF7" s="344"/>
      <c r="SPG7" s="136"/>
      <c r="SPH7" s="137"/>
      <c r="SPI7" s="137"/>
      <c r="SPJ7" s="136"/>
      <c r="SPK7" s="344"/>
      <c r="SPL7" s="344"/>
      <c r="SPM7" s="344"/>
      <c r="SPN7" s="344"/>
      <c r="SPO7" s="136"/>
      <c r="SPP7" s="137"/>
      <c r="SPQ7" s="137"/>
      <c r="SPR7" s="136"/>
      <c r="SPS7" s="344"/>
      <c r="SPT7" s="344"/>
      <c r="SPU7" s="344"/>
      <c r="SPV7" s="344"/>
      <c r="SPW7" s="136"/>
      <c r="SPX7" s="137"/>
      <c r="SPY7" s="137"/>
      <c r="SPZ7" s="136"/>
      <c r="SQA7" s="344"/>
      <c r="SQB7" s="344"/>
      <c r="SQC7" s="344"/>
      <c r="SQD7" s="344"/>
      <c r="SQE7" s="136"/>
      <c r="SQF7" s="137"/>
      <c r="SQG7" s="137"/>
      <c r="SQH7" s="136"/>
      <c r="SQI7" s="344"/>
      <c r="SQJ7" s="344"/>
      <c r="SQK7" s="344"/>
      <c r="SQL7" s="344"/>
      <c r="SQM7" s="136"/>
      <c r="SQN7" s="137"/>
      <c r="SQO7" s="137"/>
      <c r="SQP7" s="136"/>
      <c r="SQQ7" s="344"/>
      <c r="SQR7" s="344"/>
      <c r="SQS7" s="344"/>
      <c r="SQT7" s="344"/>
      <c r="SQU7" s="136"/>
      <c r="SQV7" s="137"/>
      <c r="SQW7" s="137"/>
      <c r="SQX7" s="136"/>
      <c r="SQY7" s="344"/>
      <c r="SQZ7" s="344"/>
      <c r="SRA7" s="344"/>
      <c r="SRB7" s="344"/>
      <c r="SRC7" s="136"/>
      <c r="SRD7" s="137"/>
      <c r="SRE7" s="137"/>
      <c r="SRF7" s="136"/>
      <c r="SRG7" s="344"/>
      <c r="SRH7" s="344"/>
      <c r="SRI7" s="344"/>
      <c r="SRJ7" s="344"/>
      <c r="SRK7" s="136"/>
      <c r="SRL7" s="137"/>
      <c r="SRM7" s="137"/>
      <c r="SRN7" s="136"/>
      <c r="SRO7" s="344"/>
      <c r="SRP7" s="344"/>
      <c r="SRQ7" s="344"/>
      <c r="SRR7" s="344"/>
      <c r="SRS7" s="136"/>
      <c r="SRT7" s="137"/>
      <c r="SRU7" s="137"/>
      <c r="SRV7" s="136"/>
      <c r="SRW7" s="344"/>
      <c r="SRX7" s="344"/>
      <c r="SRY7" s="344"/>
      <c r="SRZ7" s="344"/>
      <c r="SSA7" s="136"/>
      <c r="SSB7" s="137"/>
      <c r="SSC7" s="137"/>
      <c r="SSD7" s="136"/>
      <c r="SSE7" s="344"/>
      <c r="SSF7" s="344"/>
      <c r="SSG7" s="344"/>
      <c r="SSH7" s="344"/>
      <c r="SSI7" s="136"/>
      <c r="SSJ7" s="137"/>
      <c r="SSK7" s="137"/>
      <c r="SSL7" s="136"/>
      <c r="SSM7" s="344"/>
      <c r="SSN7" s="344"/>
      <c r="SSO7" s="344"/>
      <c r="SSP7" s="344"/>
      <c r="SSQ7" s="136"/>
      <c r="SSR7" s="137"/>
      <c r="SSS7" s="137"/>
      <c r="SST7" s="136"/>
      <c r="SSU7" s="344"/>
      <c r="SSV7" s="344"/>
      <c r="SSW7" s="344"/>
      <c r="SSX7" s="344"/>
      <c r="SSY7" s="136"/>
      <c r="SSZ7" s="137"/>
      <c r="STA7" s="137"/>
      <c r="STB7" s="136"/>
      <c r="STC7" s="344"/>
      <c r="STD7" s="344"/>
      <c r="STE7" s="344"/>
      <c r="STF7" s="344"/>
      <c r="STG7" s="136"/>
      <c r="STH7" s="137"/>
      <c r="STI7" s="137"/>
      <c r="STJ7" s="136"/>
      <c r="STK7" s="344"/>
      <c r="STL7" s="344"/>
      <c r="STM7" s="344"/>
      <c r="STN7" s="344"/>
      <c r="STO7" s="136"/>
      <c r="STP7" s="137"/>
      <c r="STQ7" s="137"/>
      <c r="STR7" s="136"/>
      <c r="STS7" s="344"/>
      <c r="STT7" s="344"/>
      <c r="STU7" s="344"/>
      <c r="STV7" s="344"/>
      <c r="STW7" s="136"/>
      <c r="STX7" s="137"/>
      <c r="STY7" s="137"/>
      <c r="STZ7" s="136"/>
      <c r="SUA7" s="344"/>
      <c r="SUB7" s="344"/>
      <c r="SUC7" s="344"/>
      <c r="SUD7" s="344"/>
      <c r="SUE7" s="136"/>
      <c r="SUF7" s="137"/>
      <c r="SUG7" s="137"/>
      <c r="SUH7" s="136"/>
      <c r="SUI7" s="344"/>
      <c r="SUJ7" s="344"/>
      <c r="SUK7" s="344"/>
      <c r="SUL7" s="344"/>
      <c r="SUM7" s="136"/>
      <c r="SUN7" s="137"/>
      <c r="SUO7" s="137"/>
      <c r="SUP7" s="136"/>
      <c r="SUQ7" s="344"/>
      <c r="SUR7" s="344"/>
      <c r="SUS7" s="344"/>
      <c r="SUT7" s="344"/>
      <c r="SUU7" s="136"/>
      <c r="SUV7" s="137"/>
      <c r="SUW7" s="137"/>
      <c r="SUX7" s="136"/>
      <c r="SUY7" s="344"/>
      <c r="SUZ7" s="344"/>
      <c r="SVA7" s="344"/>
      <c r="SVB7" s="344"/>
      <c r="SVC7" s="136"/>
      <c r="SVD7" s="137"/>
      <c r="SVE7" s="137"/>
      <c r="SVF7" s="136"/>
      <c r="SVG7" s="344"/>
      <c r="SVH7" s="344"/>
      <c r="SVI7" s="344"/>
      <c r="SVJ7" s="344"/>
      <c r="SVK7" s="136"/>
      <c r="SVL7" s="137"/>
      <c r="SVM7" s="137"/>
      <c r="SVN7" s="136"/>
      <c r="SVO7" s="344"/>
      <c r="SVP7" s="344"/>
      <c r="SVQ7" s="344"/>
      <c r="SVR7" s="344"/>
      <c r="SVS7" s="136"/>
      <c r="SVT7" s="137"/>
      <c r="SVU7" s="137"/>
      <c r="SVV7" s="136"/>
      <c r="SVW7" s="344"/>
      <c r="SVX7" s="344"/>
      <c r="SVY7" s="344"/>
      <c r="SVZ7" s="344"/>
      <c r="SWA7" s="136"/>
      <c r="SWB7" s="137"/>
      <c r="SWC7" s="137"/>
      <c r="SWD7" s="136"/>
      <c r="SWE7" s="344"/>
      <c r="SWF7" s="344"/>
      <c r="SWG7" s="344"/>
      <c r="SWH7" s="344"/>
      <c r="SWI7" s="136"/>
      <c r="SWJ7" s="137"/>
      <c r="SWK7" s="137"/>
      <c r="SWL7" s="136"/>
      <c r="SWM7" s="344"/>
      <c r="SWN7" s="344"/>
      <c r="SWO7" s="344"/>
      <c r="SWP7" s="344"/>
      <c r="SWQ7" s="136"/>
      <c r="SWR7" s="137"/>
      <c r="SWS7" s="137"/>
      <c r="SWT7" s="136"/>
      <c r="SWU7" s="344"/>
      <c r="SWV7" s="344"/>
      <c r="SWW7" s="344"/>
      <c r="SWX7" s="344"/>
      <c r="SWY7" s="136"/>
      <c r="SWZ7" s="137"/>
      <c r="SXA7" s="137"/>
      <c r="SXB7" s="136"/>
      <c r="SXC7" s="344"/>
      <c r="SXD7" s="344"/>
      <c r="SXE7" s="344"/>
      <c r="SXF7" s="344"/>
      <c r="SXG7" s="136"/>
      <c r="SXH7" s="137"/>
      <c r="SXI7" s="137"/>
      <c r="SXJ7" s="136"/>
      <c r="SXK7" s="344"/>
      <c r="SXL7" s="344"/>
      <c r="SXM7" s="344"/>
      <c r="SXN7" s="344"/>
      <c r="SXO7" s="136"/>
      <c r="SXP7" s="137"/>
      <c r="SXQ7" s="137"/>
      <c r="SXR7" s="136"/>
      <c r="SXS7" s="344"/>
      <c r="SXT7" s="344"/>
      <c r="SXU7" s="344"/>
      <c r="SXV7" s="344"/>
      <c r="SXW7" s="136"/>
      <c r="SXX7" s="137"/>
      <c r="SXY7" s="137"/>
      <c r="SXZ7" s="136"/>
      <c r="SYA7" s="344"/>
      <c r="SYB7" s="344"/>
      <c r="SYC7" s="344"/>
      <c r="SYD7" s="344"/>
      <c r="SYE7" s="136"/>
      <c r="SYF7" s="137"/>
      <c r="SYG7" s="137"/>
      <c r="SYH7" s="136"/>
      <c r="SYI7" s="344"/>
      <c r="SYJ7" s="344"/>
      <c r="SYK7" s="344"/>
      <c r="SYL7" s="344"/>
      <c r="SYM7" s="136"/>
      <c r="SYN7" s="137"/>
      <c r="SYO7" s="137"/>
      <c r="SYP7" s="136"/>
      <c r="SYQ7" s="344"/>
      <c r="SYR7" s="344"/>
      <c r="SYS7" s="344"/>
      <c r="SYT7" s="344"/>
      <c r="SYU7" s="136"/>
      <c r="SYV7" s="137"/>
      <c r="SYW7" s="137"/>
      <c r="SYX7" s="136"/>
      <c r="SYY7" s="344"/>
      <c r="SYZ7" s="344"/>
      <c r="SZA7" s="344"/>
      <c r="SZB7" s="344"/>
      <c r="SZC7" s="136"/>
      <c r="SZD7" s="137"/>
      <c r="SZE7" s="137"/>
      <c r="SZF7" s="136"/>
      <c r="SZG7" s="344"/>
      <c r="SZH7" s="344"/>
      <c r="SZI7" s="344"/>
      <c r="SZJ7" s="344"/>
      <c r="SZK7" s="136"/>
      <c r="SZL7" s="137"/>
      <c r="SZM7" s="137"/>
      <c r="SZN7" s="136"/>
      <c r="SZO7" s="344"/>
      <c r="SZP7" s="344"/>
      <c r="SZQ7" s="344"/>
      <c r="SZR7" s="344"/>
      <c r="SZS7" s="136"/>
      <c r="SZT7" s="137"/>
      <c r="SZU7" s="137"/>
      <c r="SZV7" s="136"/>
      <c r="SZW7" s="344"/>
      <c r="SZX7" s="344"/>
      <c r="SZY7" s="344"/>
      <c r="SZZ7" s="344"/>
      <c r="TAA7" s="136"/>
      <c r="TAB7" s="137"/>
      <c r="TAC7" s="137"/>
      <c r="TAD7" s="136"/>
      <c r="TAE7" s="344"/>
      <c r="TAF7" s="344"/>
      <c r="TAG7" s="344"/>
      <c r="TAH7" s="344"/>
      <c r="TAI7" s="136"/>
      <c r="TAJ7" s="137"/>
      <c r="TAK7" s="137"/>
      <c r="TAL7" s="136"/>
      <c r="TAM7" s="344"/>
      <c r="TAN7" s="344"/>
      <c r="TAO7" s="344"/>
      <c r="TAP7" s="344"/>
      <c r="TAQ7" s="136"/>
      <c r="TAR7" s="137"/>
      <c r="TAS7" s="137"/>
      <c r="TAT7" s="136"/>
      <c r="TAU7" s="344"/>
      <c r="TAV7" s="344"/>
      <c r="TAW7" s="344"/>
      <c r="TAX7" s="344"/>
      <c r="TAY7" s="136"/>
      <c r="TAZ7" s="137"/>
      <c r="TBA7" s="137"/>
      <c r="TBB7" s="136"/>
      <c r="TBC7" s="344"/>
      <c r="TBD7" s="344"/>
      <c r="TBE7" s="344"/>
      <c r="TBF7" s="344"/>
      <c r="TBG7" s="136"/>
      <c r="TBH7" s="137"/>
      <c r="TBI7" s="137"/>
      <c r="TBJ7" s="136"/>
      <c r="TBK7" s="344"/>
      <c r="TBL7" s="344"/>
      <c r="TBM7" s="344"/>
      <c r="TBN7" s="344"/>
      <c r="TBO7" s="136"/>
      <c r="TBP7" s="137"/>
      <c r="TBQ7" s="137"/>
      <c r="TBR7" s="136"/>
      <c r="TBS7" s="344"/>
      <c r="TBT7" s="344"/>
      <c r="TBU7" s="344"/>
      <c r="TBV7" s="344"/>
      <c r="TBW7" s="136"/>
      <c r="TBX7" s="137"/>
      <c r="TBY7" s="137"/>
      <c r="TBZ7" s="136"/>
      <c r="TCA7" s="344"/>
      <c r="TCB7" s="344"/>
      <c r="TCC7" s="344"/>
      <c r="TCD7" s="344"/>
      <c r="TCE7" s="136"/>
      <c r="TCF7" s="137"/>
      <c r="TCG7" s="137"/>
      <c r="TCH7" s="136"/>
      <c r="TCI7" s="344"/>
      <c r="TCJ7" s="344"/>
      <c r="TCK7" s="344"/>
      <c r="TCL7" s="344"/>
      <c r="TCM7" s="136"/>
      <c r="TCN7" s="137"/>
      <c r="TCO7" s="137"/>
      <c r="TCP7" s="136"/>
      <c r="TCQ7" s="344"/>
      <c r="TCR7" s="344"/>
      <c r="TCS7" s="344"/>
      <c r="TCT7" s="344"/>
      <c r="TCU7" s="136"/>
      <c r="TCV7" s="137"/>
      <c r="TCW7" s="137"/>
      <c r="TCX7" s="136"/>
      <c r="TCY7" s="344"/>
      <c r="TCZ7" s="344"/>
      <c r="TDA7" s="344"/>
      <c r="TDB7" s="344"/>
      <c r="TDC7" s="136"/>
      <c r="TDD7" s="137"/>
      <c r="TDE7" s="137"/>
      <c r="TDF7" s="136"/>
      <c r="TDG7" s="344"/>
      <c r="TDH7" s="344"/>
      <c r="TDI7" s="344"/>
      <c r="TDJ7" s="344"/>
      <c r="TDK7" s="136"/>
      <c r="TDL7" s="137"/>
      <c r="TDM7" s="137"/>
      <c r="TDN7" s="136"/>
      <c r="TDO7" s="344"/>
      <c r="TDP7" s="344"/>
      <c r="TDQ7" s="344"/>
      <c r="TDR7" s="344"/>
      <c r="TDS7" s="136"/>
      <c r="TDT7" s="137"/>
      <c r="TDU7" s="137"/>
      <c r="TDV7" s="136"/>
      <c r="TDW7" s="344"/>
      <c r="TDX7" s="344"/>
      <c r="TDY7" s="344"/>
      <c r="TDZ7" s="344"/>
      <c r="TEA7" s="136"/>
      <c r="TEB7" s="137"/>
      <c r="TEC7" s="137"/>
      <c r="TED7" s="136"/>
      <c r="TEE7" s="344"/>
      <c r="TEF7" s="344"/>
      <c r="TEG7" s="344"/>
      <c r="TEH7" s="344"/>
      <c r="TEI7" s="136"/>
      <c r="TEJ7" s="137"/>
      <c r="TEK7" s="137"/>
      <c r="TEL7" s="136"/>
      <c r="TEM7" s="344"/>
      <c r="TEN7" s="344"/>
      <c r="TEO7" s="344"/>
      <c r="TEP7" s="344"/>
      <c r="TEQ7" s="136"/>
      <c r="TER7" s="137"/>
      <c r="TES7" s="137"/>
      <c r="TET7" s="136"/>
      <c r="TEU7" s="344"/>
      <c r="TEV7" s="344"/>
      <c r="TEW7" s="344"/>
      <c r="TEX7" s="344"/>
      <c r="TEY7" s="136"/>
      <c r="TEZ7" s="137"/>
      <c r="TFA7" s="137"/>
      <c r="TFB7" s="136"/>
      <c r="TFC7" s="344"/>
      <c r="TFD7" s="344"/>
      <c r="TFE7" s="344"/>
      <c r="TFF7" s="344"/>
      <c r="TFG7" s="136"/>
      <c r="TFH7" s="137"/>
      <c r="TFI7" s="137"/>
      <c r="TFJ7" s="136"/>
      <c r="TFK7" s="344"/>
      <c r="TFL7" s="344"/>
      <c r="TFM7" s="344"/>
      <c r="TFN7" s="344"/>
      <c r="TFO7" s="136"/>
      <c r="TFP7" s="137"/>
      <c r="TFQ7" s="137"/>
      <c r="TFR7" s="136"/>
      <c r="TFS7" s="344"/>
      <c r="TFT7" s="344"/>
      <c r="TFU7" s="344"/>
      <c r="TFV7" s="344"/>
      <c r="TFW7" s="136"/>
      <c r="TFX7" s="137"/>
      <c r="TFY7" s="137"/>
      <c r="TFZ7" s="136"/>
      <c r="TGA7" s="344"/>
      <c r="TGB7" s="344"/>
      <c r="TGC7" s="344"/>
      <c r="TGD7" s="344"/>
      <c r="TGE7" s="136"/>
      <c r="TGF7" s="137"/>
      <c r="TGG7" s="137"/>
      <c r="TGH7" s="136"/>
      <c r="TGI7" s="344"/>
      <c r="TGJ7" s="344"/>
      <c r="TGK7" s="344"/>
      <c r="TGL7" s="344"/>
      <c r="TGM7" s="136"/>
      <c r="TGN7" s="137"/>
      <c r="TGO7" s="137"/>
      <c r="TGP7" s="136"/>
      <c r="TGQ7" s="344"/>
      <c r="TGR7" s="344"/>
      <c r="TGS7" s="344"/>
      <c r="TGT7" s="344"/>
      <c r="TGU7" s="136"/>
      <c r="TGV7" s="137"/>
      <c r="TGW7" s="137"/>
      <c r="TGX7" s="136"/>
      <c r="TGY7" s="344"/>
      <c r="TGZ7" s="344"/>
      <c r="THA7" s="344"/>
      <c r="THB7" s="344"/>
      <c r="THC7" s="136"/>
      <c r="THD7" s="137"/>
      <c r="THE7" s="137"/>
      <c r="THF7" s="136"/>
      <c r="THG7" s="344"/>
      <c r="THH7" s="344"/>
      <c r="THI7" s="344"/>
      <c r="THJ7" s="344"/>
      <c r="THK7" s="136"/>
      <c r="THL7" s="137"/>
      <c r="THM7" s="137"/>
      <c r="THN7" s="136"/>
      <c r="THO7" s="344"/>
      <c r="THP7" s="344"/>
      <c r="THQ7" s="344"/>
      <c r="THR7" s="344"/>
      <c r="THS7" s="136"/>
      <c r="THT7" s="137"/>
      <c r="THU7" s="137"/>
      <c r="THV7" s="136"/>
      <c r="THW7" s="344"/>
      <c r="THX7" s="344"/>
      <c r="THY7" s="344"/>
      <c r="THZ7" s="344"/>
      <c r="TIA7" s="136"/>
      <c r="TIB7" s="137"/>
      <c r="TIC7" s="137"/>
      <c r="TID7" s="136"/>
      <c r="TIE7" s="344"/>
      <c r="TIF7" s="344"/>
      <c r="TIG7" s="344"/>
      <c r="TIH7" s="344"/>
      <c r="TII7" s="136"/>
      <c r="TIJ7" s="137"/>
      <c r="TIK7" s="137"/>
      <c r="TIL7" s="136"/>
      <c r="TIM7" s="344"/>
      <c r="TIN7" s="344"/>
      <c r="TIO7" s="344"/>
      <c r="TIP7" s="344"/>
      <c r="TIQ7" s="136"/>
      <c r="TIR7" s="137"/>
      <c r="TIS7" s="137"/>
      <c r="TIT7" s="136"/>
      <c r="TIU7" s="344"/>
      <c r="TIV7" s="344"/>
      <c r="TIW7" s="344"/>
      <c r="TIX7" s="344"/>
      <c r="TIY7" s="136"/>
      <c r="TIZ7" s="137"/>
      <c r="TJA7" s="137"/>
      <c r="TJB7" s="136"/>
      <c r="TJC7" s="344"/>
      <c r="TJD7" s="344"/>
      <c r="TJE7" s="344"/>
      <c r="TJF7" s="344"/>
      <c r="TJG7" s="136"/>
      <c r="TJH7" s="137"/>
      <c r="TJI7" s="137"/>
      <c r="TJJ7" s="136"/>
      <c r="TJK7" s="344"/>
      <c r="TJL7" s="344"/>
      <c r="TJM7" s="344"/>
      <c r="TJN7" s="344"/>
      <c r="TJO7" s="136"/>
      <c r="TJP7" s="137"/>
      <c r="TJQ7" s="137"/>
      <c r="TJR7" s="136"/>
      <c r="TJS7" s="344"/>
      <c r="TJT7" s="344"/>
      <c r="TJU7" s="344"/>
      <c r="TJV7" s="344"/>
      <c r="TJW7" s="136"/>
      <c r="TJX7" s="137"/>
      <c r="TJY7" s="137"/>
      <c r="TJZ7" s="136"/>
      <c r="TKA7" s="344"/>
      <c r="TKB7" s="344"/>
      <c r="TKC7" s="344"/>
      <c r="TKD7" s="344"/>
      <c r="TKE7" s="136"/>
      <c r="TKF7" s="137"/>
      <c r="TKG7" s="137"/>
      <c r="TKH7" s="136"/>
      <c r="TKI7" s="344"/>
      <c r="TKJ7" s="344"/>
      <c r="TKK7" s="344"/>
      <c r="TKL7" s="344"/>
      <c r="TKM7" s="136"/>
      <c r="TKN7" s="137"/>
      <c r="TKO7" s="137"/>
      <c r="TKP7" s="136"/>
      <c r="TKQ7" s="344"/>
      <c r="TKR7" s="344"/>
      <c r="TKS7" s="344"/>
      <c r="TKT7" s="344"/>
      <c r="TKU7" s="136"/>
      <c r="TKV7" s="137"/>
      <c r="TKW7" s="137"/>
      <c r="TKX7" s="136"/>
      <c r="TKY7" s="344"/>
      <c r="TKZ7" s="344"/>
      <c r="TLA7" s="344"/>
      <c r="TLB7" s="344"/>
      <c r="TLC7" s="136"/>
      <c r="TLD7" s="137"/>
      <c r="TLE7" s="137"/>
      <c r="TLF7" s="136"/>
      <c r="TLG7" s="344"/>
      <c r="TLH7" s="344"/>
      <c r="TLI7" s="344"/>
      <c r="TLJ7" s="344"/>
      <c r="TLK7" s="136"/>
      <c r="TLL7" s="137"/>
      <c r="TLM7" s="137"/>
      <c r="TLN7" s="136"/>
      <c r="TLO7" s="344"/>
      <c r="TLP7" s="344"/>
      <c r="TLQ7" s="344"/>
      <c r="TLR7" s="344"/>
      <c r="TLS7" s="136"/>
      <c r="TLT7" s="137"/>
      <c r="TLU7" s="137"/>
      <c r="TLV7" s="136"/>
      <c r="TLW7" s="344"/>
      <c r="TLX7" s="344"/>
      <c r="TLY7" s="344"/>
      <c r="TLZ7" s="344"/>
      <c r="TMA7" s="136"/>
      <c r="TMB7" s="137"/>
      <c r="TMC7" s="137"/>
      <c r="TMD7" s="136"/>
      <c r="TME7" s="344"/>
      <c r="TMF7" s="344"/>
      <c r="TMG7" s="344"/>
      <c r="TMH7" s="344"/>
      <c r="TMI7" s="136"/>
      <c r="TMJ7" s="137"/>
      <c r="TMK7" s="137"/>
      <c r="TML7" s="136"/>
      <c r="TMM7" s="344"/>
      <c r="TMN7" s="344"/>
      <c r="TMO7" s="344"/>
      <c r="TMP7" s="344"/>
      <c r="TMQ7" s="136"/>
      <c r="TMR7" s="137"/>
      <c r="TMS7" s="137"/>
      <c r="TMT7" s="136"/>
      <c r="TMU7" s="344"/>
      <c r="TMV7" s="344"/>
      <c r="TMW7" s="344"/>
      <c r="TMX7" s="344"/>
      <c r="TMY7" s="136"/>
      <c r="TMZ7" s="137"/>
      <c r="TNA7" s="137"/>
      <c r="TNB7" s="136"/>
      <c r="TNC7" s="344"/>
      <c r="TND7" s="344"/>
      <c r="TNE7" s="344"/>
      <c r="TNF7" s="344"/>
      <c r="TNG7" s="136"/>
      <c r="TNH7" s="137"/>
      <c r="TNI7" s="137"/>
      <c r="TNJ7" s="136"/>
      <c r="TNK7" s="344"/>
      <c r="TNL7" s="344"/>
      <c r="TNM7" s="344"/>
      <c r="TNN7" s="344"/>
      <c r="TNO7" s="136"/>
      <c r="TNP7" s="137"/>
      <c r="TNQ7" s="137"/>
      <c r="TNR7" s="136"/>
      <c r="TNS7" s="344"/>
      <c r="TNT7" s="344"/>
      <c r="TNU7" s="344"/>
      <c r="TNV7" s="344"/>
      <c r="TNW7" s="136"/>
      <c r="TNX7" s="137"/>
      <c r="TNY7" s="137"/>
      <c r="TNZ7" s="136"/>
      <c r="TOA7" s="344"/>
      <c r="TOB7" s="344"/>
      <c r="TOC7" s="344"/>
      <c r="TOD7" s="344"/>
      <c r="TOE7" s="136"/>
      <c r="TOF7" s="137"/>
      <c r="TOG7" s="137"/>
      <c r="TOH7" s="136"/>
      <c r="TOI7" s="344"/>
      <c r="TOJ7" s="344"/>
      <c r="TOK7" s="344"/>
      <c r="TOL7" s="344"/>
      <c r="TOM7" s="136"/>
      <c r="TON7" s="137"/>
      <c r="TOO7" s="137"/>
      <c r="TOP7" s="136"/>
      <c r="TOQ7" s="344"/>
      <c r="TOR7" s="344"/>
      <c r="TOS7" s="344"/>
      <c r="TOT7" s="344"/>
      <c r="TOU7" s="136"/>
      <c r="TOV7" s="137"/>
      <c r="TOW7" s="137"/>
      <c r="TOX7" s="136"/>
      <c r="TOY7" s="344"/>
      <c r="TOZ7" s="344"/>
      <c r="TPA7" s="344"/>
      <c r="TPB7" s="344"/>
      <c r="TPC7" s="136"/>
      <c r="TPD7" s="137"/>
      <c r="TPE7" s="137"/>
      <c r="TPF7" s="136"/>
      <c r="TPG7" s="344"/>
      <c r="TPH7" s="344"/>
      <c r="TPI7" s="344"/>
      <c r="TPJ7" s="344"/>
      <c r="TPK7" s="136"/>
      <c r="TPL7" s="137"/>
      <c r="TPM7" s="137"/>
      <c r="TPN7" s="136"/>
      <c r="TPO7" s="344"/>
      <c r="TPP7" s="344"/>
      <c r="TPQ7" s="344"/>
      <c r="TPR7" s="344"/>
      <c r="TPS7" s="136"/>
      <c r="TPT7" s="137"/>
      <c r="TPU7" s="137"/>
      <c r="TPV7" s="136"/>
      <c r="TPW7" s="344"/>
      <c r="TPX7" s="344"/>
      <c r="TPY7" s="344"/>
      <c r="TPZ7" s="344"/>
      <c r="TQA7" s="136"/>
      <c r="TQB7" s="137"/>
      <c r="TQC7" s="137"/>
      <c r="TQD7" s="136"/>
      <c r="TQE7" s="344"/>
      <c r="TQF7" s="344"/>
      <c r="TQG7" s="344"/>
      <c r="TQH7" s="344"/>
      <c r="TQI7" s="136"/>
      <c r="TQJ7" s="137"/>
      <c r="TQK7" s="137"/>
      <c r="TQL7" s="136"/>
      <c r="TQM7" s="344"/>
      <c r="TQN7" s="344"/>
      <c r="TQO7" s="344"/>
      <c r="TQP7" s="344"/>
      <c r="TQQ7" s="136"/>
      <c r="TQR7" s="137"/>
      <c r="TQS7" s="137"/>
      <c r="TQT7" s="136"/>
      <c r="TQU7" s="344"/>
      <c r="TQV7" s="344"/>
      <c r="TQW7" s="344"/>
      <c r="TQX7" s="344"/>
      <c r="TQY7" s="136"/>
      <c r="TQZ7" s="137"/>
      <c r="TRA7" s="137"/>
      <c r="TRB7" s="136"/>
      <c r="TRC7" s="344"/>
      <c r="TRD7" s="344"/>
      <c r="TRE7" s="344"/>
      <c r="TRF7" s="344"/>
      <c r="TRG7" s="136"/>
      <c r="TRH7" s="137"/>
      <c r="TRI7" s="137"/>
      <c r="TRJ7" s="136"/>
      <c r="TRK7" s="344"/>
      <c r="TRL7" s="344"/>
      <c r="TRM7" s="344"/>
      <c r="TRN7" s="344"/>
      <c r="TRO7" s="136"/>
      <c r="TRP7" s="137"/>
      <c r="TRQ7" s="137"/>
      <c r="TRR7" s="136"/>
      <c r="TRS7" s="344"/>
      <c r="TRT7" s="344"/>
      <c r="TRU7" s="344"/>
      <c r="TRV7" s="344"/>
      <c r="TRW7" s="136"/>
      <c r="TRX7" s="137"/>
      <c r="TRY7" s="137"/>
      <c r="TRZ7" s="136"/>
      <c r="TSA7" s="344"/>
      <c r="TSB7" s="344"/>
      <c r="TSC7" s="344"/>
      <c r="TSD7" s="344"/>
      <c r="TSE7" s="136"/>
      <c r="TSF7" s="137"/>
      <c r="TSG7" s="137"/>
      <c r="TSH7" s="136"/>
      <c r="TSI7" s="344"/>
      <c r="TSJ7" s="344"/>
      <c r="TSK7" s="344"/>
      <c r="TSL7" s="344"/>
      <c r="TSM7" s="136"/>
      <c r="TSN7" s="137"/>
      <c r="TSO7" s="137"/>
      <c r="TSP7" s="136"/>
      <c r="TSQ7" s="344"/>
      <c r="TSR7" s="344"/>
      <c r="TSS7" s="344"/>
      <c r="TST7" s="344"/>
      <c r="TSU7" s="136"/>
      <c r="TSV7" s="137"/>
      <c r="TSW7" s="137"/>
      <c r="TSX7" s="136"/>
      <c r="TSY7" s="344"/>
      <c r="TSZ7" s="344"/>
      <c r="TTA7" s="344"/>
      <c r="TTB7" s="344"/>
      <c r="TTC7" s="136"/>
      <c r="TTD7" s="137"/>
      <c r="TTE7" s="137"/>
      <c r="TTF7" s="136"/>
      <c r="TTG7" s="344"/>
      <c r="TTH7" s="344"/>
      <c r="TTI7" s="344"/>
      <c r="TTJ7" s="344"/>
      <c r="TTK7" s="136"/>
      <c r="TTL7" s="137"/>
      <c r="TTM7" s="137"/>
      <c r="TTN7" s="136"/>
      <c r="TTO7" s="344"/>
      <c r="TTP7" s="344"/>
      <c r="TTQ7" s="344"/>
      <c r="TTR7" s="344"/>
      <c r="TTS7" s="136"/>
      <c r="TTT7" s="137"/>
      <c r="TTU7" s="137"/>
      <c r="TTV7" s="136"/>
      <c r="TTW7" s="344"/>
      <c r="TTX7" s="344"/>
      <c r="TTY7" s="344"/>
      <c r="TTZ7" s="344"/>
      <c r="TUA7" s="136"/>
      <c r="TUB7" s="137"/>
      <c r="TUC7" s="137"/>
      <c r="TUD7" s="136"/>
      <c r="TUE7" s="344"/>
      <c r="TUF7" s="344"/>
      <c r="TUG7" s="344"/>
      <c r="TUH7" s="344"/>
      <c r="TUI7" s="136"/>
      <c r="TUJ7" s="137"/>
      <c r="TUK7" s="137"/>
      <c r="TUL7" s="136"/>
      <c r="TUM7" s="344"/>
      <c r="TUN7" s="344"/>
      <c r="TUO7" s="344"/>
      <c r="TUP7" s="344"/>
      <c r="TUQ7" s="136"/>
      <c r="TUR7" s="137"/>
      <c r="TUS7" s="137"/>
      <c r="TUT7" s="136"/>
      <c r="TUU7" s="344"/>
      <c r="TUV7" s="344"/>
      <c r="TUW7" s="344"/>
      <c r="TUX7" s="344"/>
      <c r="TUY7" s="136"/>
      <c r="TUZ7" s="137"/>
      <c r="TVA7" s="137"/>
      <c r="TVB7" s="136"/>
      <c r="TVC7" s="344"/>
      <c r="TVD7" s="344"/>
      <c r="TVE7" s="344"/>
      <c r="TVF7" s="344"/>
      <c r="TVG7" s="136"/>
      <c r="TVH7" s="137"/>
      <c r="TVI7" s="137"/>
      <c r="TVJ7" s="136"/>
      <c r="TVK7" s="344"/>
      <c r="TVL7" s="344"/>
      <c r="TVM7" s="344"/>
      <c r="TVN7" s="344"/>
      <c r="TVO7" s="136"/>
      <c r="TVP7" s="137"/>
      <c r="TVQ7" s="137"/>
      <c r="TVR7" s="136"/>
      <c r="TVS7" s="344"/>
      <c r="TVT7" s="344"/>
      <c r="TVU7" s="344"/>
      <c r="TVV7" s="344"/>
      <c r="TVW7" s="136"/>
      <c r="TVX7" s="137"/>
      <c r="TVY7" s="137"/>
      <c r="TVZ7" s="136"/>
      <c r="TWA7" s="344"/>
      <c r="TWB7" s="344"/>
      <c r="TWC7" s="344"/>
      <c r="TWD7" s="344"/>
      <c r="TWE7" s="136"/>
      <c r="TWF7" s="137"/>
      <c r="TWG7" s="137"/>
      <c r="TWH7" s="136"/>
      <c r="TWI7" s="344"/>
      <c r="TWJ7" s="344"/>
      <c r="TWK7" s="344"/>
      <c r="TWL7" s="344"/>
      <c r="TWM7" s="136"/>
      <c r="TWN7" s="137"/>
      <c r="TWO7" s="137"/>
      <c r="TWP7" s="136"/>
      <c r="TWQ7" s="344"/>
      <c r="TWR7" s="344"/>
      <c r="TWS7" s="344"/>
      <c r="TWT7" s="344"/>
      <c r="TWU7" s="136"/>
      <c r="TWV7" s="137"/>
      <c r="TWW7" s="137"/>
      <c r="TWX7" s="136"/>
      <c r="TWY7" s="344"/>
      <c r="TWZ7" s="344"/>
      <c r="TXA7" s="344"/>
      <c r="TXB7" s="344"/>
      <c r="TXC7" s="136"/>
      <c r="TXD7" s="137"/>
      <c r="TXE7" s="137"/>
      <c r="TXF7" s="136"/>
      <c r="TXG7" s="344"/>
      <c r="TXH7" s="344"/>
      <c r="TXI7" s="344"/>
      <c r="TXJ7" s="344"/>
      <c r="TXK7" s="136"/>
      <c r="TXL7" s="137"/>
      <c r="TXM7" s="137"/>
      <c r="TXN7" s="136"/>
      <c r="TXO7" s="344"/>
      <c r="TXP7" s="344"/>
      <c r="TXQ7" s="344"/>
      <c r="TXR7" s="344"/>
      <c r="TXS7" s="136"/>
      <c r="TXT7" s="137"/>
      <c r="TXU7" s="137"/>
      <c r="TXV7" s="136"/>
      <c r="TXW7" s="344"/>
      <c r="TXX7" s="344"/>
      <c r="TXY7" s="344"/>
      <c r="TXZ7" s="344"/>
      <c r="TYA7" s="136"/>
      <c r="TYB7" s="137"/>
      <c r="TYC7" s="137"/>
      <c r="TYD7" s="136"/>
      <c r="TYE7" s="344"/>
      <c r="TYF7" s="344"/>
      <c r="TYG7" s="344"/>
      <c r="TYH7" s="344"/>
      <c r="TYI7" s="136"/>
      <c r="TYJ7" s="137"/>
      <c r="TYK7" s="137"/>
      <c r="TYL7" s="136"/>
      <c r="TYM7" s="344"/>
      <c r="TYN7" s="344"/>
      <c r="TYO7" s="344"/>
      <c r="TYP7" s="344"/>
      <c r="TYQ7" s="136"/>
      <c r="TYR7" s="137"/>
      <c r="TYS7" s="137"/>
      <c r="TYT7" s="136"/>
      <c r="TYU7" s="344"/>
      <c r="TYV7" s="344"/>
      <c r="TYW7" s="344"/>
      <c r="TYX7" s="344"/>
      <c r="TYY7" s="136"/>
      <c r="TYZ7" s="137"/>
      <c r="TZA7" s="137"/>
      <c r="TZB7" s="136"/>
      <c r="TZC7" s="344"/>
      <c r="TZD7" s="344"/>
      <c r="TZE7" s="344"/>
      <c r="TZF7" s="344"/>
      <c r="TZG7" s="136"/>
      <c r="TZH7" s="137"/>
      <c r="TZI7" s="137"/>
      <c r="TZJ7" s="136"/>
      <c r="TZK7" s="344"/>
      <c r="TZL7" s="344"/>
      <c r="TZM7" s="344"/>
      <c r="TZN7" s="344"/>
      <c r="TZO7" s="136"/>
      <c r="TZP7" s="137"/>
      <c r="TZQ7" s="137"/>
      <c r="TZR7" s="136"/>
      <c r="TZS7" s="344"/>
      <c r="TZT7" s="344"/>
      <c r="TZU7" s="344"/>
      <c r="TZV7" s="344"/>
      <c r="TZW7" s="136"/>
      <c r="TZX7" s="137"/>
      <c r="TZY7" s="137"/>
      <c r="TZZ7" s="136"/>
      <c r="UAA7" s="344"/>
      <c r="UAB7" s="344"/>
      <c r="UAC7" s="344"/>
      <c r="UAD7" s="344"/>
      <c r="UAE7" s="136"/>
      <c r="UAF7" s="137"/>
      <c r="UAG7" s="137"/>
      <c r="UAH7" s="136"/>
      <c r="UAI7" s="344"/>
      <c r="UAJ7" s="344"/>
      <c r="UAK7" s="344"/>
      <c r="UAL7" s="344"/>
      <c r="UAM7" s="136"/>
      <c r="UAN7" s="137"/>
      <c r="UAO7" s="137"/>
      <c r="UAP7" s="136"/>
      <c r="UAQ7" s="344"/>
      <c r="UAR7" s="344"/>
      <c r="UAS7" s="344"/>
      <c r="UAT7" s="344"/>
      <c r="UAU7" s="136"/>
      <c r="UAV7" s="137"/>
      <c r="UAW7" s="137"/>
      <c r="UAX7" s="136"/>
      <c r="UAY7" s="344"/>
      <c r="UAZ7" s="344"/>
      <c r="UBA7" s="344"/>
      <c r="UBB7" s="344"/>
      <c r="UBC7" s="136"/>
      <c r="UBD7" s="137"/>
      <c r="UBE7" s="137"/>
      <c r="UBF7" s="136"/>
      <c r="UBG7" s="344"/>
      <c r="UBH7" s="344"/>
      <c r="UBI7" s="344"/>
      <c r="UBJ7" s="344"/>
      <c r="UBK7" s="136"/>
      <c r="UBL7" s="137"/>
      <c r="UBM7" s="137"/>
      <c r="UBN7" s="136"/>
      <c r="UBO7" s="344"/>
      <c r="UBP7" s="344"/>
      <c r="UBQ7" s="344"/>
      <c r="UBR7" s="344"/>
      <c r="UBS7" s="136"/>
      <c r="UBT7" s="137"/>
      <c r="UBU7" s="137"/>
      <c r="UBV7" s="136"/>
      <c r="UBW7" s="344"/>
      <c r="UBX7" s="344"/>
      <c r="UBY7" s="344"/>
      <c r="UBZ7" s="344"/>
      <c r="UCA7" s="136"/>
      <c r="UCB7" s="137"/>
      <c r="UCC7" s="137"/>
      <c r="UCD7" s="136"/>
      <c r="UCE7" s="344"/>
      <c r="UCF7" s="344"/>
      <c r="UCG7" s="344"/>
      <c r="UCH7" s="344"/>
      <c r="UCI7" s="136"/>
      <c r="UCJ7" s="137"/>
      <c r="UCK7" s="137"/>
      <c r="UCL7" s="136"/>
      <c r="UCM7" s="344"/>
      <c r="UCN7" s="344"/>
      <c r="UCO7" s="344"/>
      <c r="UCP7" s="344"/>
      <c r="UCQ7" s="136"/>
      <c r="UCR7" s="137"/>
      <c r="UCS7" s="137"/>
      <c r="UCT7" s="136"/>
      <c r="UCU7" s="344"/>
      <c r="UCV7" s="344"/>
      <c r="UCW7" s="344"/>
      <c r="UCX7" s="344"/>
      <c r="UCY7" s="136"/>
      <c r="UCZ7" s="137"/>
      <c r="UDA7" s="137"/>
      <c r="UDB7" s="136"/>
      <c r="UDC7" s="344"/>
      <c r="UDD7" s="344"/>
      <c r="UDE7" s="344"/>
      <c r="UDF7" s="344"/>
      <c r="UDG7" s="136"/>
      <c r="UDH7" s="137"/>
      <c r="UDI7" s="137"/>
      <c r="UDJ7" s="136"/>
      <c r="UDK7" s="344"/>
      <c r="UDL7" s="344"/>
      <c r="UDM7" s="344"/>
      <c r="UDN7" s="344"/>
      <c r="UDO7" s="136"/>
      <c r="UDP7" s="137"/>
      <c r="UDQ7" s="137"/>
      <c r="UDR7" s="136"/>
      <c r="UDS7" s="344"/>
      <c r="UDT7" s="344"/>
      <c r="UDU7" s="344"/>
      <c r="UDV7" s="344"/>
      <c r="UDW7" s="136"/>
      <c r="UDX7" s="137"/>
      <c r="UDY7" s="137"/>
      <c r="UDZ7" s="136"/>
      <c r="UEA7" s="344"/>
      <c r="UEB7" s="344"/>
      <c r="UEC7" s="344"/>
      <c r="UED7" s="344"/>
      <c r="UEE7" s="136"/>
      <c r="UEF7" s="137"/>
      <c r="UEG7" s="137"/>
      <c r="UEH7" s="136"/>
      <c r="UEI7" s="344"/>
      <c r="UEJ7" s="344"/>
      <c r="UEK7" s="344"/>
      <c r="UEL7" s="344"/>
      <c r="UEM7" s="136"/>
      <c r="UEN7" s="137"/>
      <c r="UEO7" s="137"/>
      <c r="UEP7" s="136"/>
      <c r="UEQ7" s="344"/>
      <c r="UER7" s="344"/>
      <c r="UES7" s="344"/>
      <c r="UET7" s="344"/>
      <c r="UEU7" s="136"/>
      <c r="UEV7" s="137"/>
      <c r="UEW7" s="137"/>
      <c r="UEX7" s="136"/>
      <c r="UEY7" s="344"/>
      <c r="UEZ7" s="344"/>
      <c r="UFA7" s="344"/>
      <c r="UFB7" s="344"/>
      <c r="UFC7" s="136"/>
      <c r="UFD7" s="137"/>
      <c r="UFE7" s="137"/>
      <c r="UFF7" s="136"/>
      <c r="UFG7" s="344"/>
      <c r="UFH7" s="344"/>
      <c r="UFI7" s="344"/>
      <c r="UFJ7" s="344"/>
      <c r="UFK7" s="136"/>
      <c r="UFL7" s="137"/>
      <c r="UFM7" s="137"/>
      <c r="UFN7" s="136"/>
      <c r="UFO7" s="344"/>
      <c r="UFP7" s="344"/>
      <c r="UFQ7" s="344"/>
      <c r="UFR7" s="344"/>
      <c r="UFS7" s="136"/>
      <c r="UFT7" s="137"/>
      <c r="UFU7" s="137"/>
      <c r="UFV7" s="136"/>
      <c r="UFW7" s="344"/>
      <c r="UFX7" s="344"/>
      <c r="UFY7" s="344"/>
      <c r="UFZ7" s="344"/>
      <c r="UGA7" s="136"/>
      <c r="UGB7" s="137"/>
      <c r="UGC7" s="137"/>
      <c r="UGD7" s="136"/>
      <c r="UGE7" s="344"/>
      <c r="UGF7" s="344"/>
      <c r="UGG7" s="344"/>
      <c r="UGH7" s="344"/>
      <c r="UGI7" s="136"/>
      <c r="UGJ7" s="137"/>
      <c r="UGK7" s="137"/>
      <c r="UGL7" s="136"/>
      <c r="UGM7" s="344"/>
      <c r="UGN7" s="344"/>
      <c r="UGO7" s="344"/>
      <c r="UGP7" s="344"/>
      <c r="UGQ7" s="136"/>
      <c r="UGR7" s="137"/>
      <c r="UGS7" s="137"/>
      <c r="UGT7" s="136"/>
      <c r="UGU7" s="344"/>
      <c r="UGV7" s="344"/>
      <c r="UGW7" s="344"/>
      <c r="UGX7" s="344"/>
      <c r="UGY7" s="136"/>
      <c r="UGZ7" s="137"/>
      <c r="UHA7" s="137"/>
      <c r="UHB7" s="136"/>
      <c r="UHC7" s="344"/>
      <c r="UHD7" s="344"/>
      <c r="UHE7" s="344"/>
      <c r="UHF7" s="344"/>
      <c r="UHG7" s="136"/>
      <c r="UHH7" s="137"/>
      <c r="UHI7" s="137"/>
      <c r="UHJ7" s="136"/>
      <c r="UHK7" s="344"/>
      <c r="UHL7" s="344"/>
      <c r="UHM7" s="344"/>
      <c r="UHN7" s="344"/>
      <c r="UHO7" s="136"/>
      <c r="UHP7" s="137"/>
      <c r="UHQ7" s="137"/>
      <c r="UHR7" s="136"/>
      <c r="UHS7" s="344"/>
      <c r="UHT7" s="344"/>
      <c r="UHU7" s="344"/>
      <c r="UHV7" s="344"/>
      <c r="UHW7" s="136"/>
      <c r="UHX7" s="137"/>
      <c r="UHY7" s="137"/>
      <c r="UHZ7" s="136"/>
      <c r="UIA7" s="344"/>
      <c r="UIB7" s="344"/>
      <c r="UIC7" s="344"/>
      <c r="UID7" s="344"/>
      <c r="UIE7" s="136"/>
      <c r="UIF7" s="137"/>
      <c r="UIG7" s="137"/>
      <c r="UIH7" s="136"/>
      <c r="UII7" s="344"/>
      <c r="UIJ7" s="344"/>
      <c r="UIK7" s="344"/>
      <c r="UIL7" s="344"/>
      <c r="UIM7" s="136"/>
      <c r="UIN7" s="137"/>
      <c r="UIO7" s="137"/>
      <c r="UIP7" s="136"/>
      <c r="UIQ7" s="344"/>
      <c r="UIR7" s="344"/>
      <c r="UIS7" s="344"/>
      <c r="UIT7" s="344"/>
      <c r="UIU7" s="136"/>
      <c r="UIV7" s="137"/>
      <c r="UIW7" s="137"/>
      <c r="UIX7" s="136"/>
      <c r="UIY7" s="344"/>
      <c r="UIZ7" s="344"/>
      <c r="UJA7" s="344"/>
      <c r="UJB7" s="344"/>
      <c r="UJC7" s="136"/>
      <c r="UJD7" s="137"/>
      <c r="UJE7" s="137"/>
      <c r="UJF7" s="136"/>
      <c r="UJG7" s="344"/>
      <c r="UJH7" s="344"/>
      <c r="UJI7" s="344"/>
      <c r="UJJ7" s="344"/>
      <c r="UJK7" s="136"/>
      <c r="UJL7" s="137"/>
      <c r="UJM7" s="137"/>
      <c r="UJN7" s="136"/>
      <c r="UJO7" s="344"/>
      <c r="UJP7" s="344"/>
      <c r="UJQ7" s="344"/>
      <c r="UJR7" s="344"/>
      <c r="UJS7" s="136"/>
      <c r="UJT7" s="137"/>
      <c r="UJU7" s="137"/>
      <c r="UJV7" s="136"/>
      <c r="UJW7" s="344"/>
      <c r="UJX7" s="344"/>
      <c r="UJY7" s="344"/>
      <c r="UJZ7" s="344"/>
      <c r="UKA7" s="136"/>
      <c r="UKB7" s="137"/>
      <c r="UKC7" s="137"/>
      <c r="UKD7" s="136"/>
      <c r="UKE7" s="344"/>
      <c r="UKF7" s="344"/>
      <c r="UKG7" s="344"/>
      <c r="UKH7" s="344"/>
      <c r="UKI7" s="136"/>
      <c r="UKJ7" s="137"/>
      <c r="UKK7" s="137"/>
      <c r="UKL7" s="136"/>
      <c r="UKM7" s="344"/>
      <c r="UKN7" s="344"/>
      <c r="UKO7" s="344"/>
      <c r="UKP7" s="344"/>
      <c r="UKQ7" s="136"/>
      <c r="UKR7" s="137"/>
      <c r="UKS7" s="137"/>
      <c r="UKT7" s="136"/>
      <c r="UKU7" s="344"/>
      <c r="UKV7" s="344"/>
      <c r="UKW7" s="344"/>
      <c r="UKX7" s="344"/>
      <c r="UKY7" s="136"/>
      <c r="UKZ7" s="137"/>
      <c r="ULA7" s="137"/>
      <c r="ULB7" s="136"/>
      <c r="ULC7" s="344"/>
      <c r="ULD7" s="344"/>
      <c r="ULE7" s="344"/>
      <c r="ULF7" s="344"/>
      <c r="ULG7" s="136"/>
      <c r="ULH7" s="137"/>
      <c r="ULI7" s="137"/>
      <c r="ULJ7" s="136"/>
      <c r="ULK7" s="344"/>
      <c r="ULL7" s="344"/>
      <c r="ULM7" s="344"/>
      <c r="ULN7" s="344"/>
      <c r="ULO7" s="136"/>
      <c r="ULP7" s="137"/>
      <c r="ULQ7" s="137"/>
      <c r="ULR7" s="136"/>
      <c r="ULS7" s="344"/>
      <c r="ULT7" s="344"/>
      <c r="ULU7" s="344"/>
      <c r="ULV7" s="344"/>
      <c r="ULW7" s="136"/>
      <c r="ULX7" s="137"/>
      <c r="ULY7" s="137"/>
      <c r="ULZ7" s="136"/>
      <c r="UMA7" s="344"/>
      <c r="UMB7" s="344"/>
      <c r="UMC7" s="344"/>
      <c r="UMD7" s="344"/>
      <c r="UME7" s="136"/>
      <c r="UMF7" s="137"/>
      <c r="UMG7" s="137"/>
      <c r="UMH7" s="136"/>
      <c r="UMI7" s="344"/>
      <c r="UMJ7" s="344"/>
      <c r="UMK7" s="344"/>
      <c r="UML7" s="344"/>
      <c r="UMM7" s="136"/>
      <c r="UMN7" s="137"/>
      <c r="UMO7" s="137"/>
      <c r="UMP7" s="136"/>
      <c r="UMQ7" s="344"/>
      <c r="UMR7" s="344"/>
      <c r="UMS7" s="344"/>
      <c r="UMT7" s="344"/>
      <c r="UMU7" s="136"/>
      <c r="UMV7" s="137"/>
      <c r="UMW7" s="137"/>
      <c r="UMX7" s="136"/>
      <c r="UMY7" s="344"/>
      <c r="UMZ7" s="344"/>
      <c r="UNA7" s="344"/>
      <c r="UNB7" s="344"/>
      <c r="UNC7" s="136"/>
      <c r="UND7" s="137"/>
      <c r="UNE7" s="137"/>
      <c r="UNF7" s="136"/>
      <c r="UNG7" s="344"/>
      <c r="UNH7" s="344"/>
      <c r="UNI7" s="344"/>
      <c r="UNJ7" s="344"/>
      <c r="UNK7" s="136"/>
      <c r="UNL7" s="137"/>
      <c r="UNM7" s="137"/>
      <c r="UNN7" s="136"/>
      <c r="UNO7" s="344"/>
      <c r="UNP7" s="344"/>
      <c r="UNQ7" s="344"/>
      <c r="UNR7" s="344"/>
      <c r="UNS7" s="136"/>
      <c r="UNT7" s="137"/>
      <c r="UNU7" s="137"/>
      <c r="UNV7" s="136"/>
      <c r="UNW7" s="344"/>
      <c r="UNX7" s="344"/>
      <c r="UNY7" s="344"/>
      <c r="UNZ7" s="344"/>
      <c r="UOA7" s="136"/>
      <c r="UOB7" s="137"/>
      <c r="UOC7" s="137"/>
      <c r="UOD7" s="136"/>
      <c r="UOE7" s="344"/>
      <c r="UOF7" s="344"/>
      <c r="UOG7" s="344"/>
      <c r="UOH7" s="344"/>
      <c r="UOI7" s="136"/>
      <c r="UOJ7" s="137"/>
      <c r="UOK7" s="137"/>
      <c r="UOL7" s="136"/>
      <c r="UOM7" s="344"/>
      <c r="UON7" s="344"/>
      <c r="UOO7" s="344"/>
      <c r="UOP7" s="344"/>
      <c r="UOQ7" s="136"/>
      <c r="UOR7" s="137"/>
      <c r="UOS7" s="137"/>
      <c r="UOT7" s="136"/>
      <c r="UOU7" s="344"/>
      <c r="UOV7" s="344"/>
      <c r="UOW7" s="344"/>
      <c r="UOX7" s="344"/>
      <c r="UOY7" s="136"/>
      <c r="UOZ7" s="137"/>
      <c r="UPA7" s="137"/>
      <c r="UPB7" s="136"/>
      <c r="UPC7" s="344"/>
      <c r="UPD7" s="344"/>
      <c r="UPE7" s="344"/>
      <c r="UPF7" s="344"/>
      <c r="UPG7" s="136"/>
      <c r="UPH7" s="137"/>
      <c r="UPI7" s="137"/>
      <c r="UPJ7" s="136"/>
      <c r="UPK7" s="344"/>
      <c r="UPL7" s="344"/>
      <c r="UPM7" s="344"/>
      <c r="UPN7" s="344"/>
      <c r="UPO7" s="136"/>
      <c r="UPP7" s="137"/>
      <c r="UPQ7" s="137"/>
      <c r="UPR7" s="136"/>
      <c r="UPS7" s="344"/>
      <c r="UPT7" s="344"/>
      <c r="UPU7" s="344"/>
      <c r="UPV7" s="344"/>
      <c r="UPW7" s="136"/>
      <c r="UPX7" s="137"/>
      <c r="UPY7" s="137"/>
      <c r="UPZ7" s="136"/>
      <c r="UQA7" s="344"/>
      <c r="UQB7" s="344"/>
      <c r="UQC7" s="344"/>
      <c r="UQD7" s="344"/>
      <c r="UQE7" s="136"/>
      <c r="UQF7" s="137"/>
      <c r="UQG7" s="137"/>
      <c r="UQH7" s="136"/>
      <c r="UQI7" s="344"/>
      <c r="UQJ7" s="344"/>
      <c r="UQK7" s="344"/>
      <c r="UQL7" s="344"/>
      <c r="UQM7" s="136"/>
      <c r="UQN7" s="137"/>
      <c r="UQO7" s="137"/>
      <c r="UQP7" s="136"/>
      <c r="UQQ7" s="344"/>
      <c r="UQR7" s="344"/>
      <c r="UQS7" s="344"/>
      <c r="UQT7" s="344"/>
      <c r="UQU7" s="136"/>
      <c r="UQV7" s="137"/>
      <c r="UQW7" s="137"/>
      <c r="UQX7" s="136"/>
      <c r="UQY7" s="344"/>
      <c r="UQZ7" s="344"/>
      <c r="URA7" s="344"/>
      <c r="URB7" s="344"/>
      <c r="URC7" s="136"/>
      <c r="URD7" s="137"/>
      <c r="URE7" s="137"/>
      <c r="URF7" s="136"/>
      <c r="URG7" s="344"/>
      <c r="URH7" s="344"/>
      <c r="URI7" s="344"/>
      <c r="URJ7" s="344"/>
      <c r="URK7" s="136"/>
      <c r="URL7" s="137"/>
      <c r="URM7" s="137"/>
      <c r="URN7" s="136"/>
      <c r="URO7" s="344"/>
      <c r="URP7" s="344"/>
      <c r="URQ7" s="344"/>
      <c r="URR7" s="344"/>
      <c r="URS7" s="136"/>
      <c r="URT7" s="137"/>
      <c r="URU7" s="137"/>
      <c r="URV7" s="136"/>
      <c r="URW7" s="344"/>
      <c r="URX7" s="344"/>
      <c r="URY7" s="344"/>
      <c r="URZ7" s="344"/>
      <c r="USA7" s="136"/>
      <c r="USB7" s="137"/>
      <c r="USC7" s="137"/>
      <c r="USD7" s="136"/>
      <c r="USE7" s="344"/>
      <c r="USF7" s="344"/>
      <c r="USG7" s="344"/>
      <c r="USH7" s="344"/>
      <c r="USI7" s="136"/>
      <c r="USJ7" s="137"/>
      <c r="USK7" s="137"/>
      <c r="USL7" s="136"/>
      <c r="USM7" s="344"/>
      <c r="USN7" s="344"/>
      <c r="USO7" s="344"/>
      <c r="USP7" s="344"/>
      <c r="USQ7" s="136"/>
      <c r="USR7" s="137"/>
      <c r="USS7" s="137"/>
      <c r="UST7" s="136"/>
      <c r="USU7" s="344"/>
      <c r="USV7" s="344"/>
      <c r="USW7" s="344"/>
      <c r="USX7" s="344"/>
      <c r="USY7" s="136"/>
      <c r="USZ7" s="137"/>
      <c r="UTA7" s="137"/>
      <c r="UTB7" s="136"/>
      <c r="UTC7" s="344"/>
      <c r="UTD7" s="344"/>
      <c r="UTE7" s="344"/>
      <c r="UTF7" s="344"/>
      <c r="UTG7" s="136"/>
      <c r="UTH7" s="137"/>
      <c r="UTI7" s="137"/>
      <c r="UTJ7" s="136"/>
      <c r="UTK7" s="344"/>
      <c r="UTL7" s="344"/>
      <c r="UTM7" s="344"/>
      <c r="UTN7" s="344"/>
      <c r="UTO7" s="136"/>
      <c r="UTP7" s="137"/>
      <c r="UTQ7" s="137"/>
      <c r="UTR7" s="136"/>
      <c r="UTS7" s="344"/>
      <c r="UTT7" s="344"/>
      <c r="UTU7" s="344"/>
      <c r="UTV7" s="344"/>
      <c r="UTW7" s="136"/>
      <c r="UTX7" s="137"/>
      <c r="UTY7" s="137"/>
      <c r="UTZ7" s="136"/>
      <c r="UUA7" s="344"/>
      <c r="UUB7" s="344"/>
      <c r="UUC7" s="344"/>
      <c r="UUD7" s="344"/>
      <c r="UUE7" s="136"/>
      <c r="UUF7" s="137"/>
      <c r="UUG7" s="137"/>
      <c r="UUH7" s="136"/>
      <c r="UUI7" s="344"/>
      <c r="UUJ7" s="344"/>
      <c r="UUK7" s="344"/>
      <c r="UUL7" s="344"/>
      <c r="UUM7" s="136"/>
      <c r="UUN7" s="137"/>
      <c r="UUO7" s="137"/>
      <c r="UUP7" s="136"/>
      <c r="UUQ7" s="344"/>
      <c r="UUR7" s="344"/>
      <c r="UUS7" s="344"/>
      <c r="UUT7" s="344"/>
      <c r="UUU7" s="136"/>
      <c r="UUV7" s="137"/>
      <c r="UUW7" s="137"/>
      <c r="UUX7" s="136"/>
      <c r="UUY7" s="344"/>
      <c r="UUZ7" s="344"/>
      <c r="UVA7" s="344"/>
      <c r="UVB7" s="344"/>
      <c r="UVC7" s="136"/>
      <c r="UVD7" s="137"/>
      <c r="UVE7" s="137"/>
      <c r="UVF7" s="136"/>
      <c r="UVG7" s="344"/>
      <c r="UVH7" s="344"/>
      <c r="UVI7" s="344"/>
      <c r="UVJ7" s="344"/>
      <c r="UVK7" s="136"/>
      <c r="UVL7" s="137"/>
      <c r="UVM7" s="137"/>
      <c r="UVN7" s="136"/>
      <c r="UVO7" s="344"/>
      <c r="UVP7" s="344"/>
      <c r="UVQ7" s="344"/>
      <c r="UVR7" s="344"/>
      <c r="UVS7" s="136"/>
      <c r="UVT7" s="137"/>
      <c r="UVU7" s="137"/>
      <c r="UVV7" s="136"/>
      <c r="UVW7" s="344"/>
      <c r="UVX7" s="344"/>
      <c r="UVY7" s="344"/>
      <c r="UVZ7" s="344"/>
      <c r="UWA7" s="136"/>
      <c r="UWB7" s="137"/>
      <c r="UWC7" s="137"/>
      <c r="UWD7" s="136"/>
      <c r="UWE7" s="344"/>
      <c r="UWF7" s="344"/>
      <c r="UWG7" s="344"/>
      <c r="UWH7" s="344"/>
      <c r="UWI7" s="136"/>
      <c r="UWJ7" s="137"/>
      <c r="UWK7" s="137"/>
      <c r="UWL7" s="136"/>
      <c r="UWM7" s="344"/>
      <c r="UWN7" s="344"/>
      <c r="UWO7" s="344"/>
      <c r="UWP7" s="344"/>
      <c r="UWQ7" s="136"/>
      <c r="UWR7" s="137"/>
      <c r="UWS7" s="137"/>
      <c r="UWT7" s="136"/>
      <c r="UWU7" s="344"/>
      <c r="UWV7" s="344"/>
      <c r="UWW7" s="344"/>
      <c r="UWX7" s="344"/>
      <c r="UWY7" s="136"/>
      <c r="UWZ7" s="137"/>
      <c r="UXA7" s="137"/>
      <c r="UXB7" s="136"/>
      <c r="UXC7" s="344"/>
      <c r="UXD7" s="344"/>
      <c r="UXE7" s="344"/>
      <c r="UXF7" s="344"/>
      <c r="UXG7" s="136"/>
      <c r="UXH7" s="137"/>
      <c r="UXI7" s="137"/>
      <c r="UXJ7" s="136"/>
      <c r="UXK7" s="344"/>
      <c r="UXL7" s="344"/>
      <c r="UXM7" s="344"/>
      <c r="UXN7" s="344"/>
      <c r="UXO7" s="136"/>
      <c r="UXP7" s="137"/>
      <c r="UXQ7" s="137"/>
      <c r="UXR7" s="136"/>
      <c r="UXS7" s="344"/>
      <c r="UXT7" s="344"/>
      <c r="UXU7" s="344"/>
      <c r="UXV7" s="344"/>
      <c r="UXW7" s="136"/>
      <c r="UXX7" s="137"/>
      <c r="UXY7" s="137"/>
      <c r="UXZ7" s="136"/>
      <c r="UYA7" s="344"/>
      <c r="UYB7" s="344"/>
      <c r="UYC7" s="344"/>
      <c r="UYD7" s="344"/>
      <c r="UYE7" s="136"/>
      <c r="UYF7" s="137"/>
      <c r="UYG7" s="137"/>
      <c r="UYH7" s="136"/>
      <c r="UYI7" s="344"/>
      <c r="UYJ7" s="344"/>
      <c r="UYK7" s="344"/>
      <c r="UYL7" s="344"/>
      <c r="UYM7" s="136"/>
      <c r="UYN7" s="137"/>
      <c r="UYO7" s="137"/>
      <c r="UYP7" s="136"/>
      <c r="UYQ7" s="344"/>
      <c r="UYR7" s="344"/>
      <c r="UYS7" s="344"/>
      <c r="UYT7" s="344"/>
      <c r="UYU7" s="136"/>
      <c r="UYV7" s="137"/>
      <c r="UYW7" s="137"/>
      <c r="UYX7" s="136"/>
      <c r="UYY7" s="344"/>
      <c r="UYZ7" s="344"/>
      <c r="UZA7" s="344"/>
      <c r="UZB7" s="344"/>
      <c r="UZC7" s="136"/>
      <c r="UZD7" s="137"/>
      <c r="UZE7" s="137"/>
      <c r="UZF7" s="136"/>
      <c r="UZG7" s="344"/>
      <c r="UZH7" s="344"/>
      <c r="UZI7" s="344"/>
      <c r="UZJ7" s="344"/>
      <c r="UZK7" s="136"/>
      <c r="UZL7" s="137"/>
      <c r="UZM7" s="137"/>
      <c r="UZN7" s="136"/>
      <c r="UZO7" s="344"/>
      <c r="UZP7" s="344"/>
      <c r="UZQ7" s="344"/>
      <c r="UZR7" s="344"/>
      <c r="UZS7" s="136"/>
      <c r="UZT7" s="137"/>
      <c r="UZU7" s="137"/>
      <c r="UZV7" s="136"/>
      <c r="UZW7" s="344"/>
      <c r="UZX7" s="344"/>
      <c r="UZY7" s="344"/>
      <c r="UZZ7" s="344"/>
      <c r="VAA7" s="136"/>
      <c r="VAB7" s="137"/>
      <c r="VAC7" s="137"/>
      <c r="VAD7" s="136"/>
      <c r="VAE7" s="344"/>
      <c r="VAF7" s="344"/>
      <c r="VAG7" s="344"/>
      <c r="VAH7" s="344"/>
      <c r="VAI7" s="136"/>
      <c r="VAJ7" s="137"/>
      <c r="VAK7" s="137"/>
      <c r="VAL7" s="136"/>
      <c r="VAM7" s="344"/>
      <c r="VAN7" s="344"/>
      <c r="VAO7" s="344"/>
      <c r="VAP7" s="344"/>
      <c r="VAQ7" s="136"/>
      <c r="VAR7" s="137"/>
      <c r="VAS7" s="137"/>
      <c r="VAT7" s="136"/>
      <c r="VAU7" s="344"/>
      <c r="VAV7" s="344"/>
      <c r="VAW7" s="344"/>
      <c r="VAX7" s="344"/>
      <c r="VAY7" s="136"/>
      <c r="VAZ7" s="137"/>
      <c r="VBA7" s="137"/>
      <c r="VBB7" s="136"/>
      <c r="VBC7" s="344"/>
      <c r="VBD7" s="344"/>
      <c r="VBE7" s="344"/>
      <c r="VBF7" s="344"/>
      <c r="VBG7" s="136"/>
      <c r="VBH7" s="137"/>
      <c r="VBI7" s="137"/>
      <c r="VBJ7" s="136"/>
      <c r="VBK7" s="344"/>
      <c r="VBL7" s="344"/>
      <c r="VBM7" s="344"/>
      <c r="VBN7" s="344"/>
      <c r="VBO7" s="136"/>
      <c r="VBP7" s="137"/>
      <c r="VBQ7" s="137"/>
      <c r="VBR7" s="136"/>
      <c r="VBS7" s="344"/>
      <c r="VBT7" s="344"/>
      <c r="VBU7" s="344"/>
      <c r="VBV7" s="344"/>
      <c r="VBW7" s="136"/>
      <c r="VBX7" s="137"/>
      <c r="VBY7" s="137"/>
      <c r="VBZ7" s="136"/>
      <c r="VCA7" s="344"/>
      <c r="VCB7" s="344"/>
      <c r="VCC7" s="344"/>
      <c r="VCD7" s="344"/>
      <c r="VCE7" s="136"/>
      <c r="VCF7" s="137"/>
      <c r="VCG7" s="137"/>
      <c r="VCH7" s="136"/>
      <c r="VCI7" s="344"/>
      <c r="VCJ7" s="344"/>
      <c r="VCK7" s="344"/>
      <c r="VCL7" s="344"/>
      <c r="VCM7" s="136"/>
      <c r="VCN7" s="137"/>
      <c r="VCO7" s="137"/>
      <c r="VCP7" s="136"/>
      <c r="VCQ7" s="344"/>
      <c r="VCR7" s="344"/>
      <c r="VCS7" s="344"/>
      <c r="VCT7" s="344"/>
      <c r="VCU7" s="136"/>
      <c r="VCV7" s="137"/>
      <c r="VCW7" s="137"/>
      <c r="VCX7" s="136"/>
      <c r="VCY7" s="344"/>
      <c r="VCZ7" s="344"/>
      <c r="VDA7" s="344"/>
      <c r="VDB7" s="344"/>
      <c r="VDC7" s="136"/>
      <c r="VDD7" s="137"/>
      <c r="VDE7" s="137"/>
      <c r="VDF7" s="136"/>
      <c r="VDG7" s="344"/>
      <c r="VDH7" s="344"/>
      <c r="VDI7" s="344"/>
      <c r="VDJ7" s="344"/>
      <c r="VDK7" s="136"/>
      <c r="VDL7" s="137"/>
      <c r="VDM7" s="137"/>
      <c r="VDN7" s="136"/>
      <c r="VDO7" s="344"/>
      <c r="VDP7" s="344"/>
      <c r="VDQ7" s="344"/>
      <c r="VDR7" s="344"/>
      <c r="VDS7" s="136"/>
      <c r="VDT7" s="137"/>
      <c r="VDU7" s="137"/>
      <c r="VDV7" s="136"/>
      <c r="VDW7" s="344"/>
      <c r="VDX7" s="344"/>
      <c r="VDY7" s="344"/>
      <c r="VDZ7" s="344"/>
      <c r="VEA7" s="136"/>
      <c r="VEB7" s="137"/>
      <c r="VEC7" s="137"/>
      <c r="VED7" s="136"/>
      <c r="VEE7" s="344"/>
      <c r="VEF7" s="344"/>
      <c r="VEG7" s="344"/>
      <c r="VEH7" s="344"/>
      <c r="VEI7" s="136"/>
      <c r="VEJ7" s="137"/>
      <c r="VEK7" s="137"/>
      <c r="VEL7" s="136"/>
      <c r="VEM7" s="344"/>
      <c r="VEN7" s="344"/>
      <c r="VEO7" s="344"/>
      <c r="VEP7" s="344"/>
      <c r="VEQ7" s="136"/>
      <c r="VER7" s="137"/>
      <c r="VES7" s="137"/>
      <c r="VET7" s="136"/>
      <c r="VEU7" s="344"/>
      <c r="VEV7" s="344"/>
      <c r="VEW7" s="344"/>
      <c r="VEX7" s="344"/>
      <c r="VEY7" s="136"/>
      <c r="VEZ7" s="137"/>
      <c r="VFA7" s="137"/>
      <c r="VFB7" s="136"/>
      <c r="VFC7" s="344"/>
      <c r="VFD7" s="344"/>
      <c r="VFE7" s="344"/>
      <c r="VFF7" s="344"/>
      <c r="VFG7" s="136"/>
      <c r="VFH7" s="137"/>
      <c r="VFI7" s="137"/>
      <c r="VFJ7" s="136"/>
      <c r="VFK7" s="344"/>
      <c r="VFL7" s="344"/>
      <c r="VFM7" s="344"/>
      <c r="VFN7" s="344"/>
      <c r="VFO7" s="136"/>
      <c r="VFP7" s="137"/>
      <c r="VFQ7" s="137"/>
      <c r="VFR7" s="136"/>
      <c r="VFS7" s="344"/>
      <c r="VFT7" s="344"/>
      <c r="VFU7" s="344"/>
      <c r="VFV7" s="344"/>
      <c r="VFW7" s="136"/>
      <c r="VFX7" s="137"/>
      <c r="VFY7" s="137"/>
      <c r="VFZ7" s="136"/>
      <c r="VGA7" s="344"/>
      <c r="VGB7" s="344"/>
      <c r="VGC7" s="344"/>
      <c r="VGD7" s="344"/>
      <c r="VGE7" s="136"/>
      <c r="VGF7" s="137"/>
      <c r="VGG7" s="137"/>
      <c r="VGH7" s="136"/>
      <c r="VGI7" s="344"/>
      <c r="VGJ7" s="344"/>
      <c r="VGK7" s="344"/>
      <c r="VGL7" s="344"/>
      <c r="VGM7" s="136"/>
      <c r="VGN7" s="137"/>
      <c r="VGO7" s="137"/>
      <c r="VGP7" s="136"/>
      <c r="VGQ7" s="344"/>
      <c r="VGR7" s="344"/>
      <c r="VGS7" s="344"/>
      <c r="VGT7" s="344"/>
      <c r="VGU7" s="136"/>
      <c r="VGV7" s="137"/>
      <c r="VGW7" s="137"/>
      <c r="VGX7" s="136"/>
      <c r="VGY7" s="344"/>
      <c r="VGZ7" s="344"/>
      <c r="VHA7" s="344"/>
      <c r="VHB7" s="344"/>
      <c r="VHC7" s="136"/>
      <c r="VHD7" s="137"/>
      <c r="VHE7" s="137"/>
      <c r="VHF7" s="136"/>
      <c r="VHG7" s="344"/>
      <c r="VHH7" s="344"/>
      <c r="VHI7" s="344"/>
      <c r="VHJ7" s="344"/>
      <c r="VHK7" s="136"/>
      <c r="VHL7" s="137"/>
      <c r="VHM7" s="137"/>
      <c r="VHN7" s="136"/>
      <c r="VHO7" s="344"/>
      <c r="VHP7" s="344"/>
      <c r="VHQ7" s="344"/>
      <c r="VHR7" s="344"/>
      <c r="VHS7" s="136"/>
      <c r="VHT7" s="137"/>
      <c r="VHU7" s="137"/>
      <c r="VHV7" s="136"/>
      <c r="VHW7" s="344"/>
      <c r="VHX7" s="344"/>
      <c r="VHY7" s="344"/>
      <c r="VHZ7" s="344"/>
      <c r="VIA7" s="136"/>
      <c r="VIB7" s="137"/>
      <c r="VIC7" s="137"/>
      <c r="VID7" s="136"/>
      <c r="VIE7" s="344"/>
      <c r="VIF7" s="344"/>
      <c r="VIG7" s="344"/>
      <c r="VIH7" s="344"/>
      <c r="VII7" s="136"/>
      <c r="VIJ7" s="137"/>
      <c r="VIK7" s="137"/>
      <c r="VIL7" s="136"/>
      <c r="VIM7" s="344"/>
      <c r="VIN7" s="344"/>
      <c r="VIO7" s="344"/>
      <c r="VIP7" s="344"/>
      <c r="VIQ7" s="136"/>
      <c r="VIR7" s="137"/>
      <c r="VIS7" s="137"/>
      <c r="VIT7" s="136"/>
      <c r="VIU7" s="344"/>
      <c r="VIV7" s="344"/>
      <c r="VIW7" s="344"/>
      <c r="VIX7" s="344"/>
      <c r="VIY7" s="136"/>
      <c r="VIZ7" s="137"/>
      <c r="VJA7" s="137"/>
      <c r="VJB7" s="136"/>
      <c r="VJC7" s="344"/>
      <c r="VJD7" s="344"/>
      <c r="VJE7" s="344"/>
      <c r="VJF7" s="344"/>
      <c r="VJG7" s="136"/>
      <c r="VJH7" s="137"/>
      <c r="VJI7" s="137"/>
      <c r="VJJ7" s="136"/>
      <c r="VJK7" s="344"/>
      <c r="VJL7" s="344"/>
      <c r="VJM7" s="344"/>
      <c r="VJN7" s="344"/>
      <c r="VJO7" s="136"/>
      <c r="VJP7" s="137"/>
      <c r="VJQ7" s="137"/>
      <c r="VJR7" s="136"/>
      <c r="VJS7" s="344"/>
      <c r="VJT7" s="344"/>
      <c r="VJU7" s="344"/>
      <c r="VJV7" s="344"/>
      <c r="VJW7" s="136"/>
      <c r="VJX7" s="137"/>
      <c r="VJY7" s="137"/>
      <c r="VJZ7" s="136"/>
      <c r="VKA7" s="344"/>
      <c r="VKB7" s="344"/>
      <c r="VKC7" s="344"/>
      <c r="VKD7" s="344"/>
      <c r="VKE7" s="136"/>
      <c r="VKF7" s="137"/>
      <c r="VKG7" s="137"/>
      <c r="VKH7" s="136"/>
      <c r="VKI7" s="344"/>
      <c r="VKJ7" s="344"/>
      <c r="VKK7" s="344"/>
      <c r="VKL7" s="344"/>
      <c r="VKM7" s="136"/>
      <c r="VKN7" s="137"/>
      <c r="VKO7" s="137"/>
      <c r="VKP7" s="136"/>
      <c r="VKQ7" s="344"/>
      <c r="VKR7" s="344"/>
      <c r="VKS7" s="344"/>
      <c r="VKT7" s="344"/>
      <c r="VKU7" s="136"/>
      <c r="VKV7" s="137"/>
      <c r="VKW7" s="137"/>
      <c r="VKX7" s="136"/>
      <c r="VKY7" s="344"/>
      <c r="VKZ7" s="344"/>
      <c r="VLA7" s="344"/>
      <c r="VLB7" s="344"/>
      <c r="VLC7" s="136"/>
      <c r="VLD7" s="137"/>
      <c r="VLE7" s="137"/>
      <c r="VLF7" s="136"/>
      <c r="VLG7" s="344"/>
      <c r="VLH7" s="344"/>
      <c r="VLI7" s="344"/>
      <c r="VLJ7" s="344"/>
      <c r="VLK7" s="136"/>
      <c r="VLL7" s="137"/>
      <c r="VLM7" s="137"/>
      <c r="VLN7" s="136"/>
      <c r="VLO7" s="344"/>
      <c r="VLP7" s="344"/>
      <c r="VLQ7" s="344"/>
      <c r="VLR7" s="344"/>
      <c r="VLS7" s="136"/>
      <c r="VLT7" s="137"/>
      <c r="VLU7" s="137"/>
      <c r="VLV7" s="136"/>
      <c r="VLW7" s="344"/>
      <c r="VLX7" s="344"/>
      <c r="VLY7" s="344"/>
      <c r="VLZ7" s="344"/>
      <c r="VMA7" s="136"/>
      <c r="VMB7" s="137"/>
      <c r="VMC7" s="137"/>
      <c r="VMD7" s="136"/>
      <c r="VME7" s="344"/>
      <c r="VMF7" s="344"/>
      <c r="VMG7" s="344"/>
      <c r="VMH7" s="344"/>
      <c r="VMI7" s="136"/>
      <c r="VMJ7" s="137"/>
      <c r="VMK7" s="137"/>
      <c r="VML7" s="136"/>
      <c r="VMM7" s="344"/>
      <c r="VMN7" s="344"/>
      <c r="VMO7" s="344"/>
      <c r="VMP7" s="344"/>
      <c r="VMQ7" s="136"/>
      <c r="VMR7" s="137"/>
      <c r="VMS7" s="137"/>
      <c r="VMT7" s="136"/>
      <c r="VMU7" s="344"/>
      <c r="VMV7" s="344"/>
      <c r="VMW7" s="344"/>
      <c r="VMX7" s="344"/>
      <c r="VMY7" s="136"/>
      <c r="VMZ7" s="137"/>
      <c r="VNA7" s="137"/>
      <c r="VNB7" s="136"/>
      <c r="VNC7" s="344"/>
      <c r="VND7" s="344"/>
      <c r="VNE7" s="344"/>
      <c r="VNF7" s="344"/>
      <c r="VNG7" s="136"/>
      <c r="VNH7" s="137"/>
      <c r="VNI7" s="137"/>
      <c r="VNJ7" s="136"/>
      <c r="VNK7" s="344"/>
      <c r="VNL7" s="344"/>
      <c r="VNM7" s="344"/>
      <c r="VNN7" s="344"/>
      <c r="VNO7" s="136"/>
      <c r="VNP7" s="137"/>
      <c r="VNQ7" s="137"/>
      <c r="VNR7" s="136"/>
      <c r="VNS7" s="344"/>
      <c r="VNT7" s="344"/>
      <c r="VNU7" s="344"/>
      <c r="VNV7" s="344"/>
      <c r="VNW7" s="136"/>
      <c r="VNX7" s="137"/>
      <c r="VNY7" s="137"/>
      <c r="VNZ7" s="136"/>
      <c r="VOA7" s="344"/>
      <c r="VOB7" s="344"/>
      <c r="VOC7" s="344"/>
      <c r="VOD7" s="344"/>
      <c r="VOE7" s="136"/>
      <c r="VOF7" s="137"/>
      <c r="VOG7" s="137"/>
      <c r="VOH7" s="136"/>
      <c r="VOI7" s="344"/>
      <c r="VOJ7" s="344"/>
      <c r="VOK7" s="344"/>
      <c r="VOL7" s="344"/>
      <c r="VOM7" s="136"/>
      <c r="VON7" s="137"/>
      <c r="VOO7" s="137"/>
      <c r="VOP7" s="136"/>
      <c r="VOQ7" s="344"/>
      <c r="VOR7" s="344"/>
      <c r="VOS7" s="344"/>
      <c r="VOT7" s="344"/>
      <c r="VOU7" s="136"/>
      <c r="VOV7" s="137"/>
      <c r="VOW7" s="137"/>
      <c r="VOX7" s="136"/>
      <c r="VOY7" s="344"/>
      <c r="VOZ7" s="344"/>
      <c r="VPA7" s="344"/>
      <c r="VPB7" s="344"/>
      <c r="VPC7" s="136"/>
      <c r="VPD7" s="137"/>
      <c r="VPE7" s="137"/>
      <c r="VPF7" s="136"/>
      <c r="VPG7" s="344"/>
      <c r="VPH7" s="344"/>
      <c r="VPI7" s="344"/>
      <c r="VPJ7" s="344"/>
      <c r="VPK7" s="136"/>
      <c r="VPL7" s="137"/>
      <c r="VPM7" s="137"/>
      <c r="VPN7" s="136"/>
      <c r="VPO7" s="344"/>
      <c r="VPP7" s="344"/>
      <c r="VPQ7" s="344"/>
      <c r="VPR7" s="344"/>
      <c r="VPS7" s="136"/>
      <c r="VPT7" s="137"/>
      <c r="VPU7" s="137"/>
      <c r="VPV7" s="136"/>
      <c r="VPW7" s="344"/>
      <c r="VPX7" s="344"/>
      <c r="VPY7" s="344"/>
      <c r="VPZ7" s="344"/>
      <c r="VQA7" s="136"/>
      <c r="VQB7" s="137"/>
      <c r="VQC7" s="137"/>
      <c r="VQD7" s="136"/>
      <c r="VQE7" s="344"/>
      <c r="VQF7" s="344"/>
      <c r="VQG7" s="344"/>
      <c r="VQH7" s="344"/>
      <c r="VQI7" s="136"/>
      <c r="VQJ7" s="137"/>
      <c r="VQK7" s="137"/>
      <c r="VQL7" s="136"/>
      <c r="VQM7" s="344"/>
      <c r="VQN7" s="344"/>
      <c r="VQO7" s="344"/>
      <c r="VQP7" s="344"/>
      <c r="VQQ7" s="136"/>
      <c r="VQR7" s="137"/>
      <c r="VQS7" s="137"/>
      <c r="VQT7" s="136"/>
      <c r="VQU7" s="344"/>
      <c r="VQV7" s="344"/>
      <c r="VQW7" s="344"/>
      <c r="VQX7" s="344"/>
      <c r="VQY7" s="136"/>
      <c r="VQZ7" s="137"/>
      <c r="VRA7" s="137"/>
      <c r="VRB7" s="136"/>
      <c r="VRC7" s="344"/>
      <c r="VRD7" s="344"/>
      <c r="VRE7" s="344"/>
      <c r="VRF7" s="344"/>
      <c r="VRG7" s="136"/>
      <c r="VRH7" s="137"/>
      <c r="VRI7" s="137"/>
      <c r="VRJ7" s="136"/>
      <c r="VRK7" s="344"/>
      <c r="VRL7" s="344"/>
      <c r="VRM7" s="344"/>
      <c r="VRN7" s="344"/>
      <c r="VRO7" s="136"/>
      <c r="VRP7" s="137"/>
      <c r="VRQ7" s="137"/>
      <c r="VRR7" s="136"/>
      <c r="VRS7" s="344"/>
      <c r="VRT7" s="344"/>
      <c r="VRU7" s="344"/>
      <c r="VRV7" s="344"/>
      <c r="VRW7" s="136"/>
      <c r="VRX7" s="137"/>
      <c r="VRY7" s="137"/>
      <c r="VRZ7" s="136"/>
      <c r="VSA7" s="344"/>
      <c r="VSB7" s="344"/>
      <c r="VSC7" s="344"/>
      <c r="VSD7" s="344"/>
      <c r="VSE7" s="136"/>
      <c r="VSF7" s="137"/>
      <c r="VSG7" s="137"/>
      <c r="VSH7" s="136"/>
      <c r="VSI7" s="344"/>
      <c r="VSJ7" s="344"/>
      <c r="VSK7" s="344"/>
      <c r="VSL7" s="344"/>
      <c r="VSM7" s="136"/>
      <c r="VSN7" s="137"/>
      <c r="VSO7" s="137"/>
      <c r="VSP7" s="136"/>
      <c r="VSQ7" s="344"/>
      <c r="VSR7" s="344"/>
      <c r="VSS7" s="344"/>
      <c r="VST7" s="344"/>
      <c r="VSU7" s="136"/>
      <c r="VSV7" s="137"/>
      <c r="VSW7" s="137"/>
      <c r="VSX7" s="136"/>
      <c r="VSY7" s="344"/>
      <c r="VSZ7" s="344"/>
      <c r="VTA7" s="344"/>
      <c r="VTB7" s="344"/>
      <c r="VTC7" s="136"/>
      <c r="VTD7" s="137"/>
      <c r="VTE7" s="137"/>
      <c r="VTF7" s="136"/>
      <c r="VTG7" s="344"/>
      <c r="VTH7" s="344"/>
      <c r="VTI7" s="344"/>
      <c r="VTJ7" s="344"/>
      <c r="VTK7" s="136"/>
      <c r="VTL7" s="137"/>
      <c r="VTM7" s="137"/>
      <c r="VTN7" s="136"/>
      <c r="VTO7" s="344"/>
      <c r="VTP7" s="344"/>
      <c r="VTQ7" s="344"/>
      <c r="VTR7" s="344"/>
      <c r="VTS7" s="136"/>
      <c r="VTT7" s="137"/>
      <c r="VTU7" s="137"/>
      <c r="VTV7" s="136"/>
      <c r="VTW7" s="344"/>
      <c r="VTX7" s="344"/>
      <c r="VTY7" s="344"/>
      <c r="VTZ7" s="344"/>
      <c r="VUA7" s="136"/>
      <c r="VUB7" s="137"/>
      <c r="VUC7" s="137"/>
      <c r="VUD7" s="136"/>
      <c r="VUE7" s="344"/>
      <c r="VUF7" s="344"/>
      <c r="VUG7" s="344"/>
      <c r="VUH7" s="344"/>
      <c r="VUI7" s="136"/>
      <c r="VUJ7" s="137"/>
      <c r="VUK7" s="137"/>
      <c r="VUL7" s="136"/>
      <c r="VUM7" s="344"/>
      <c r="VUN7" s="344"/>
      <c r="VUO7" s="344"/>
      <c r="VUP7" s="344"/>
      <c r="VUQ7" s="136"/>
      <c r="VUR7" s="137"/>
      <c r="VUS7" s="137"/>
      <c r="VUT7" s="136"/>
      <c r="VUU7" s="344"/>
      <c r="VUV7" s="344"/>
      <c r="VUW7" s="344"/>
      <c r="VUX7" s="344"/>
      <c r="VUY7" s="136"/>
      <c r="VUZ7" s="137"/>
      <c r="VVA7" s="137"/>
      <c r="VVB7" s="136"/>
      <c r="VVC7" s="344"/>
      <c r="VVD7" s="344"/>
      <c r="VVE7" s="344"/>
      <c r="VVF7" s="344"/>
      <c r="VVG7" s="136"/>
      <c r="VVH7" s="137"/>
      <c r="VVI7" s="137"/>
      <c r="VVJ7" s="136"/>
      <c r="VVK7" s="344"/>
      <c r="VVL7" s="344"/>
      <c r="VVM7" s="344"/>
      <c r="VVN7" s="344"/>
      <c r="VVO7" s="136"/>
      <c r="VVP7" s="137"/>
      <c r="VVQ7" s="137"/>
      <c r="VVR7" s="136"/>
      <c r="VVS7" s="344"/>
      <c r="VVT7" s="344"/>
      <c r="VVU7" s="344"/>
      <c r="VVV7" s="344"/>
      <c r="VVW7" s="136"/>
      <c r="VVX7" s="137"/>
      <c r="VVY7" s="137"/>
      <c r="VVZ7" s="136"/>
      <c r="VWA7" s="344"/>
      <c r="VWB7" s="344"/>
      <c r="VWC7" s="344"/>
      <c r="VWD7" s="344"/>
      <c r="VWE7" s="136"/>
      <c r="VWF7" s="137"/>
      <c r="VWG7" s="137"/>
      <c r="VWH7" s="136"/>
      <c r="VWI7" s="344"/>
      <c r="VWJ7" s="344"/>
      <c r="VWK7" s="344"/>
      <c r="VWL7" s="344"/>
      <c r="VWM7" s="136"/>
      <c r="VWN7" s="137"/>
      <c r="VWO7" s="137"/>
      <c r="VWP7" s="136"/>
      <c r="VWQ7" s="344"/>
      <c r="VWR7" s="344"/>
      <c r="VWS7" s="344"/>
      <c r="VWT7" s="344"/>
      <c r="VWU7" s="136"/>
      <c r="VWV7" s="137"/>
      <c r="VWW7" s="137"/>
      <c r="VWX7" s="136"/>
      <c r="VWY7" s="344"/>
      <c r="VWZ7" s="344"/>
      <c r="VXA7" s="344"/>
      <c r="VXB7" s="344"/>
      <c r="VXC7" s="136"/>
      <c r="VXD7" s="137"/>
      <c r="VXE7" s="137"/>
      <c r="VXF7" s="136"/>
      <c r="VXG7" s="344"/>
      <c r="VXH7" s="344"/>
      <c r="VXI7" s="344"/>
      <c r="VXJ7" s="344"/>
      <c r="VXK7" s="136"/>
      <c r="VXL7" s="137"/>
      <c r="VXM7" s="137"/>
      <c r="VXN7" s="136"/>
      <c r="VXO7" s="344"/>
      <c r="VXP7" s="344"/>
      <c r="VXQ7" s="344"/>
      <c r="VXR7" s="344"/>
      <c r="VXS7" s="136"/>
      <c r="VXT7" s="137"/>
      <c r="VXU7" s="137"/>
      <c r="VXV7" s="136"/>
      <c r="VXW7" s="344"/>
      <c r="VXX7" s="344"/>
      <c r="VXY7" s="344"/>
      <c r="VXZ7" s="344"/>
      <c r="VYA7" s="136"/>
      <c r="VYB7" s="137"/>
      <c r="VYC7" s="137"/>
      <c r="VYD7" s="136"/>
      <c r="VYE7" s="344"/>
      <c r="VYF7" s="344"/>
      <c r="VYG7" s="344"/>
      <c r="VYH7" s="344"/>
      <c r="VYI7" s="136"/>
      <c r="VYJ7" s="137"/>
      <c r="VYK7" s="137"/>
      <c r="VYL7" s="136"/>
      <c r="VYM7" s="344"/>
      <c r="VYN7" s="344"/>
      <c r="VYO7" s="344"/>
      <c r="VYP7" s="344"/>
      <c r="VYQ7" s="136"/>
      <c r="VYR7" s="137"/>
      <c r="VYS7" s="137"/>
      <c r="VYT7" s="136"/>
      <c r="VYU7" s="344"/>
      <c r="VYV7" s="344"/>
      <c r="VYW7" s="344"/>
      <c r="VYX7" s="344"/>
      <c r="VYY7" s="136"/>
      <c r="VYZ7" s="137"/>
      <c r="VZA7" s="137"/>
      <c r="VZB7" s="136"/>
      <c r="VZC7" s="344"/>
      <c r="VZD7" s="344"/>
      <c r="VZE7" s="344"/>
      <c r="VZF7" s="344"/>
      <c r="VZG7" s="136"/>
      <c r="VZH7" s="137"/>
      <c r="VZI7" s="137"/>
      <c r="VZJ7" s="136"/>
      <c r="VZK7" s="344"/>
      <c r="VZL7" s="344"/>
      <c r="VZM7" s="344"/>
      <c r="VZN7" s="344"/>
      <c r="VZO7" s="136"/>
      <c r="VZP7" s="137"/>
      <c r="VZQ7" s="137"/>
      <c r="VZR7" s="136"/>
      <c r="VZS7" s="344"/>
      <c r="VZT7" s="344"/>
      <c r="VZU7" s="344"/>
      <c r="VZV7" s="344"/>
      <c r="VZW7" s="136"/>
      <c r="VZX7" s="137"/>
      <c r="VZY7" s="137"/>
      <c r="VZZ7" s="136"/>
      <c r="WAA7" s="344"/>
      <c r="WAB7" s="344"/>
      <c r="WAC7" s="344"/>
      <c r="WAD7" s="344"/>
      <c r="WAE7" s="136"/>
      <c r="WAF7" s="137"/>
      <c r="WAG7" s="137"/>
      <c r="WAH7" s="136"/>
      <c r="WAI7" s="344"/>
      <c r="WAJ7" s="344"/>
      <c r="WAK7" s="344"/>
      <c r="WAL7" s="344"/>
      <c r="WAM7" s="136"/>
      <c r="WAN7" s="137"/>
      <c r="WAO7" s="137"/>
      <c r="WAP7" s="136"/>
      <c r="WAQ7" s="344"/>
      <c r="WAR7" s="344"/>
      <c r="WAS7" s="344"/>
      <c r="WAT7" s="344"/>
      <c r="WAU7" s="136"/>
      <c r="WAV7" s="137"/>
      <c r="WAW7" s="137"/>
      <c r="WAX7" s="136"/>
      <c r="WAY7" s="344"/>
      <c r="WAZ7" s="344"/>
      <c r="WBA7" s="344"/>
      <c r="WBB7" s="344"/>
      <c r="WBC7" s="136"/>
      <c r="WBD7" s="137"/>
      <c r="WBE7" s="137"/>
      <c r="WBF7" s="136"/>
      <c r="WBG7" s="344"/>
      <c r="WBH7" s="344"/>
      <c r="WBI7" s="344"/>
      <c r="WBJ7" s="344"/>
      <c r="WBK7" s="136"/>
      <c r="WBL7" s="137"/>
      <c r="WBM7" s="137"/>
      <c r="WBN7" s="136"/>
      <c r="WBO7" s="344"/>
      <c r="WBP7" s="344"/>
      <c r="WBQ7" s="344"/>
      <c r="WBR7" s="344"/>
      <c r="WBS7" s="136"/>
      <c r="WBT7" s="137"/>
      <c r="WBU7" s="137"/>
      <c r="WBV7" s="136"/>
      <c r="WBW7" s="344"/>
      <c r="WBX7" s="344"/>
      <c r="WBY7" s="344"/>
      <c r="WBZ7" s="344"/>
      <c r="WCA7" s="136"/>
      <c r="WCB7" s="137"/>
      <c r="WCC7" s="137"/>
      <c r="WCD7" s="136"/>
      <c r="WCE7" s="344"/>
      <c r="WCF7" s="344"/>
      <c r="WCG7" s="344"/>
      <c r="WCH7" s="344"/>
      <c r="WCI7" s="136"/>
      <c r="WCJ7" s="137"/>
      <c r="WCK7" s="137"/>
      <c r="WCL7" s="136"/>
      <c r="WCM7" s="344"/>
      <c r="WCN7" s="344"/>
      <c r="WCO7" s="344"/>
      <c r="WCP7" s="344"/>
      <c r="WCQ7" s="136"/>
      <c r="WCR7" s="137"/>
      <c r="WCS7" s="137"/>
      <c r="WCT7" s="136"/>
      <c r="WCU7" s="344"/>
      <c r="WCV7" s="344"/>
      <c r="WCW7" s="344"/>
      <c r="WCX7" s="344"/>
      <c r="WCY7" s="136"/>
      <c r="WCZ7" s="137"/>
      <c r="WDA7" s="137"/>
      <c r="WDB7" s="136"/>
      <c r="WDC7" s="344"/>
      <c r="WDD7" s="344"/>
      <c r="WDE7" s="344"/>
      <c r="WDF7" s="344"/>
      <c r="WDG7" s="136"/>
      <c r="WDH7" s="137"/>
      <c r="WDI7" s="137"/>
      <c r="WDJ7" s="136"/>
      <c r="WDK7" s="344"/>
      <c r="WDL7" s="344"/>
      <c r="WDM7" s="344"/>
      <c r="WDN7" s="344"/>
      <c r="WDO7" s="136"/>
      <c r="WDP7" s="137"/>
      <c r="WDQ7" s="137"/>
      <c r="WDR7" s="136"/>
      <c r="WDS7" s="344"/>
      <c r="WDT7" s="344"/>
      <c r="WDU7" s="344"/>
      <c r="WDV7" s="344"/>
      <c r="WDW7" s="136"/>
      <c r="WDX7" s="137"/>
      <c r="WDY7" s="137"/>
      <c r="WDZ7" s="136"/>
      <c r="WEA7" s="344"/>
      <c r="WEB7" s="344"/>
      <c r="WEC7" s="344"/>
      <c r="WED7" s="344"/>
      <c r="WEE7" s="136"/>
      <c r="WEF7" s="137"/>
      <c r="WEG7" s="137"/>
      <c r="WEH7" s="136"/>
      <c r="WEI7" s="344"/>
      <c r="WEJ7" s="344"/>
      <c r="WEK7" s="344"/>
      <c r="WEL7" s="344"/>
      <c r="WEM7" s="136"/>
      <c r="WEN7" s="137"/>
      <c r="WEO7" s="137"/>
      <c r="WEP7" s="136"/>
      <c r="WEQ7" s="344"/>
      <c r="WER7" s="344"/>
      <c r="WES7" s="344"/>
      <c r="WET7" s="344"/>
      <c r="WEU7" s="136"/>
      <c r="WEV7" s="137"/>
      <c r="WEW7" s="137"/>
      <c r="WEX7" s="136"/>
      <c r="WEY7" s="344"/>
      <c r="WEZ7" s="344"/>
      <c r="WFA7" s="344"/>
      <c r="WFB7" s="344"/>
      <c r="WFC7" s="136"/>
      <c r="WFD7" s="137"/>
      <c r="WFE7" s="137"/>
      <c r="WFF7" s="136"/>
      <c r="WFG7" s="344"/>
      <c r="WFH7" s="344"/>
      <c r="WFI7" s="344"/>
      <c r="WFJ7" s="344"/>
      <c r="WFK7" s="136"/>
      <c r="WFL7" s="137"/>
      <c r="WFM7" s="137"/>
      <c r="WFN7" s="136"/>
      <c r="WFO7" s="344"/>
      <c r="WFP7" s="344"/>
      <c r="WFQ7" s="344"/>
      <c r="WFR7" s="344"/>
      <c r="WFS7" s="136"/>
      <c r="WFT7" s="137"/>
      <c r="WFU7" s="137"/>
      <c r="WFV7" s="136"/>
      <c r="WFW7" s="344"/>
      <c r="WFX7" s="344"/>
      <c r="WFY7" s="344"/>
      <c r="WFZ7" s="344"/>
      <c r="WGA7" s="136"/>
      <c r="WGB7" s="137"/>
      <c r="WGC7" s="137"/>
      <c r="WGD7" s="136"/>
      <c r="WGE7" s="344"/>
      <c r="WGF7" s="344"/>
      <c r="WGG7" s="344"/>
      <c r="WGH7" s="344"/>
      <c r="WGI7" s="136"/>
      <c r="WGJ7" s="137"/>
      <c r="WGK7" s="137"/>
      <c r="WGL7" s="136"/>
      <c r="WGM7" s="344"/>
      <c r="WGN7" s="344"/>
      <c r="WGO7" s="344"/>
      <c r="WGP7" s="344"/>
      <c r="WGQ7" s="136"/>
      <c r="WGR7" s="137"/>
      <c r="WGS7" s="137"/>
      <c r="WGT7" s="136"/>
      <c r="WGU7" s="344"/>
      <c r="WGV7" s="344"/>
      <c r="WGW7" s="344"/>
      <c r="WGX7" s="344"/>
      <c r="WGY7" s="136"/>
      <c r="WGZ7" s="137"/>
      <c r="WHA7" s="137"/>
      <c r="WHB7" s="136"/>
      <c r="WHC7" s="344"/>
      <c r="WHD7" s="344"/>
      <c r="WHE7" s="344"/>
      <c r="WHF7" s="344"/>
      <c r="WHG7" s="136"/>
      <c r="WHH7" s="137"/>
      <c r="WHI7" s="137"/>
      <c r="WHJ7" s="136"/>
      <c r="WHK7" s="344"/>
      <c r="WHL7" s="344"/>
      <c r="WHM7" s="344"/>
      <c r="WHN7" s="344"/>
      <c r="WHO7" s="136"/>
      <c r="WHP7" s="137"/>
      <c r="WHQ7" s="137"/>
      <c r="WHR7" s="136"/>
      <c r="WHS7" s="344"/>
      <c r="WHT7" s="344"/>
      <c r="WHU7" s="344"/>
      <c r="WHV7" s="344"/>
      <c r="WHW7" s="136"/>
      <c r="WHX7" s="137"/>
      <c r="WHY7" s="137"/>
      <c r="WHZ7" s="136"/>
      <c r="WIA7" s="344"/>
      <c r="WIB7" s="344"/>
      <c r="WIC7" s="344"/>
      <c r="WID7" s="344"/>
      <c r="WIE7" s="136"/>
      <c r="WIF7" s="137"/>
      <c r="WIG7" s="137"/>
      <c r="WIH7" s="136"/>
      <c r="WII7" s="344"/>
      <c r="WIJ7" s="344"/>
      <c r="WIK7" s="344"/>
      <c r="WIL7" s="344"/>
      <c r="WIM7" s="136"/>
      <c r="WIN7" s="137"/>
      <c r="WIO7" s="137"/>
      <c r="WIP7" s="136"/>
      <c r="WIQ7" s="344"/>
      <c r="WIR7" s="344"/>
      <c r="WIS7" s="344"/>
      <c r="WIT7" s="344"/>
      <c r="WIU7" s="136"/>
      <c r="WIV7" s="137"/>
      <c r="WIW7" s="137"/>
      <c r="WIX7" s="136"/>
      <c r="WIY7" s="344"/>
      <c r="WIZ7" s="344"/>
      <c r="WJA7" s="344"/>
      <c r="WJB7" s="344"/>
      <c r="WJC7" s="136"/>
      <c r="WJD7" s="137"/>
      <c r="WJE7" s="137"/>
      <c r="WJF7" s="136"/>
      <c r="WJG7" s="344"/>
      <c r="WJH7" s="344"/>
      <c r="WJI7" s="344"/>
      <c r="WJJ7" s="344"/>
      <c r="WJK7" s="136"/>
      <c r="WJL7" s="137"/>
      <c r="WJM7" s="137"/>
      <c r="WJN7" s="136"/>
      <c r="WJO7" s="344"/>
      <c r="WJP7" s="344"/>
      <c r="WJQ7" s="344"/>
      <c r="WJR7" s="344"/>
      <c r="WJS7" s="136"/>
      <c r="WJT7" s="137"/>
      <c r="WJU7" s="137"/>
      <c r="WJV7" s="136"/>
      <c r="WJW7" s="344"/>
      <c r="WJX7" s="344"/>
      <c r="WJY7" s="344"/>
      <c r="WJZ7" s="344"/>
      <c r="WKA7" s="136"/>
      <c r="WKB7" s="137"/>
      <c r="WKC7" s="137"/>
      <c r="WKD7" s="136"/>
      <c r="WKE7" s="344"/>
      <c r="WKF7" s="344"/>
      <c r="WKG7" s="344"/>
      <c r="WKH7" s="344"/>
      <c r="WKI7" s="136"/>
      <c r="WKJ7" s="137"/>
      <c r="WKK7" s="137"/>
      <c r="WKL7" s="136"/>
      <c r="WKM7" s="344"/>
      <c r="WKN7" s="344"/>
      <c r="WKO7" s="344"/>
      <c r="WKP7" s="344"/>
      <c r="WKQ7" s="136"/>
      <c r="WKR7" s="137"/>
      <c r="WKS7" s="137"/>
      <c r="WKT7" s="136"/>
      <c r="WKU7" s="344"/>
      <c r="WKV7" s="344"/>
      <c r="WKW7" s="344"/>
      <c r="WKX7" s="344"/>
      <c r="WKY7" s="136"/>
      <c r="WKZ7" s="137"/>
      <c r="WLA7" s="137"/>
      <c r="WLB7" s="136"/>
      <c r="WLC7" s="344"/>
      <c r="WLD7" s="344"/>
      <c r="WLE7" s="344"/>
      <c r="WLF7" s="344"/>
      <c r="WLG7" s="136"/>
      <c r="WLH7" s="137"/>
      <c r="WLI7" s="137"/>
      <c r="WLJ7" s="136"/>
      <c r="WLK7" s="344"/>
      <c r="WLL7" s="344"/>
      <c r="WLM7" s="344"/>
      <c r="WLN7" s="344"/>
      <c r="WLO7" s="136"/>
      <c r="WLP7" s="137"/>
      <c r="WLQ7" s="137"/>
      <c r="WLR7" s="136"/>
      <c r="WLS7" s="344"/>
      <c r="WLT7" s="344"/>
      <c r="WLU7" s="344"/>
      <c r="WLV7" s="344"/>
      <c r="WLW7" s="136"/>
      <c r="WLX7" s="137"/>
      <c r="WLY7" s="137"/>
      <c r="WLZ7" s="136"/>
      <c r="WMA7" s="344"/>
      <c r="WMB7" s="344"/>
      <c r="WMC7" s="344"/>
      <c r="WMD7" s="344"/>
      <c r="WME7" s="136"/>
      <c r="WMF7" s="137"/>
      <c r="WMG7" s="137"/>
      <c r="WMH7" s="136"/>
      <c r="WMI7" s="344"/>
      <c r="WMJ7" s="344"/>
      <c r="WMK7" s="344"/>
      <c r="WML7" s="344"/>
      <c r="WMM7" s="136"/>
      <c r="WMN7" s="137"/>
      <c r="WMO7" s="137"/>
      <c r="WMP7" s="136"/>
      <c r="WMQ7" s="344"/>
      <c r="WMR7" s="344"/>
      <c r="WMS7" s="344"/>
      <c r="WMT7" s="344"/>
      <c r="WMU7" s="136"/>
      <c r="WMV7" s="137"/>
      <c r="WMW7" s="137"/>
      <c r="WMX7" s="136"/>
      <c r="WMY7" s="344"/>
      <c r="WMZ7" s="344"/>
      <c r="WNA7" s="344"/>
      <c r="WNB7" s="344"/>
      <c r="WNC7" s="136"/>
      <c r="WND7" s="137"/>
      <c r="WNE7" s="137"/>
      <c r="WNF7" s="136"/>
      <c r="WNG7" s="344"/>
      <c r="WNH7" s="344"/>
      <c r="WNI7" s="344"/>
      <c r="WNJ7" s="344"/>
      <c r="WNK7" s="136"/>
      <c r="WNL7" s="137"/>
      <c r="WNM7" s="137"/>
      <c r="WNN7" s="136"/>
      <c r="WNO7" s="344"/>
      <c r="WNP7" s="344"/>
      <c r="WNQ7" s="344"/>
      <c r="WNR7" s="344"/>
      <c r="WNS7" s="136"/>
      <c r="WNT7" s="137"/>
      <c r="WNU7" s="137"/>
      <c r="WNV7" s="136"/>
      <c r="WNW7" s="344"/>
      <c r="WNX7" s="344"/>
      <c r="WNY7" s="344"/>
      <c r="WNZ7" s="344"/>
      <c r="WOA7" s="136"/>
      <c r="WOB7" s="137"/>
      <c r="WOC7" s="137"/>
      <c r="WOD7" s="136"/>
      <c r="WOE7" s="344"/>
      <c r="WOF7" s="344"/>
      <c r="WOG7" s="344"/>
      <c r="WOH7" s="344"/>
      <c r="WOI7" s="136"/>
      <c r="WOJ7" s="137"/>
      <c r="WOK7" s="137"/>
      <c r="WOL7" s="136"/>
      <c r="WOM7" s="344"/>
      <c r="WON7" s="344"/>
      <c r="WOO7" s="344"/>
      <c r="WOP7" s="344"/>
      <c r="WOQ7" s="136"/>
      <c r="WOR7" s="137"/>
      <c r="WOS7" s="137"/>
      <c r="WOT7" s="136"/>
      <c r="WOU7" s="344"/>
      <c r="WOV7" s="344"/>
      <c r="WOW7" s="344"/>
      <c r="WOX7" s="344"/>
      <c r="WOY7" s="136"/>
      <c r="WOZ7" s="137"/>
      <c r="WPA7" s="137"/>
      <c r="WPB7" s="136"/>
      <c r="WPC7" s="344"/>
      <c r="WPD7" s="344"/>
      <c r="WPE7" s="344"/>
      <c r="WPF7" s="344"/>
      <c r="WPG7" s="136"/>
      <c r="WPH7" s="137"/>
      <c r="WPI7" s="137"/>
      <c r="WPJ7" s="136"/>
      <c r="WPK7" s="344"/>
      <c r="WPL7" s="344"/>
      <c r="WPM7" s="344"/>
      <c r="WPN7" s="344"/>
      <c r="WPO7" s="136"/>
      <c r="WPP7" s="137"/>
      <c r="WPQ7" s="137"/>
      <c r="WPR7" s="136"/>
      <c r="WPS7" s="344"/>
      <c r="WPT7" s="344"/>
      <c r="WPU7" s="344"/>
      <c r="WPV7" s="344"/>
      <c r="WPW7" s="136"/>
      <c r="WPX7" s="137"/>
      <c r="WPY7" s="137"/>
      <c r="WPZ7" s="136"/>
      <c r="WQA7" s="344"/>
      <c r="WQB7" s="344"/>
      <c r="WQC7" s="344"/>
      <c r="WQD7" s="344"/>
      <c r="WQE7" s="136"/>
      <c r="WQF7" s="137"/>
      <c r="WQG7" s="137"/>
      <c r="WQH7" s="136"/>
      <c r="WQI7" s="344"/>
      <c r="WQJ7" s="344"/>
      <c r="WQK7" s="344"/>
      <c r="WQL7" s="344"/>
      <c r="WQM7" s="136"/>
      <c r="WQN7" s="137"/>
      <c r="WQO7" s="137"/>
      <c r="WQP7" s="136"/>
      <c r="WQQ7" s="344"/>
      <c r="WQR7" s="344"/>
      <c r="WQS7" s="344"/>
      <c r="WQT7" s="344"/>
      <c r="WQU7" s="136"/>
      <c r="WQV7" s="137"/>
      <c r="WQW7" s="137"/>
      <c r="WQX7" s="136"/>
      <c r="WQY7" s="344"/>
      <c r="WQZ7" s="344"/>
      <c r="WRA7" s="344"/>
      <c r="WRB7" s="344"/>
      <c r="WRC7" s="136"/>
      <c r="WRD7" s="137"/>
      <c r="WRE7" s="137"/>
      <c r="WRF7" s="136"/>
      <c r="WRG7" s="344"/>
      <c r="WRH7" s="344"/>
      <c r="WRI7" s="344"/>
      <c r="WRJ7" s="344"/>
      <c r="WRK7" s="136"/>
      <c r="WRL7" s="137"/>
      <c r="WRM7" s="137"/>
      <c r="WRN7" s="136"/>
      <c r="WRO7" s="344"/>
      <c r="WRP7" s="344"/>
      <c r="WRQ7" s="344"/>
      <c r="WRR7" s="344"/>
      <c r="WRS7" s="136"/>
      <c r="WRT7" s="137"/>
      <c r="WRU7" s="137"/>
      <c r="WRV7" s="136"/>
      <c r="WRW7" s="344"/>
      <c r="WRX7" s="344"/>
      <c r="WRY7" s="344"/>
      <c r="WRZ7" s="344"/>
      <c r="WSA7" s="136"/>
      <c r="WSB7" s="137"/>
      <c r="WSC7" s="137"/>
      <c r="WSD7" s="136"/>
      <c r="WSE7" s="344"/>
      <c r="WSF7" s="344"/>
      <c r="WSG7" s="344"/>
      <c r="WSH7" s="344"/>
      <c r="WSI7" s="136"/>
      <c r="WSJ7" s="137"/>
      <c r="WSK7" s="137"/>
      <c r="WSL7" s="136"/>
      <c r="WSM7" s="344"/>
      <c r="WSN7" s="344"/>
      <c r="WSO7" s="344"/>
      <c r="WSP7" s="344"/>
      <c r="WSQ7" s="136"/>
      <c r="WSR7" s="137"/>
      <c r="WSS7" s="137"/>
      <c r="WST7" s="136"/>
      <c r="WSU7" s="344"/>
      <c r="WSV7" s="344"/>
      <c r="WSW7" s="344"/>
      <c r="WSX7" s="344"/>
      <c r="WSY7" s="136"/>
      <c r="WSZ7" s="137"/>
      <c r="WTA7" s="137"/>
      <c r="WTB7" s="136"/>
      <c r="WTC7" s="344"/>
      <c r="WTD7" s="344"/>
      <c r="WTE7" s="344"/>
      <c r="WTF7" s="344"/>
      <c r="WTG7" s="136"/>
      <c r="WTH7" s="137"/>
      <c r="WTI7" s="137"/>
      <c r="WTJ7" s="136"/>
      <c r="WTK7" s="344"/>
      <c r="WTL7" s="344"/>
      <c r="WTM7" s="344"/>
      <c r="WTN7" s="344"/>
      <c r="WTO7" s="136"/>
      <c r="WTP7" s="137"/>
      <c r="WTQ7" s="137"/>
      <c r="WTR7" s="136"/>
      <c r="WTS7" s="344"/>
      <c r="WTT7" s="344"/>
      <c r="WTU7" s="344"/>
      <c r="WTV7" s="344"/>
      <c r="WTW7" s="136"/>
      <c r="WTX7" s="137"/>
      <c r="WTY7" s="137"/>
      <c r="WTZ7" s="136"/>
      <c r="WUA7" s="344"/>
      <c r="WUB7" s="344"/>
      <c r="WUC7" s="344"/>
      <c r="WUD7" s="344"/>
      <c r="WUE7" s="136"/>
      <c r="WUF7" s="137"/>
      <c r="WUG7" s="137"/>
      <c r="WUH7" s="136"/>
      <c r="WUI7" s="344"/>
      <c r="WUJ7" s="344"/>
      <c r="WUK7" s="344"/>
      <c r="WUL7" s="344"/>
      <c r="WUM7" s="136"/>
      <c r="WUN7" s="137"/>
      <c r="WUO7" s="137"/>
      <c r="WUP7" s="136"/>
      <c r="WUQ7" s="344"/>
      <c r="WUR7" s="344"/>
      <c r="WUS7" s="344"/>
      <c r="WUT7" s="344"/>
      <c r="WUU7" s="136"/>
      <c r="WUV7" s="137"/>
      <c r="WUW7" s="137"/>
      <c r="WUX7" s="136"/>
      <c r="WUY7" s="344"/>
      <c r="WUZ7" s="344"/>
      <c r="WVA7" s="344"/>
      <c r="WVB7" s="344"/>
      <c r="WVC7" s="136"/>
      <c r="WVD7" s="137"/>
      <c r="WVE7" s="137"/>
      <c r="WVF7" s="136"/>
      <c r="WVG7" s="344"/>
      <c r="WVH7" s="344"/>
      <c r="WVI7" s="344"/>
      <c r="WVJ7" s="344"/>
      <c r="WVK7" s="136"/>
      <c r="WVL7" s="137"/>
      <c r="WVM7" s="137"/>
      <c r="WVN7" s="136"/>
      <c r="WVO7" s="344"/>
      <c r="WVP7" s="344"/>
      <c r="WVQ7" s="344"/>
      <c r="WVR7" s="344"/>
      <c r="WVS7" s="136"/>
      <c r="WVT7" s="137"/>
      <c r="WVU7" s="137"/>
      <c r="WVV7" s="136"/>
      <c r="WVW7" s="344"/>
      <c r="WVX7" s="344"/>
      <c r="WVY7" s="344"/>
      <c r="WVZ7" s="344"/>
      <c r="WWA7" s="136"/>
      <c r="WWB7" s="137"/>
      <c r="WWC7" s="137"/>
      <c r="WWD7" s="136"/>
      <c r="WWE7" s="344"/>
      <c r="WWF7" s="344"/>
      <c r="WWG7" s="344"/>
      <c r="WWH7" s="344"/>
      <c r="WWI7" s="136"/>
      <c r="WWJ7" s="137"/>
      <c r="WWK7" s="137"/>
      <c r="WWL7" s="136"/>
      <c r="WWM7" s="344"/>
      <c r="WWN7" s="344"/>
      <c r="WWO7" s="344"/>
      <c r="WWP7" s="344"/>
      <c r="WWQ7" s="136"/>
      <c r="WWR7" s="137"/>
      <c r="WWS7" s="137"/>
      <c r="WWT7" s="136"/>
      <c r="WWU7" s="344"/>
      <c r="WWV7" s="344"/>
      <c r="WWW7" s="344"/>
      <c r="WWX7" s="344"/>
      <c r="WWY7" s="136"/>
      <c r="WWZ7" s="137"/>
      <c r="WXA7" s="137"/>
      <c r="WXB7" s="136"/>
      <c r="WXC7" s="344"/>
      <c r="WXD7" s="344"/>
      <c r="WXE7" s="344"/>
      <c r="WXF7" s="344"/>
      <c r="WXG7" s="136"/>
      <c r="WXH7" s="137"/>
      <c r="WXI7" s="137"/>
      <c r="WXJ7" s="136"/>
      <c r="WXK7" s="344"/>
      <c r="WXL7" s="344"/>
      <c r="WXM7" s="344"/>
      <c r="WXN7" s="344"/>
      <c r="WXO7" s="136"/>
      <c r="WXP7" s="137"/>
      <c r="WXQ7" s="137"/>
      <c r="WXR7" s="136"/>
      <c r="WXS7" s="344"/>
      <c r="WXT7" s="344"/>
      <c r="WXU7" s="344"/>
      <c r="WXV7" s="344"/>
      <c r="WXW7" s="136"/>
      <c r="WXX7" s="137"/>
      <c r="WXY7" s="137"/>
      <c r="WXZ7" s="136"/>
      <c r="WYA7" s="344"/>
      <c r="WYB7" s="344"/>
      <c r="WYC7" s="344"/>
      <c r="WYD7" s="344"/>
      <c r="WYE7" s="136"/>
      <c r="WYF7" s="137"/>
      <c r="WYG7" s="137"/>
      <c r="WYH7" s="136"/>
      <c r="WYI7" s="344"/>
      <c r="WYJ7" s="344"/>
      <c r="WYK7" s="344"/>
      <c r="WYL7" s="344"/>
      <c r="WYM7" s="136"/>
      <c r="WYN7" s="137"/>
      <c r="WYO7" s="137"/>
      <c r="WYP7" s="136"/>
      <c r="WYQ7" s="344"/>
      <c r="WYR7" s="344"/>
      <c r="WYS7" s="344"/>
      <c r="WYT7" s="344"/>
      <c r="WYU7" s="136"/>
      <c r="WYV7" s="137"/>
      <c r="WYW7" s="137"/>
      <c r="WYX7" s="136"/>
      <c r="WYY7" s="344"/>
      <c r="WYZ7" s="344"/>
      <c r="WZA7" s="344"/>
      <c r="WZB7" s="344"/>
      <c r="WZC7" s="136"/>
      <c r="WZD7" s="137"/>
      <c r="WZE7" s="137"/>
      <c r="WZF7" s="136"/>
      <c r="WZG7" s="344"/>
      <c r="WZH7" s="344"/>
      <c r="WZI7" s="344"/>
      <c r="WZJ7" s="344"/>
      <c r="WZK7" s="136"/>
      <c r="WZL7" s="137"/>
      <c r="WZM7" s="137"/>
      <c r="WZN7" s="136"/>
      <c r="WZO7" s="344"/>
      <c r="WZP7" s="344"/>
      <c r="WZQ7" s="344"/>
      <c r="WZR7" s="344"/>
      <c r="WZS7" s="136"/>
      <c r="WZT7" s="137"/>
      <c r="WZU7" s="137"/>
      <c r="WZV7" s="136"/>
      <c r="WZW7" s="344"/>
      <c r="WZX7" s="344"/>
      <c r="WZY7" s="344"/>
      <c r="WZZ7" s="344"/>
      <c r="XAA7" s="136"/>
      <c r="XAB7" s="137"/>
      <c r="XAC7" s="137"/>
      <c r="XAD7" s="136"/>
      <c r="XAE7" s="344"/>
      <c r="XAF7" s="344"/>
      <c r="XAG7" s="344"/>
      <c r="XAH7" s="344"/>
      <c r="XAI7" s="136"/>
      <c r="XAJ7" s="137"/>
      <c r="XAK7" s="137"/>
      <c r="XAL7" s="136"/>
      <c r="XAM7" s="344"/>
      <c r="XAN7" s="344"/>
      <c r="XAO7" s="344"/>
      <c r="XAP7" s="344"/>
      <c r="XAQ7" s="136"/>
      <c r="XAR7" s="137"/>
      <c r="XAS7" s="137"/>
      <c r="XAT7" s="136"/>
      <c r="XAU7" s="344"/>
      <c r="XAV7" s="344"/>
      <c r="XAW7" s="344"/>
      <c r="XAX7" s="344"/>
      <c r="XAY7" s="136"/>
      <c r="XAZ7" s="137"/>
      <c r="XBA7" s="137"/>
      <c r="XBB7" s="136"/>
      <c r="XBC7" s="344"/>
      <c r="XBD7" s="344"/>
      <c r="XBE7" s="344"/>
      <c r="XBF7" s="344"/>
      <c r="XBG7" s="136"/>
      <c r="XBH7" s="137"/>
      <c r="XBI7" s="137"/>
      <c r="XBJ7" s="136"/>
      <c r="XBK7" s="344"/>
      <c r="XBL7" s="344"/>
      <c r="XBM7" s="344"/>
      <c r="XBN7" s="344"/>
      <c r="XBO7" s="136"/>
      <c r="XBP7" s="137"/>
      <c r="XBQ7" s="137"/>
      <c r="XBR7" s="136"/>
      <c r="XBS7" s="344"/>
      <c r="XBT7" s="344"/>
      <c r="XBU7" s="344"/>
      <c r="XBV7" s="344"/>
      <c r="XBW7" s="136"/>
      <c r="XBX7" s="137"/>
      <c r="XBY7" s="137"/>
      <c r="XBZ7" s="136"/>
      <c r="XCA7" s="344"/>
      <c r="XCB7" s="344"/>
      <c r="XCC7" s="344"/>
      <c r="XCD7" s="344"/>
      <c r="XCE7" s="136"/>
      <c r="XCF7" s="137"/>
      <c r="XCG7" s="137"/>
      <c r="XCH7" s="136"/>
      <c r="XCI7" s="344"/>
      <c r="XCJ7" s="344"/>
      <c r="XCK7" s="344"/>
      <c r="XCL7" s="344"/>
      <c r="XCM7" s="136"/>
      <c r="XCN7" s="137"/>
      <c r="XCO7" s="137"/>
      <c r="XCP7" s="136"/>
      <c r="XCQ7" s="344"/>
      <c r="XCR7" s="344"/>
      <c r="XCS7" s="344"/>
      <c r="XCT7" s="344"/>
      <c r="XCU7" s="136"/>
      <c r="XCV7" s="137"/>
      <c r="XCW7" s="137"/>
      <c r="XCX7" s="136"/>
      <c r="XCY7" s="344"/>
      <c r="XCZ7" s="344"/>
      <c r="XDA7" s="344"/>
      <c r="XDB7" s="344"/>
      <c r="XDC7" s="136"/>
      <c r="XDD7" s="137"/>
      <c r="XDE7" s="137"/>
      <c r="XDF7" s="136"/>
      <c r="XDG7" s="344"/>
      <c r="XDH7" s="344"/>
      <c r="XDI7" s="344"/>
      <c r="XDJ7" s="344"/>
      <c r="XDK7" s="136"/>
      <c r="XDL7" s="137"/>
      <c r="XDM7" s="137"/>
      <c r="XDN7" s="136"/>
      <c r="XDO7" s="344"/>
      <c r="XDP7" s="344"/>
      <c r="XDQ7" s="344"/>
      <c r="XDR7" s="344"/>
      <c r="XDS7" s="136"/>
      <c r="XDT7" s="137"/>
      <c r="XDU7" s="137"/>
      <c r="XDV7" s="136"/>
      <c r="XDW7" s="344"/>
      <c r="XDX7" s="344"/>
      <c r="XDY7" s="344"/>
      <c r="XDZ7" s="344"/>
      <c r="XEA7" s="136"/>
      <c r="XEB7" s="137"/>
      <c r="XEC7" s="137"/>
      <c r="XED7" s="136"/>
      <c r="XEE7" s="344"/>
      <c r="XEF7" s="344"/>
      <c r="XEG7" s="344"/>
      <c r="XEH7" s="344"/>
      <c r="XEI7" s="136"/>
      <c r="XEJ7" s="137"/>
      <c r="XEK7" s="137"/>
      <c r="XEL7" s="136"/>
      <c r="XEM7" s="344"/>
      <c r="XEN7" s="344"/>
      <c r="XEO7" s="344"/>
      <c r="XEP7" s="344"/>
      <c r="XEQ7" s="136"/>
      <c r="XER7" s="137"/>
      <c r="XES7" s="137"/>
      <c r="XET7" s="136"/>
      <c r="XEU7" s="344"/>
      <c r="XEV7" s="344"/>
      <c r="XEW7" s="344"/>
      <c r="XEX7" s="344"/>
      <c r="XEY7" s="136"/>
      <c r="XEZ7" s="137"/>
      <c r="XFA7" s="137"/>
    </row>
    <row r="8" spans="1:16381" s="131" customFormat="1" ht="22.15" customHeight="1" x14ac:dyDescent="0.25">
      <c r="A8" s="344" t="s">
        <v>803</v>
      </c>
      <c r="B8" s="344"/>
      <c r="C8" s="344"/>
      <c r="D8" s="344"/>
      <c r="E8" s="136" t="s">
        <v>168</v>
      </c>
      <c r="F8" s="368">
        <v>40</v>
      </c>
      <c r="G8" s="344"/>
      <c r="H8" s="344"/>
      <c r="I8" s="344"/>
      <c r="J8" s="344"/>
      <c r="K8" s="136"/>
      <c r="L8" s="137"/>
      <c r="M8" s="137"/>
      <c r="N8" s="136"/>
      <c r="O8" s="344"/>
      <c r="P8" s="344"/>
      <c r="Q8" s="344"/>
      <c r="R8" s="344"/>
      <c r="S8" s="136"/>
      <c r="T8" s="137"/>
      <c r="U8" s="137"/>
      <c r="V8" s="136"/>
      <c r="W8" s="344"/>
      <c r="X8" s="344"/>
      <c r="Y8" s="344"/>
      <c r="Z8" s="344"/>
      <c r="AA8" s="136"/>
      <c r="AB8" s="137"/>
      <c r="AC8" s="137"/>
      <c r="AD8" s="136"/>
      <c r="AE8" s="344"/>
      <c r="AF8" s="344"/>
      <c r="AG8" s="344"/>
      <c r="AH8" s="344"/>
      <c r="AI8" s="136"/>
      <c r="AJ8" s="137"/>
      <c r="AK8" s="137"/>
      <c r="AL8" s="136"/>
      <c r="AM8" s="344"/>
      <c r="AN8" s="344"/>
      <c r="AO8" s="344"/>
      <c r="AP8" s="344"/>
      <c r="AQ8" s="136"/>
      <c r="AR8" s="137"/>
      <c r="AS8" s="137"/>
      <c r="AT8" s="136"/>
      <c r="AU8" s="344"/>
      <c r="AV8" s="344"/>
      <c r="AW8" s="344"/>
      <c r="AX8" s="344"/>
      <c r="AY8" s="136"/>
      <c r="AZ8" s="137"/>
      <c r="BA8" s="137"/>
      <c r="BB8" s="136"/>
      <c r="BC8" s="344"/>
      <c r="BD8" s="344"/>
      <c r="BE8" s="344"/>
      <c r="BF8" s="344"/>
      <c r="BG8" s="136"/>
      <c r="BH8" s="137"/>
      <c r="BI8" s="137"/>
      <c r="BJ8" s="136"/>
      <c r="BK8" s="344"/>
      <c r="BL8" s="344"/>
      <c r="BM8" s="344"/>
      <c r="BN8" s="344"/>
      <c r="BO8" s="136"/>
      <c r="BP8" s="137"/>
      <c r="BQ8" s="137"/>
      <c r="BR8" s="136"/>
      <c r="BS8" s="344"/>
      <c r="BT8" s="344"/>
      <c r="BU8" s="344"/>
      <c r="BV8" s="344"/>
      <c r="BW8" s="136"/>
      <c r="BX8" s="137"/>
      <c r="BY8" s="137"/>
      <c r="BZ8" s="136"/>
      <c r="CA8" s="344"/>
      <c r="CB8" s="344"/>
      <c r="CC8" s="344"/>
      <c r="CD8" s="344"/>
      <c r="CE8" s="136"/>
      <c r="CF8" s="137"/>
      <c r="CG8" s="137"/>
      <c r="CH8" s="136"/>
      <c r="CI8" s="344"/>
      <c r="CJ8" s="344"/>
      <c r="CK8" s="344"/>
      <c r="CL8" s="344"/>
      <c r="CM8" s="136"/>
      <c r="CN8" s="137"/>
      <c r="CO8" s="137"/>
      <c r="CP8" s="136"/>
      <c r="CQ8" s="344"/>
      <c r="CR8" s="344"/>
      <c r="CS8" s="344"/>
      <c r="CT8" s="344"/>
      <c r="CU8" s="136"/>
      <c r="CV8" s="137"/>
      <c r="CW8" s="137"/>
      <c r="CX8" s="136"/>
      <c r="CY8" s="344"/>
      <c r="CZ8" s="344"/>
      <c r="DA8" s="344"/>
      <c r="DB8" s="344"/>
      <c r="DC8" s="136"/>
      <c r="DD8" s="137"/>
      <c r="DE8" s="137"/>
      <c r="DF8" s="136"/>
      <c r="DG8" s="344"/>
      <c r="DH8" s="344"/>
      <c r="DI8" s="344"/>
      <c r="DJ8" s="344"/>
      <c r="DK8" s="136"/>
      <c r="DL8" s="137"/>
      <c r="DM8" s="137"/>
      <c r="DN8" s="136"/>
      <c r="DO8" s="344"/>
      <c r="DP8" s="344"/>
      <c r="DQ8" s="344"/>
      <c r="DR8" s="344"/>
      <c r="DS8" s="136"/>
      <c r="DT8" s="137"/>
      <c r="DU8" s="137"/>
      <c r="DV8" s="136"/>
      <c r="DW8" s="344"/>
      <c r="DX8" s="344"/>
      <c r="DY8" s="344"/>
      <c r="DZ8" s="344"/>
      <c r="EA8" s="136"/>
      <c r="EB8" s="137"/>
      <c r="EC8" s="137"/>
      <c r="ED8" s="136"/>
      <c r="EE8" s="344"/>
      <c r="EF8" s="344"/>
      <c r="EG8" s="344"/>
      <c r="EH8" s="344"/>
      <c r="EI8" s="136"/>
      <c r="EJ8" s="137"/>
      <c r="EK8" s="137"/>
      <c r="EL8" s="136"/>
      <c r="EM8" s="344"/>
      <c r="EN8" s="344"/>
      <c r="EO8" s="344"/>
      <c r="EP8" s="344"/>
      <c r="EQ8" s="136"/>
      <c r="ER8" s="137"/>
      <c r="ES8" s="137"/>
      <c r="ET8" s="136"/>
      <c r="EU8" s="344"/>
      <c r="EV8" s="344"/>
      <c r="EW8" s="344"/>
      <c r="EX8" s="344"/>
      <c r="EY8" s="136"/>
      <c r="EZ8" s="137"/>
      <c r="FA8" s="137"/>
      <c r="FB8" s="136"/>
      <c r="FC8" s="344"/>
      <c r="FD8" s="344"/>
      <c r="FE8" s="344"/>
      <c r="FF8" s="344"/>
      <c r="FG8" s="136"/>
      <c r="FH8" s="137"/>
      <c r="FI8" s="137"/>
      <c r="FJ8" s="136"/>
      <c r="FK8" s="344"/>
      <c r="FL8" s="344"/>
      <c r="FM8" s="344"/>
      <c r="FN8" s="344"/>
      <c r="FO8" s="136"/>
      <c r="FP8" s="137"/>
      <c r="FQ8" s="137"/>
      <c r="FR8" s="136"/>
      <c r="FS8" s="344"/>
      <c r="FT8" s="344"/>
      <c r="FU8" s="344"/>
      <c r="FV8" s="344"/>
      <c r="FW8" s="136"/>
      <c r="FX8" s="137"/>
      <c r="FY8" s="137"/>
      <c r="FZ8" s="136"/>
      <c r="GA8" s="344"/>
      <c r="GB8" s="344"/>
      <c r="GC8" s="344"/>
      <c r="GD8" s="344"/>
      <c r="GE8" s="136"/>
      <c r="GF8" s="137"/>
      <c r="GG8" s="137"/>
      <c r="GH8" s="136"/>
      <c r="GI8" s="344"/>
      <c r="GJ8" s="344"/>
      <c r="GK8" s="344"/>
      <c r="GL8" s="344"/>
      <c r="GM8" s="136"/>
      <c r="GN8" s="137"/>
      <c r="GO8" s="137"/>
      <c r="GP8" s="136"/>
      <c r="GQ8" s="344"/>
      <c r="GR8" s="344"/>
      <c r="GS8" s="344"/>
      <c r="GT8" s="344"/>
      <c r="GU8" s="136"/>
      <c r="GV8" s="137"/>
      <c r="GW8" s="137"/>
      <c r="GX8" s="136"/>
      <c r="GY8" s="344"/>
      <c r="GZ8" s="344"/>
      <c r="HA8" s="344"/>
      <c r="HB8" s="344"/>
      <c r="HC8" s="136"/>
      <c r="HD8" s="137"/>
      <c r="HE8" s="137"/>
      <c r="HF8" s="136"/>
      <c r="HG8" s="344"/>
      <c r="HH8" s="344"/>
      <c r="HI8" s="344"/>
      <c r="HJ8" s="344"/>
      <c r="HK8" s="136"/>
      <c r="HL8" s="137"/>
      <c r="HM8" s="137"/>
      <c r="HN8" s="136"/>
      <c r="HO8" s="344"/>
      <c r="HP8" s="344"/>
      <c r="HQ8" s="344"/>
      <c r="HR8" s="344"/>
      <c r="HS8" s="136"/>
      <c r="HT8" s="137"/>
      <c r="HU8" s="137"/>
      <c r="HV8" s="136"/>
      <c r="HW8" s="344"/>
      <c r="HX8" s="344"/>
      <c r="HY8" s="344"/>
      <c r="HZ8" s="344"/>
      <c r="IA8" s="136"/>
      <c r="IB8" s="137"/>
      <c r="IC8" s="137"/>
      <c r="ID8" s="136"/>
      <c r="IE8" s="344"/>
      <c r="IF8" s="344"/>
      <c r="IG8" s="344"/>
      <c r="IH8" s="344"/>
      <c r="II8" s="136"/>
      <c r="IJ8" s="137"/>
      <c r="IK8" s="137"/>
      <c r="IL8" s="136"/>
      <c r="IM8" s="344"/>
      <c r="IN8" s="344"/>
      <c r="IO8" s="344"/>
      <c r="IP8" s="344"/>
      <c r="IQ8" s="136"/>
      <c r="IR8" s="137"/>
      <c r="IS8" s="137"/>
      <c r="IT8" s="136"/>
      <c r="IU8" s="344"/>
      <c r="IV8" s="344"/>
      <c r="IW8" s="344"/>
      <c r="IX8" s="344"/>
      <c r="IY8" s="136"/>
      <c r="IZ8" s="137"/>
      <c r="JA8" s="137"/>
      <c r="JB8" s="136"/>
      <c r="JC8" s="344"/>
      <c r="JD8" s="344"/>
      <c r="JE8" s="344"/>
      <c r="JF8" s="344"/>
      <c r="JG8" s="136"/>
      <c r="JH8" s="137"/>
      <c r="JI8" s="137"/>
      <c r="JJ8" s="136"/>
      <c r="JK8" s="344"/>
      <c r="JL8" s="344"/>
      <c r="JM8" s="344"/>
      <c r="JN8" s="344"/>
      <c r="JO8" s="136"/>
      <c r="JP8" s="137"/>
      <c r="JQ8" s="137"/>
      <c r="JR8" s="136"/>
      <c r="JS8" s="344"/>
      <c r="JT8" s="344"/>
      <c r="JU8" s="344"/>
      <c r="JV8" s="344"/>
      <c r="JW8" s="136"/>
      <c r="JX8" s="137"/>
      <c r="JY8" s="137"/>
      <c r="JZ8" s="136"/>
      <c r="KA8" s="344"/>
      <c r="KB8" s="344"/>
      <c r="KC8" s="344"/>
      <c r="KD8" s="344"/>
      <c r="KE8" s="136"/>
      <c r="KF8" s="137"/>
      <c r="KG8" s="137"/>
      <c r="KH8" s="136"/>
      <c r="KI8" s="344"/>
      <c r="KJ8" s="344"/>
      <c r="KK8" s="344"/>
      <c r="KL8" s="344"/>
      <c r="KM8" s="136"/>
      <c r="KN8" s="137"/>
      <c r="KO8" s="137"/>
      <c r="KP8" s="136"/>
      <c r="KQ8" s="344"/>
      <c r="KR8" s="344"/>
      <c r="KS8" s="344"/>
      <c r="KT8" s="344"/>
      <c r="KU8" s="136"/>
      <c r="KV8" s="137"/>
      <c r="KW8" s="137"/>
      <c r="KX8" s="136"/>
      <c r="KY8" s="344"/>
      <c r="KZ8" s="344"/>
      <c r="LA8" s="344"/>
      <c r="LB8" s="344"/>
      <c r="LC8" s="136"/>
      <c r="LD8" s="137"/>
      <c r="LE8" s="137"/>
      <c r="LF8" s="136"/>
      <c r="LG8" s="344"/>
      <c r="LH8" s="344"/>
      <c r="LI8" s="344"/>
      <c r="LJ8" s="344"/>
      <c r="LK8" s="136"/>
      <c r="LL8" s="137"/>
      <c r="LM8" s="137"/>
      <c r="LN8" s="136"/>
      <c r="LO8" s="344"/>
      <c r="LP8" s="344"/>
      <c r="LQ8" s="344"/>
      <c r="LR8" s="344"/>
      <c r="LS8" s="136"/>
      <c r="LT8" s="137"/>
      <c r="LU8" s="137"/>
      <c r="LV8" s="136"/>
      <c r="LW8" s="344"/>
      <c r="LX8" s="344"/>
      <c r="LY8" s="344"/>
      <c r="LZ8" s="344"/>
      <c r="MA8" s="136"/>
      <c r="MB8" s="137"/>
      <c r="MC8" s="137"/>
      <c r="MD8" s="136"/>
      <c r="ME8" s="344"/>
      <c r="MF8" s="344"/>
      <c r="MG8" s="344"/>
      <c r="MH8" s="344"/>
      <c r="MI8" s="136"/>
      <c r="MJ8" s="137"/>
      <c r="MK8" s="137"/>
      <c r="ML8" s="136"/>
      <c r="MM8" s="344"/>
      <c r="MN8" s="344"/>
      <c r="MO8" s="344"/>
      <c r="MP8" s="344"/>
      <c r="MQ8" s="136"/>
      <c r="MR8" s="137"/>
      <c r="MS8" s="137"/>
      <c r="MT8" s="136"/>
      <c r="MU8" s="344"/>
      <c r="MV8" s="344"/>
      <c r="MW8" s="344"/>
      <c r="MX8" s="344"/>
      <c r="MY8" s="136"/>
      <c r="MZ8" s="137"/>
      <c r="NA8" s="137"/>
      <c r="NB8" s="136"/>
      <c r="NC8" s="344"/>
      <c r="ND8" s="344"/>
      <c r="NE8" s="344"/>
      <c r="NF8" s="344"/>
      <c r="NG8" s="136"/>
      <c r="NH8" s="137"/>
      <c r="NI8" s="137"/>
      <c r="NJ8" s="136"/>
      <c r="NK8" s="344"/>
      <c r="NL8" s="344"/>
      <c r="NM8" s="344"/>
      <c r="NN8" s="344"/>
      <c r="NO8" s="136"/>
      <c r="NP8" s="137"/>
      <c r="NQ8" s="137"/>
      <c r="NR8" s="136"/>
      <c r="NS8" s="344"/>
      <c r="NT8" s="344"/>
      <c r="NU8" s="344"/>
      <c r="NV8" s="344"/>
      <c r="NW8" s="136"/>
      <c r="NX8" s="137"/>
      <c r="NY8" s="137"/>
      <c r="NZ8" s="136"/>
      <c r="OA8" s="344"/>
      <c r="OB8" s="344"/>
      <c r="OC8" s="344"/>
      <c r="OD8" s="344"/>
      <c r="OE8" s="136"/>
      <c r="OF8" s="137"/>
      <c r="OG8" s="137"/>
      <c r="OH8" s="136"/>
      <c r="OI8" s="344"/>
      <c r="OJ8" s="344"/>
      <c r="OK8" s="344"/>
      <c r="OL8" s="344"/>
      <c r="OM8" s="136"/>
      <c r="ON8" s="137"/>
      <c r="OO8" s="137"/>
      <c r="OP8" s="136"/>
      <c r="OQ8" s="344"/>
      <c r="OR8" s="344"/>
      <c r="OS8" s="344"/>
      <c r="OT8" s="344"/>
      <c r="OU8" s="136"/>
      <c r="OV8" s="137"/>
      <c r="OW8" s="137"/>
      <c r="OX8" s="136"/>
      <c r="OY8" s="344"/>
      <c r="OZ8" s="344"/>
      <c r="PA8" s="344"/>
      <c r="PB8" s="344"/>
      <c r="PC8" s="136"/>
      <c r="PD8" s="137"/>
      <c r="PE8" s="137"/>
      <c r="PF8" s="136"/>
      <c r="PG8" s="344"/>
      <c r="PH8" s="344"/>
      <c r="PI8" s="344"/>
      <c r="PJ8" s="344"/>
      <c r="PK8" s="136"/>
      <c r="PL8" s="137"/>
      <c r="PM8" s="137"/>
      <c r="PN8" s="136"/>
      <c r="PO8" s="344"/>
      <c r="PP8" s="344"/>
      <c r="PQ8" s="344"/>
      <c r="PR8" s="344"/>
      <c r="PS8" s="136"/>
      <c r="PT8" s="137"/>
      <c r="PU8" s="137"/>
      <c r="PV8" s="136"/>
      <c r="PW8" s="344"/>
      <c r="PX8" s="344"/>
      <c r="PY8" s="344"/>
      <c r="PZ8" s="344"/>
      <c r="QA8" s="136"/>
      <c r="QB8" s="137"/>
      <c r="QC8" s="137"/>
      <c r="QD8" s="136"/>
      <c r="QE8" s="344"/>
      <c r="QF8" s="344"/>
      <c r="QG8" s="344"/>
      <c r="QH8" s="344"/>
      <c r="QI8" s="136"/>
      <c r="QJ8" s="137"/>
      <c r="QK8" s="137"/>
      <c r="QL8" s="136"/>
      <c r="QM8" s="344"/>
      <c r="QN8" s="344"/>
      <c r="QO8" s="344"/>
      <c r="QP8" s="344"/>
      <c r="QQ8" s="136"/>
      <c r="QR8" s="137"/>
      <c r="QS8" s="137"/>
      <c r="QT8" s="136"/>
      <c r="QU8" s="344"/>
      <c r="QV8" s="344"/>
      <c r="QW8" s="344"/>
      <c r="QX8" s="344"/>
      <c r="QY8" s="136"/>
      <c r="QZ8" s="137"/>
      <c r="RA8" s="137"/>
      <c r="RB8" s="136"/>
      <c r="RC8" s="344"/>
      <c r="RD8" s="344"/>
      <c r="RE8" s="344"/>
      <c r="RF8" s="344"/>
      <c r="RG8" s="136"/>
      <c r="RH8" s="137"/>
      <c r="RI8" s="137"/>
      <c r="RJ8" s="136"/>
      <c r="RK8" s="344"/>
      <c r="RL8" s="344"/>
      <c r="RM8" s="344"/>
      <c r="RN8" s="344"/>
      <c r="RO8" s="136"/>
      <c r="RP8" s="137"/>
      <c r="RQ8" s="137"/>
      <c r="RR8" s="136"/>
      <c r="RS8" s="344"/>
      <c r="RT8" s="344"/>
      <c r="RU8" s="344"/>
      <c r="RV8" s="344"/>
      <c r="RW8" s="136"/>
      <c r="RX8" s="137"/>
      <c r="RY8" s="137"/>
      <c r="RZ8" s="136"/>
      <c r="SA8" s="344"/>
      <c r="SB8" s="344"/>
      <c r="SC8" s="344"/>
      <c r="SD8" s="344"/>
      <c r="SE8" s="136"/>
      <c r="SF8" s="137"/>
      <c r="SG8" s="137"/>
      <c r="SH8" s="136"/>
      <c r="SI8" s="344"/>
      <c r="SJ8" s="344"/>
      <c r="SK8" s="344"/>
      <c r="SL8" s="344"/>
      <c r="SM8" s="136"/>
      <c r="SN8" s="137"/>
      <c r="SO8" s="137"/>
      <c r="SP8" s="136"/>
      <c r="SQ8" s="344"/>
      <c r="SR8" s="344"/>
      <c r="SS8" s="344"/>
      <c r="ST8" s="344"/>
      <c r="SU8" s="136"/>
      <c r="SV8" s="137"/>
      <c r="SW8" s="137"/>
      <c r="SX8" s="136"/>
      <c r="SY8" s="344"/>
      <c r="SZ8" s="344"/>
      <c r="TA8" s="344"/>
      <c r="TB8" s="344"/>
      <c r="TC8" s="136"/>
      <c r="TD8" s="137"/>
      <c r="TE8" s="137"/>
      <c r="TF8" s="136"/>
      <c r="TG8" s="344"/>
      <c r="TH8" s="344"/>
      <c r="TI8" s="344"/>
      <c r="TJ8" s="344"/>
      <c r="TK8" s="136"/>
      <c r="TL8" s="137"/>
      <c r="TM8" s="137"/>
      <c r="TN8" s="136"/>
      <c r="TO8" s="344"/>
      <c r="TP8" s="344"/>
      <c r="TQ8" s="344"/>
      <c r="TR8" s="344"/>
      <c r="TS8" s="136"/>
      <c r="TT8" s="137"/>
      <c r="TU8" s="137"/>
      <c r="TV8" s="136"/>
      <c r="TW8" s="344"/>
      <c r="TX8" s="344"/>
      <c r="TY8" s="344"/>
      <c r="TZ8" s="344"/>
      <c r="UA8" s="136"/>
      <c r="UB8" s="137"/>
      <c r="UC8" s="137"/>
      <c r="UD8" s="136"/>
      <c r="UE8" s="344"/>
      <c r="UF8" s="344"/>
      <c r="UG8" s="344"/>
      <c r="UH8" s="344"/>
      <c r="UI8" s="136"/>
      <c r="UJ8" s="137"/>
      <c r="UK8" s="137"/>
      <c r="UL8" s="136"/>
      <c r="UM8" s="344"/>
      <c r="UN8" s="344"/>
      <c r="UO8" s="344"/>
      <c r="UP8" s="344"/>
      <c r="UQ8" s="136"/>
      <c r="UR8" s="137"/>
      <c r="US8" s="137"/>
      <c r="UT8" s="136"/>
      <c r="UU8" s="344"/>
      <c r="UV8" s="344"/>
      <c r="UW8" s="344"/>
      <c r="UX8" s="344"/>
      <c r="UY8" s="136"/>
      <c r="UZ8" s="137"/>
      <c r="VA8" s="137"/>
      <c r="VB8" s="136"/>
      <c r="VC8" s="344"/>
      <c r="VD8" s="344"/>
      <c r="VE8" s="344"/>
      <c r="VF8" s="344"/>
      <c r="VG8" s="136"/>
      <c r="VH8" s="137"/>
      <c r="VI8" s="137"/>
      <c r="VJ8" s="136"/>
      <c r="VK8" s="344"/>
      <c r="VL8" s="344"/>
      <c r="VM8" s="344"/>
      <c r="VN8" s="344"/>
      <c r="VO8" s="136"/>
      <c r="VP8" s="137"/>
      <c r="VQ8" s="137"/>
      <c r="VR8" s="136"/>
      <c r="VS8" s="344"/>
      <c r="VT8" s="344"/>
      <c r="VU8" s="344"/>
      <c r="VV8" s="344"/>
      <c r="VW8" s="136"/>
      <c r="VX8" s="137"/>
      <c r="VY8" s="137"/>
      <c r="VZ8" s="136"/>
      <c r="WA8" s="344"/>
      <c r="WB8" s="344"/>
      <c r="WC8" s="344"/>
      <c r="WD8" s="344"/>
      <c r="WE8" s="136"/>
      <c r="WF8" s="137"/>
      <c r="WG8" s="137"/>
      <c r="WH8" s="136"/>
      <c r="WI8" s="344"/>
      <c r="WJ8" s="344"/>
      <c r="WK8" s="344"/>
      <c r="WL8" s="344"/>
      <c r="WM8" s="136"/>
      <c r="WN8" s="137"/>
      <c r="WO8" s="137"/>
      <c r="WP8" s="136"/>
      <c r="WQ8" s="344"/>
      <c r="WR8" s="344"/>
      <c r="WS8" s="344"/>
      <c r="WT8" s="344"/>
      <c r="WU8" s="136"/>
      <c r="WV8" s="137"/>
      <c r="WW8" s="137"/>
      <c r="WX8" s="136"/>
      <c r="WY8" s="344"/>
      <c r="WZ8" s="344"/>
      <c r="XA8" s="344"/>
      <c r="XB8" s="344"/>
      <c r="XC8" s="136"/>
      <c r="XD8" s="137"/>
      <c r="XE8" s="137"/>
      <c r="XF8" s="136"/>
      <c r="XG8" s="344"/>
      <c r="XH8" s="344"/>
      <c r="XI8" s="344"/>
      <c r="XJ8" s="344"/>
      <c r="XK8" s="136"/>
      <c r="XL8" s="137"/>
      <c r="XM8" s="137"/>
      <c r="XN8" s="136"/>
      <c r="XO8" s="344"/>
      <c r="XP8" s="344"/>
      <c r="XQ8" s="344"/>
      <c r="XR8" s="344"/>
      <c r="XS8" s="136"/>
      <c r="XT8" s="137"/>
      <c r="XU8" s="137"/>
      <c r="XV8" s="136"/>
      <c r="XW8" s="344"/>
      <c r="XX8" s="344"/>
      <c r="XY8" s="344"/>
      <c r="XZ8" s="344"/>
      <c r="YA8" s="136"/>
      <c r="YB8" s="137"/>
      <c r="YC8" s="137"/>
      <c r="YD8" s="136"/>
      <c r="YE8" s="344"/>
      <c r="YF8" s="344"/>
      <c r="YG8" s="344"/>
      <c r="YH8" s="344"/>
      <c r="YI8" s="136"/>
      <c r="YJ8" s="137"/>
      <c r="YK8" s="137"/>
      <c r="YL8" s="136"/>
      <c r="YM8" s="344"/>
      <c r="YN8" s="344"/>
      <c r="YO8" s="344"/>
      <c r="YP8" s="344"/>
      <c r="YQ8" s="136"/>
      <c r="YR8" s="137"/>
      <c r="YS8" s="137"/>
      <c r="YT8" s="136"/>
      <c r="YU8" s="344"/>
      <c r="YV8" s="344"/>
      <c r="YW8" s="344"/>
      <c r="YX8" s="344"/>
      <c r="YY8" s="136"/>
      <c r="YZ8" s="137"/>
      <c r="ZA8" s="137"/>
      <c r="ZB8" s="136"/>
      <c r="ZC8" s="344"/>
      <c r="ZD8" s="344"/>
      <c r="ZE8" s="344"/>
      <c r="ZF8" s="344"/>
      <c r="ZG8" s="136"/>
      <c r="ZH8" s="137"/>
      <c r="ZI8" s="137"/>
      <c r="ZJ8" s="136"/>
      <c r="ZK8" s="344"/>
      <c r="ZL8" s="344"/>
      <c r="ZM8" s="344"/>
      <c r="ZN8" s="344"/>
      <c r="ZO8" s="136"/>
      <c r="ZP8" s="137"/>
      <c r="ZQ8" s="137"/>
      <c r="ZR8" s="136"/>
      <c r="ZS8" s="344"/>
      <c r="ZT8" s="344"/>
      <c r="ZU8" s="344"/>
      <c r="ZV8" s="344"/>
      <c r="ZW8" s="136"/>
      <c r="ZX8" s="137"/>
      <c r="ZY8" s="137"/>
      <c r="ZZ8" s="136"/>
      <c r="AAA8" s="344"/>
      <c r="AAB8" s="344"/>
      <c r="AAC8" s="344"/>
      <c r="AAD8" s="344"/>
      <c r="AAE8" s="136"/>
      <c r="AAF8" s="137"/>
      <c r="AAG8" s="137"/>
      <c r="AAH8" s="136"/>
      <c r="AAI8" s="344"/>
      <c r="AAJ8" s="344"/>
      <c r="AAK8" s="344"/>
      <c r="AAL8" s="344"/>
      <c r="AAM8" s="136"/>
      <c r="AAN8" s="137"/>
      <c r="AAO8" s="137"/>
      <c r="AAP8" s="136"/>
      <c r="AAQ8" s="344"/>
      <c r="AAR8" s="344"/>
      <c r="AAS8" s="344"/>
      <c r="AAT8" s="344"/>
      <c r="AAU8" s="136"/>
      <c r="AAV8" s="137"/>
      <c r="AAW8" s="137"/>
      <c r="AAX8" s="136"/>
      <c r="AAY8" s="344"/>
      <c r="AAZ8" s="344"/>
      <c r="ABA8" s="344"/>
      <c r="ABB8" s="344"/>
      <c r="ABC8" s="136"/>
      <c r="ABD8" s="137"/>
      <c r="ABE8" s="137"/>
      <c r="ABF8" s="136"/>
      <c r="ABG8" s="344"/>
      <c r="ABH8" s="344"/>
      <c r="ABI8" s="344"/>
      <c r="ABJ8" s="344"/>
      <c r="ABK8" s="136"/>
      <c r="ABL8" s="137"/>
      <c r="ABM8" s="137"/>
      <c r="ABN8" s="136"/>
      <c r="ABO8" s="344"/>
      <c r="ABP8" s="344"/>
      <c r="ABQ8" s="344"/>
      <c r="ABR8" s="344"/>
      <c r="ABS8" s="136"/>
      <c r="ABT8" s="137"/>
      <c r="ABU8" s="137"/>
      <c r="ABV8" s="136"/>
      <c r="ABW8" s="344"/>
      <c r="ABX8" s="344"/>
      <c r="ABY8" s="344"/>
      <c r="ABZ8" s="344"/>
      <c r="ACA8" s="136"/>
      <c r="ACB8" s="137"/>
      <c r="ACC8" s="137"/>
      <c r="ACD8" s="136"/>
      <c r="ACE8" s="344"/>
      <c r="ACF8" s="344"/>
      <c r="ACG8" s="344"/>
      <c r="ACH8" s="344"/>
      <c r="ACI8" s="136"/>
      <c r="ACJ8" s="137"/>
      <c r="ACK8" s="137"/>
      <c r="ACL8" s="136"/>
      <c r="ACM8" s="344"/>
      <c r="ACN8" s="344"/>
      <c r="ACO8" s="344"/>
      <c r="ACP8" s="344"/>
      <c r="ACQ8" s="136"/>
      <c r="ACR8" s="137"/>
      <c r="ACS8" s="137"/>
      <c r="ACT8" s="136"/>
      <c r="ACU8" s="344"/>
      <c r="ACV8" s="344"/>
      <c r="ACW8" s="344"/>
      <c r="ACX8" s="344"/>
      <c r="ACY8" s="136"/>
      <c r="ACZ8" s="137"/>
      <c r="ADA8" s="137"/>
      <c r="ADB8" s="136"/>
      <c r="ADC8" s="344"/>
      <c r="ADD8" s="344"/>
      <c r="ADE8" s="344"/>
      <c r="ADF8" s="344"/>
      <c r="ADG8" s="136"/>
      <c r="ADH8" s="137"/>
      <c r="ADI8" s="137"/>
      <c r="ADJ8" s="136"/>
      <c r="ADK8" s="344"/>
      <c r="ADL8" s="344"/>
      <c r="ADM8" s="344"/>
      <c r="ADN8" s="344"/>
      <c r="ADO8" s="136"/>
      <c r="ADP8" s="137"/>
      <c r="ADQ8" s="137"/>
      <c r="ADR8" s="136"/>
      <c r="ADS8" s="344"/>
      <c r="ADT8" s="344"/>
      <c r="ADU8" s="344"/>
      <c r="ADV8" s="344"/>
      <c r="ADW8" s="136"/>
      <c r="ADX8" s="137"/>
      <c r="ADY8" s="137"/>
      <c r="ADZ8" s="136"/>
      <c r="AEA8" s="344"/>
      <c r="AEB8" s="344"/>
      <c r="AEC8" s="344"/>
      <c r="AED8" s="344"/>
      <c r="AEE8" s="136"/>
      <c r="AEF8" s="137"/>
      <c r="AEG8" s="137"/>
      <c r="AEH8" s="136"/>
      <c r="AEI8" s="344"/>
      <c r="AEJ8" s="344"/>
      <c r="AEK8" s="344"/>
      <c r="AEL8" s="344"/>
      <c r="AEM8" s="136"/>
      <c r="AEN8" s="137"/>
      <c r="AEO8" s="137"/>
      <c r="AEP8" s="136"/>
      <c r="AEQ8" s="344"/>
      <c r="AER8" s="344"/>
      <c r="AES8" s="344"/>
      <c r="AET8" s="344"/>
      <c r="AEU8" s="136"/>
      <c r="AEV8" s="137"/>
      <c r="AEW8" s="137"/>
      <c r="AEX8" s="136"/>
      <c r="AEY8" s="344"/>
      <c r="AEZ8" s="344"/>
      <c r="AFA8" s="344"/>
      <c r="AFB8" s="344"/>
      <c r="AFC8" s="136"/>
      <c r="AFD8" s="137"/>
      <c r="AFE8" s="137"/>
      <c r="AFF8" s="136"/>
      <c r="AFG8" s="344"/>
      <c r="AFH8" s="344"/>
      <c r="AFI8" s="344"/>
      <c r="AFJ8" s="344"/>
      <c r="AFK8" s="136"/>
      <c r="AFL8" s="137"/>
      <c r="AFM8" s="137"/>
      <c r="AFN8" s="136"/>
      <c r="AFO8" s="344"/>
      <c r="AFP8" s="344"/>
      <c r="AFQ8" s="344"/>
      <c r="AFR8" s="344"/>
      <c r="AFS8" s="136"/>
      <c r="AFT8" s="137"/>
      <c r="AFU8" s="137"/>
      <c r="AFV8" s="136"/>
      <c r="AFW8" s="344"/>
      <c r="AFX8" s="344"/>
      <c r="AFY8" s="344"/>
      <c r="AFZ8" s="344"/>
      <c r="AGA8" s="136"/>
      <c r="AGB8" s="137"/>
      <c r="AGC8" s="137"/>
      <c r="AGD8" s="136"/>
      <c r="AGE8" s="344"/>
      <c r="AGF8" s="344"/>
      <c r="AGG8" s="344"/>
      <c r="AGH8" s="344"/>
      <c r="AGI8" s="136"/>
      <c r="AGJ8" s="137"/>
      <c r="AGK8" s="137"/>
      <c r="AGL8" s="136"/>
      <c r="AGM8" s="344"/>
      <c r="AGN8" s="344"/>
      <c r="AGO8" s="344"/>
      <c r="AGP8" s="344"/>
      <c r="AGQ8" s="136"/>
      <c r="AGR8" s="137"/>
      <c r="AGS8" s="137"/>
      <c r="AGT8" s="136"/>
      <c r="AGU8" s="344"/>
      <c r="AGV8" s="344"/>
      <c r="AGW8" s="344"/>
      <c r="AGX8" s="344"/>
      <c r="AGY8" s="136"/>
      <c r="AGZ8" s="137"/>
      <c r="AHA8" s="137"/>
      <c r="AHB8" s="136"/>
      <c r="AHC8" s="344"/>
      <c r="AHD8" s="344"/>
      <c r="AHE8" s="344"/>
      <c r="AHF8" s="344"/>
      <c r="AHG8" s="136"/>
      <c r="AHH8" s="137"/>
      <c r="AHI8" s="137"/>
      <c r="AHJ8" s="136"/>
      <c r="AHK8" s="344"/>
      <c r="AHL8" s="344"/>
      <c r="AHM8" s="344"/>
      <c r="AHN8" s="344"/>
      <c r="AHO8" s="136"/>
      <c r="AHP8" s="137"/>
      <c r="AHQ8" s="137"/>
      <c r="AHR8" s="136"/>
      <c r="AHS8" s="344"/>
      <c r="AHT8" s="344"/>
      <c r="AHU8" s="344"/>
      <c r="AHV8" s="344"/>
      <c r="AHW8" s="136"/>
      <c r="AHX8" s="137"/>
      <c r="AHY8" s="137"/>
      <c r="AHZ8" s="136"/>
      <c r="AIA8" s="344"/>
      <c r="AIB8" s="344"/>
      <c r="AIC8" s="344"/>
      <c r="AID8" s="344"/>
      <c r="AIE8" s="136"/>
      <c r="AIF8" s="137"/>
      <c r="AIG8" s="137"/>
      <c r="AIH8" s="136"/>
      <c r="AII8" s="344"/>
      <c r="AIJ8" s="344"/>
      <c r="AIK8" s="344"/>
      <c r="AIL8" s="344"/>
      <c r="AIM8" s="136"/>
      <c r="AIN8" s="137"/>
      <c r="AIO8" s="137"/>
      <c r="AIP8" s="136"/>
      <c r="AIQ8" s="344"/>
      <c r="AIR8" s="344"/>
      <c r="AIS8" s="344"/>
      <c r="AIT8" s="344"/>
      <c r="AIU8" s="136"/>
      <c r="AIV8" s="137"/>
      <c r="AIW8" s="137"/>
      <c r="AIX8" s="136"/>
      <c r="AIY8" s="344"/>
      <c r="AIZ8" s="344"/>
      <c r="AJA8" s="344"/>
      <c r="AJB8" s="344"/>
      <c r="AJC8" s="136"/>
      <c r="AJD8" s="137"/>
      <c r="AJE8" s="137"/>
      <c r="AJF8" s="136"/>
      <c r="AJG8" s="344"/>
      <c r="AJH8" s="344"/>
      <c r="AJI8" s="344"/>
      <c r="AJJ8" s="344"/>
      <c r="AJK8" s="136"/>
      <c r="AJL8" s="137"/>
      <c r="AJM8" s="137"/>
      <c r="AJN8" s="136"/>
      <c r="AJO8" s="344"/>
      <c r="AJP8" s="344"/>
      <c r="AJQ8" s="344"/>
      <c r="AJR8" s="344"/>
      <c r="AJS8" s="136"/>
      <c r="AJT8" s="137"/>
      <c r="AJU8" s="137"/>
      <c r="AJV8" s="136"/>
      <c r="AJW8" s="344"/>
      <c r="AJX8" s="344"/>
      <c r="AJY8" s="344"/>
      <c r="AJZ8" s="344"/>
      <c r="AKA8" s="136"/>
      <c r="AKB8" s="137"/>
      <c r="AKC8" s="137"/>
      <c r="AKD8" s="136"/>
      <c r="AKE8" s="344"/>
      <c r="AKF8" s="344"/>
      <c r="AKG8" s="344"/>
      <c r="AKH8" s="344"/>
      <c r="AKI8" s="136"/>
      <c r="AKJ8" s="137"/>
      <c r="AKK8" s="137"/>
      <c r="AKL8" s="136"/>
      <c r="AKM8" s="344"/>
      <c r="AKN8" s="344"/>
      <c r="AKO8" s="344"/>
      <c r="AKP8" s="344"/>
      <c r="AKQ8" s="136"/>
      <c r="AKR8" s="137"/>
      <c r="AKS8" s="137"/>
      <c r="AKT8" s="136"/>
      <c r="AKU8" s="344"/>
      <c r="AKV8" s="344"/>
      <c r="AKW8" s="344"/>
      <c r="AKX8" s="344"/>
      <c r="AKY8" s="136"/>
      <c r="AKZ8" s="137"/>
      <c r="ALA8" s="137"/>
      <c r="ALB8" s="136"/>
      <c r="ALC8" s="344"/>
      <c r="ALD8" s="344"/>
      <c r="ALE8" s="344"/>
      <c r="ALF8" s="344"/>
      <c r="ALG8" s="136"/>
      <c r="ALH8" s="137"/>
      <c r="ALI8" s="137"/>
      <c r="ALJ8" s="136"/>
      <c r="ALK8" s="344"/>
      <c r="ALL8" s="344"/>
      <c r="ALM8" s="344"/>
      <c r="ALN8" s="344"/>
      <c r="ALO8" s="136"/>
      <c r="ALP8" s="137"/>
      <c r="ALQ8" s="137"/>
      <c r="ALR8" s="136"/>
      <c r="ALS8" s="344"/>
      <c r="ALT8" s="344"/>
      <c r="ALU8" s="344"/>
      <c r="ALV8" s="344"/>
      <c r="ALW8" s="136"/>
      <c r="ALX8" s="137"/>
      <c r="ALY8" s="137"/>
      <c r="ALZ8" s="136"/>
      <c r="AMA8" s="344"/>
      <c r="AMB8" s="344"/>
      <c r="AMC8" s="344"/>
      <c r="AMD8" s="344"/>
      <c r="AME8" s="136"/>
      <c r="AMF8" s="137"/>
      <c r="AMG8" s="137"/>
      <c r="AMH8" s="136"/>
      <c r="AMI8" s="344"/>
      <c r="AMJ8" s="344"/>
      <c r="AMK8" s="344"/>
      <c r="AML8" s="344"/>
      <c r="AMM8" s="136"/>
      <c r="AMN8" s="137"/>
      <c r="AMO8" s="137"/>
      <c r="AMP8" s="136"/>
      <c r="AMQ8" s="344"/>
      <c r="AMR8" s="344"/>
      <c r="AMS8" s="344"/>
      <c r="AMT8" s="344"/>
      <c r="AMU8" s="136"/>
      <c r="AMV8" s="137"/>
      <c r="AMW8" s="137"/>
      <c r="AMX8" s="136"/>
      <c r="AMY8" s="344"/>
      <c r="AMZ8" s="344"/>
      <c r="ANA8" s="344"/>
      <c r="ANB8" s="344"/>
      <c r="ANC8" s="136"/>
      <c r="AND8" s="137"/>
      <c r="ANE8" s="137"/>
      <c r="ANF8" s="136"/>
      <c r="ANG8" s="344"/>
      <c r="ANH8" s="344"/>
      <c r="ANI8" s="344"/>
      <c r="ANJ8" s="344"/>
      <c r="ANK8" s="136"/>
      <c r="ANL8" s="137"/>
      <c r="ANM8" s="137"/>
      <c r="ANN8" s="136"/>
      <c r="ANO8" s="344"/>
      <c r="ANP8" s="344"/>
      <c r="ANQ8" s="344"/>
      <c r="ANR8" s="344"/>
      <c r="ANS8" s="136"/>
      <c r="ANT8" s="137"/>
      <c r="ANU8" s="137"/>
      <c r="ANV8" s="136"/>
      <c r="ANW8" s="344"/>
      <c r="ANX8" s="344"/>
      <c r="ANY8" s="344"/>
      <c r="ANZ8" s="344"/>
      <c r="AOA8" s="136"/>
      <c r="AOB8" s="137"/>
      <c r="AOC8" s="137"/>
      <c r="AOD8" s="136"/>
      <c r="AOE8" s="344"/>
      <c r="AOF8" s="344"/>
      <c r="AOG8" s="344"/>
      <c r="AOH8" s="344"/>
      <c r="AOI8" s="136"/>
      <c r="AOJ8" s="137"/>
      <c r="AOK8" s="137"/>
      <c r="AOL8" s="136"/>
      <c r="AOM8" s="344"/>
      <c r="AON8" s="344"/>
      <c r="AOO8" s="344"/>
      <c r="AOP8" s="344"/>
      <c r="AOQ8" s="136"/>
      <c r="AOR8" s="137"/>
      <c r="AOS8" s="137"/>
      <c r="AOT8" s="136"/>
      <c r="AOU8" s="344"/>
      <c r="AOV8" s="344"/>
      <c r="AOW8" s="344"/>
      <c r="AOX8" s="344"/>
      <c r="AOY8" s="136"/>
      <c r="AOZ8" s="137"/>
      <c r="APA8" s="137"/>
      <c r="APB8" s="136"/>
      <c r="APC8" s="344"/>
      <c r="APD8" s="344"/>
      <c r="APE8" s="344"/>
      <c r="APF8" s="344"/>
      <c r="APG8" s="136"/>
      <c r="APH8" s="137"/>
      <c r="API8" s="137"/>
      <c r="APJ8" s="136"/>
      <c r="APK8" s="344"/>
      <c r="APL8" s="344"/>
      <c r="APM8" s="344"/>
      <c r="APN8" s="344"/>
      <c r="APO8" s="136"/>
      <c r="APP8" s="137"/>
      <c r="APQ8" s="137"/>
      <c r="APR8" s="136"/>
      <c r="APS8" s="344"/>
      <c r="APT8" s="344"/>
      <c r="APU8" s="344"/>
      <c r="APV8" s="344"/>
      <c r="APW8" s="136"/>
      <c r="APX8" s="137"/>
      <c r="APY8" s="137"/>
      <c r="APZ8" s="136"/>
      <c r="AQA8" s="344"/>
      <c r="AQB8" s="344"/>
      <c r="AQC8" s="344"/>
      <c r="AQD8" s="344"/>
      <c r="AQE8" s="136"/>
      <c r="AQF8" s="137"/>
      <c r="AQG8" s="137"/>
      <c r="AQH8" s="136"/>
      <c r="AQI8" s="344"/>
      <c r="AQJ8" s="344"/>
      <c r="AQK8" s="344"/>
      <c r="AQL8" s="344"/>
      <c r="AQM8" s="136"/>
      <c r="AQN8" s="137"/>
      <c r="AQO8" s="137"/>
      <c r="AQP8" s="136"/>
      <c r="AQQ8" s="344"/>
      <c r="AQR8" s="344"/>
      <c r="AQS8" s="344"/>
      <c r="AQT8" s="344"/>
      <c r="AQU8" s="136"/>
      <c r="AQV8" s="137"/>
      <c r="AQW8" s="137"/>
      <c r="AQX8" s="136"/>
      <c r="AQY8" s="344"/>
      <c r="AQZ8" s="344"/>
      <c r="ARA8" s="344"/>
      <c r="ARB8" s="344"/>
      <c r="ARC8" s="136"/>
      <c r="ARD8" s="137"/>
      <c r="ARE8" s="137"/>
      <c r="ARF8" s="136"/>
      <c r="ARG8" s="344"/>
      <c r="ARH8" s="344"/>
      <c r="ARI8" s="344"/>
      <c r="ARJ8" s="344"/>
      <c r="ARK8" s="136"/>
      <c r="ARL8" s="137"/>
      <c r="ARM8" s="137"/>
      <c r="ARN8" s="136"/>
      <c r="ARO8" s="344"/>
      <c r="ARP8" s="344"/>
      <c r="ARQ8" s="344"/>
      <c r="ARR8" s="344"/>
      <c r="ARS8" s="136"/>
      <c r="ART8" s="137"/>
      <c r="ARU8" s="137"/>
      <c r="ARV8" s="136"/>
      <c r="ARW8" s="344"/>
      <c r="ARX8" s="344"/>
      <c r="ARY8" s="344"/>
      <c r="ARZ8" s="344"/>
      <c r="ASA8" s="136"/>
      <c r="ASB8" s="137"/>
      <c r="ASC8" s="137"/>
      <c r="ASD8" s="136"/>
      <c r="ASE8" s="344"/>
      <c r="ASF8" s="344"/>
      <c r="ASG8" s="344"/>
      <c r="ASH8" s="344"/>
      <c r="ASI8" s="136"/>
      <c r="ASJ8" s="137"/>
      <c r="ASK8" s="137"/>
      <c r="ASL8" s="136"/>
      <c r="ASM8" s="344"/>
      <c r="ASN8" s="344"/>
      <c r="ASO8" s="344"/>
      <c r="ASP8" s="344"/>
      <c r="ASQ8" s="136"/>
      <c r="ASR8" s="137"/>
      <c r="ASS8" s="137"/>
      <c r="AST8" s="136"/>
      <c r="ASU8" s="344"/>
      <c r="ASV8" s="344"/>
      <c r="ASW8" s="344"/>
      <c r="ASX8" s="344"/>
      <c r="ASY8" s="136"/>
      <c r="ASZ8" s="137"/>
      <c r="ATA8" s="137"/>
      <c r="ATB8" s="136"/>
      <c r="ATC8" s="344"/>
      <c r="ATD8" s="344"/>
      <c r="ATE8" s="344"/>
      <c r="ATF8" s="344"/>
      <c r="ATG8" s="136"/>
      <c r="ATH8" s="137"/>
      <c r="ATI8" s="137"/>
      <c r="ATJ8" s="136"/>
      <c r="ATK8" s="344"/>
      <c r="ATL8" s="344"/>
      <c r="ATM8" s="344"/>
      <c r="ATN8" s="344"/>
      <c r="ATO8" s="136"/>
      <c r="ATP8" s="137"/>
      <c r="ATQ8" s="137"/>
      <c r="ATR8" s="136"/>
      <c r="ATS8" s="344"/>
      <c r="ATT8" s="344"/>
      <c r="ATU8" s="344"/>
      <c r="ATV8" s="344"/>
      <c r="ATW8" s="136"/>
      <c r="ATX8" s="137"/>
      <c r="ATY8" s="137"/>
      <c r="ATZ8" s="136"/>
      <c r="AUA8" s="344"/>
      <c r="AUB8" s="344"/>
      <c r="AUC8" s="344"/>
      <c r="AUD8" s="344"/>
      <c r="AUE8" s="136"/>
      <c r="AUF8" s="137"/>
      <c r="AUG8" s="137"/>
      <c r="AUH8" s="136"/>
      <c r="AUI8" s="344"/>
      <c r="AUJ8" s="344"/>
      <c r="AUK8" s="344"/>
      <c r="AUL8" s="344"/>
      <c r="AUM8" s="136"/>
      <c r="AUN8" s="137"/>
      <c r="AUO8" s="137"/>
      <c r="AUP8" s="136"/>
      <c r="AUQ8" s="344"/>
      <c r="AUR8" s="344"/>
      <c r="AUS8" s="344"/>
      <c r="AUT8" s="344"/>
      <c r="AUU8" s="136"/>
      <c r="AUV8" s="137"/>
      <c r="AUW8" s="137"/>
      <c r="AUX8" s="136"/>
      <c r="AUY8" s="344"/>
      <c r="AUZ8" s="344"/>
      <c r="AVA8" s="344"/>
      <c r="AVB8" s="344"/>
      <c r="AVC8" s="136"/>
      <c r="AVD8" s="137"/>
      <c r="AVE8" s="137"/>
      <c r="AVF8" s="136"/>
      <c r="AVG8" s="344"/>
      <c r="AVH8" s="344"/>
      <c r="AVI8" s="344"/>
      <c r="AVJ8" s="344"/>
      <c r="AVK8" s="136"/>
      <c r="AVL8" s="137"/>
      <c r="AVM8" s="137"/>
      <c r="AVN8" s="136"/>
      <c r="AVO8" s="344"/>
      <c r="AVP8" s="344"/>
      <c r="AVQ8" s="344"/>
      <c r="AVR8" s="344"/>
      <c r="AVS8" s="136"/>
      <c r="AVT8" s="137"/>
      <c r="AVU8" s="137"/>
      <c r="AVV8" s="136"/>
      <c r="AVW8" s="344"/>
      <c r="AVX8" s="344"/>
      <c r="AVY8" s="344"/>
      <c r="AVZ8" s="344"/>
      <c r="AWA8" s="136"/>
      <c r="AWB8" s="137"/>
      <c r="AWC8" s="137"/>
      <c r="AWD8" s="136"/>
      <c r="AWE8" s="344"/>
      <c r="AWF8" s="344"/>
      <c r="AWG8" s="344"/>
      <c r="AWH8" s="344"/>
      <c r="AWI8" s="136"/>
      <c r="AWJ8" s="137"/>
      <c r="AWK8" s="137"/>
      <c r="AWL8" s="136"/>
      <c r="AWM8" s="344"/>
      <c r="AWN8" s="344"/>
      <c r="AWO8" s="344"/>
      <c r="AWP8" s="344"/>
      <c r="AWQ8" s="136"/>
      <c r="AWR8" s="137"/>
      <c r="AWS8" s="137"/>
      <c r="AWT8" s="136"/>
      <c r="AWU8" s="344"/>
      <c r="AWV8" s="344"/>
      <c r="AWW8" s="344"/>
      <c r="AWX8" s="344"/>
      <c r="AWY8" s="136"/>
      <c r="AWZ8" s="137"/>
      <c r="AXA8" s="137"/>
      <c r="AXB8" s="136"/>
      <c r="AXC8" s="344"/>
      <c r="AXD8" s="344"/>
      <c r="AXE8" s="344"/>
      <c r="AXF8" s="344"/>
      <c r="AXG8" s="136"/>
      <c r="AXH8" s="137"/>
      <c r="AXI8" s="137"/>
      <c r="AXJ8" s="136"/>
      <c r="AXK8" s="344"/>
      <c r="AXL8" s="344"/>
      <c r="AXM8" s="344"/>
      <c r="AXN8" s="344"/>
      <c r="AXO8" s="136"/>
      <c r="AXP8" s="137"/>
      <c r="AXQ8" s="137"/>
      <c r="AXR8" s="136"/>
      <c r="AXS8" s="344"/>
      <c r="AXT8" s="344"/>
      <c r="AXU8" s="344"/>
      <c r="AXV8" s="344"/>
      <c r="AXW8" s="136"/>
      <c r="AXX8" s="137"/>
      <c r="AXY8" s="137"/>
      <c r="AXZ8" s="136"/>
      <c r="AYA8" s="344"/>
      <c r="AYB8" s="344"/>
      <c r="AYC8" s="344"/>
      <c r="AYD8" s="344"/>
      <c r="AYE8" s="136"/>
      <c r="AYF8" s="137"/>
      <c r="AYG8" s="137"/>
      <c r="AYH8" s="136"/>
      <c r="AYI8" s="344"/>
      <c r="AYJ8" s="344"/>
      <c r="AYK8" s="344"/>
      <c r="AYL8" s="344"/>
      <c r="AYM8" s="136"/>
      <c r="AYN8" s="137"/>
      <c r="AYO8" s="137"/>
      <c r="AYP8" s="136"/>
      <c r="AYQ8" s="344"/>
      <c r="AYR8" s="344"/>
      <c r="AYS8" s="344"/>
      <c r="AYT8" s="344"/>
      <c r="AYU8" s="136"/>
      <c r="AYV8" s="137"/>
      <c r="AYW8" s="137"/>
      <c r="AYX8" s="136"/>
      <c r="AYY8" s="344"/>
      <c r="AYZ8" s="344"/>
      <c r="AZA8" s="344"/>
      <c r="AZB8" s="344"/>
      <c r="AZC8" s="136"/>
      <c r="AZD8" s="137"/>
      <c r="AZE8" s="137"/>
      <c r="AZF8" s="136"/>
      <c r="AZG8" s="344"/>
      <c r="AZH8" s="344"/>
      <c r="AZI8" s="344"/>
      <c r="AZJ8" s="344"/>
      <c r="AZK8" s="136"/>
      <c r="AZL8" s="137"/>
      <c r="AZM8" s="137"/>
      <c r="AZN8" s="136"/>
      <c r="AZO8" s="344"/>
      <c r="AZP8" s="344"/>
      <c r="AZQ8" s="344"/>
      <c r="AZR8" s="344"/>
      <c r="AZS8" s="136"/>
      <c r="AZT8" s="137"/>
      <c r="AZU8" s="137"/>
      <c r="AZV8" s="136"/>
      <c r="AZW8" s="344"/>
      <c r="AZX8" s="344"/>
      <c r="AZY8" s="344"/>
      <c r="AZZ8" s="344"/>
      <c r="BAA8" s="136"/>
      <c r="BAB8" s="137"/>
      <c r="BAC8" s="137"/>
      <c r="BAD8" s="136"/>
      <c r="BAE8" s="344"/>
      <c r="BAF8" s="344"/>
      <c r="BAG8" s="344"/>
      <c r="BAH8" s="344"/>
      <c r="BAI8" s="136"/>
      <c r="BAJ8" s="137"/>
      <c r="BAK8" s="137"/>
      <c r="BAL8" s="136"/>
      <c r="BAM8" s="344"/>
      <c r="BAN8" s="344"/>
      <c r="BAO8" s="344"/>
      <c r="BAP8" s="344"/>
      <c r="BAQ8" s="136"/>
      <c r="BAR8" s="137"/>
      <c r="BAS8" s="137"/>
      <c r="BAT8" s="136"/>
      <c r="BAU8" s="344"/>
      <c r="BAV8" s="344"/>
      <c r="BAW8" s="344"/>
      <c r="BAX8" s="344"/>
      <c r="BAY8" s="136"/>
      <c r="BAZ8" s="137"/>
      <c r="BBA8" s="137"/>
      <c r="BBB8" s="136"/>
      <c r="BBC8" s="344"/>
      <c r="BBD8" s="344"/>
      <c r="BBE8" s="344"/>
      <c r="BBF8" s="344"/>
      <c r="BBG8" s="136"/>
      <c r="BBH8" s="137"/>
      <c r="BBI8" s="137"/>
      <c r="BBJ8" s="136"/>
      <c r="BBK8" s="344"/>
      <c r="BBL8" s="344"/>
      <c r="BBM8" s="344"/>
      <c r="BBN8" s="344"/>
      <c r="BBO8" s="136"/>
      <c r="BBP8" s="137"/>
      <c r="BBQ8" s="137"/>
      <c r="BBR8" s="136"/>
      <c r="BBS8" s="344"/>
      <c r="BBT8" s="344"/>
      <c r="BBU8" s="344"/>
      <c r="BBV8" s="344"/>
      <c r="BBW8" s="136"/>
      <c r="BBX8" s="137"/>
      <c r="BBY8" s="137"/>
      <c r="BBZ8" s="136"/>
      <c r="BCA8" s="344"/>
      <c r="BCB8" s="344"/>
      <c r="BCC8" s="344"/>
      <c r="BCD8" s="344"/>
      <c r="BCE8" s="136"/>
      <c r="BCF8" s="137"/>
      <c r="BCG8" s="137"/>
      <c r="BCH8" s="136"/>
      <c r="BCI8" s="344"/>
      <c r="BCJ8" s="344"/>
      <c r="BCK8" s="344"/>
      <c r="BCL8" s="344"/>
      <c r="BCM8" s="136"/>
      <c r="BCN8" s="137"/>
      <c r="BCO8" s="137"/>
      <c r="BCP8" s="136"/>
      <c r="BCQ8" s="344"/>
      <c r="BCR8" s="344"/>
      <c r="BCS8" s="344"/>
      <c r="BCT8" s="344"/>
      <c r="BCU8" s="136"/>
      <c r="BCV8" s="137"/>
      <c r="BCW8" s="137"/>
      <c r="BCX8" s="136"/>
      <c r="BCY8" s="344"/>
      <c r="BCZ8" s="344"/>
      <c r="BDA8" s="344"/>
      <c r="BDB8" s="344"/>
      <c r="BDC8" s="136"/>
      <c r="BDD8" s="137"/>
      <c r="BDE8" s="137"/>
      <c r="BDF8" s="136"/>
      <c r="BDG8" s="344"/>
      <c r="BDH8" s="344"/>
      <c r="BDI8" s="344"/>
      <c r="BDJ8" s="344"/>
      <c r="BDK8" s="136"/>
      <c r="BDL8" s="137"/>
      <c r="BDM8" s="137"/>
      <c r="BDN8" s="136"/>
      <c r="BDO8" s="344"/>
      <c r="BDP8" s="344"/>
      <c r="BDQ8" s="344"/>
      <c r="BDR8" s="344"/>
      <c r="BDS8" s="136"/>
      <c r="BDT8" s="137"/>
      <c r="BDU8" s="137"/>
      <c r="BDV8" s="136"/>
      <c r="BDW8" s="344"/>
      <c r="BDX8" s="344"/>
      <c r="BDY8" s="344"/>
      <c r="BDZ8" s="344"/>
      <c r="BEA8" s="136"/>
      <c r="BEB8" s="137"/>
      <c r="BEC8" s="137"/>
      <c r="BED8" s="136"/>
      <c r="BEE8" s="344"/>
      <c r="BEF8" s="344"/>
      <c r="BEG8" s="344"/>
      <c r="BEH8" s="344"/>
      <c r="BEI8" s="136"/>
      <c r="BEJ8" s="137"/>
      <c r="BEK8" s="137"/>
      <c r="BEL8" s="136"/>
      <c r="BEM8" s="344"/>
      <c r="BEN8" s="344"/>
      <c r="BEO8" s="344"/>
      <c r="BEP8" s="344"/>
      <c r="BEQ8" s="136"/>
      <c r="BER8" s="137"/>
      <c r="BES8" s="137"/>
      <c r="BET8" s="136"/>
      <c r="BEU8" s="344"/>
      <c r="BEV8" s="344"/>
      <c r="BEW8" s="344"/>
      <c r="BEX8" s="344"/>
      <c r="BEY8" s="136"/>
      <c r="BEZ8" s="137"/>
      <c r="BFA8" s="137"/>
      <c r="BFB8" s="136"/>
      <c r="BFC8" s="344"/>
      <c r="BFD8" s="344"/>
      <c r="BFE8" s="344"/>
      <c r="BFF8" s="344"/>
      <c r="BFG8" s="136"/>
      <c r="BFH8" s="137"/>
      <c r="BFI8" s="137"/>
      <c r="BFJ8" s="136"/>
      <c r="BFK8" s="344"/>
      <c r="BFL8" s="344"/>
      <c r="BFM8" s="344"/>
      <c r="BFN8" s="344"/>
      <c r="BFO8" s="136"/>
      <c r="BFP8" s="137"/>
      <c r="BFQ8" s="137"/>
      <c r="BFR8" s="136"/>
      <c r="BFS8" s="344"/>
      <c r="BFT8" s="344"/>
      <c r="BFU8" s="344"/>
      <c r="BFV8" s="344"/>
      <c r="BFW8" s="136"/>
      <c r="BFX8" s="137"/>
      <c r="BFY8" s="137"/>
      <c r="BFZ8" s="136"/>
      <c r="BGA8" s="344"/>
      <c r="BGB8" s="344"/>
      <c r="BGC8" s="344"/>
      <c r="BGD8" s="344"/>
      <c r="BGE8" s="136"/>
      <c r="BGF8" s="137"/>
      <c r="BGG8" s="137"/>
      <c r="BGH8" s="136"/>
      <c r="BGI8" s="344"/>
      <c r="BGJ8" s="344"/>
      <c r="BGK8" s="344"/>
      <c r="BGL8" s="344"/>
      <c r="BGM8" s="136"/>
      <c r="BGN8" s="137"/>
      <c r="BGO8" s="137"/>
      <c r="BGP8" s="136"/>
      <c r="BGQ8" s="344"/>
      <c r="BGR8" s="344"/>
      <c r="BGS8" s="344"/>
      <c r="BGT8" s="344"/>
      <c r="BGU8" s="136"/>
      <c r="BGV8" s="137"/>
      <c r="BGW8" s="137"/>
      <c r="BGX8" s="136"/>
      <c r="BGY8" s="344"/>
      <c r="BGZ8" s="344"/>
      <c r="BHA8" s="344"/>
      <c r="BHB8" s="344"/>
      <c r="BHC8" s="136"/>
      <c r="BHD8" s="137"/>
      <c r="BHE8" s="137"/>
      <c r="BHF8" s="136"/>
      <c r="BHG8" s="344"/>
      <c r="BHH8" s="344"/>
      <c r="BHI8" s="344"/>
      <c r="BHJ8" s="344"/>
      <c r="BHK8" s="136"/>
      <c r="BHL8" s="137"/>
      <c r="BHM8" s="137"/>
      <c r="BHN8" s="136"/>
      <c r="BHO8" s="344"/>
      <c r="BHP8" s="344"/>
      <c r="BHQ8" s="344"/>
      <c r="BHR8" s="344"/>
      <c r="BHS8" s="136"/>
      <c r="BHT8" s="137"/>
      <c r="BHU8" s="137"/>
      <c r="BHV8" s="136"/>
      <c r="BHW8" s="344"/>
      <c r="BHX8" s="344"/>
      <c r="BHY8" s="344"/>
      <c r="BHZ8" s="344"/>
      <c r="BIA8" s="136"/>
      <c r="BIB8" s="137"/>
      <c r="BIC8" s="137"/>
      <c r="BID8" s="136"/>
      <c r="BIE8" s="344"/>
      <c r="BIF8" s="344"/>
      <c r="BIG8" s="344"/>
      <c r="BIH8" s="344"/>
      <c r="BII8" s="136"/>
      <c r="BIJ8" s="137"/>
      <c r="BIK8" s="137"/>
      <c r="BIL8" s="136"/>
      <c r="BIM8" s="344"/>
      <c r="BIN8" s="344"/>
      <c r="BIO8" s="344"/>
      <c r="BIP8" s="344"/>
      <c r="BIQ8" s="136"/>
      <c r="BIR8" s="137"/>
      <c r="BIS8" s="137"/>
      <c r="BIT8" s="136"/>
      <c r="BIU8" s="344"/>
      <c r="BIV8" s="344"/>
      <c r="BIW8" s="344"/>
      <c r="BIX8" s="344"/>
      <c r="BIY8" s="136"/>
      <c r="BIZ8" s="137"/>
      <c r="BJA8" s="137"/>
      <c r="BJB8" s="136"/>
      <c r="BJC8" s="344"/>
      <c r="BJD8" s="344"/>
      <c r="BJE8" s="344"/>
      <c r="BJF8" s="344"/>
      <c r="BJG8" s="136"/>
      <c r="BJH8" s="137"/>
      <c r="BJI8" s="137"/>
      <c r="BJJ8" s="136"/>
      <c r="BJK8" s="344"/>
      <c r="BJL8" s="344"/>
      <c r="BJM8" s="344"/>
      <c r="BJN8" s="344"/>
      <c r="BJO8" s="136"/>
      <c r="BJP8" s="137"/>
      <c r="BJQ8" s="137"/>
      <c r="BJR8" s="136"/>
      <c r="BJS8" s="344"/>
      <c r="BJT8" s="344"/>
      <c r="BJU8" s="344"/>
      <c r="BJV8" s="344"/>
      <c r="BJW8" s="136"/>
      <c r="BJX8" s="137"/>
      <c r="BJY8" s="137"/>
      <c r="BJZ8" s="136"/>
      <c r="BKA8" s="344"/>
      <c r="BKB8" s="344"/>
      <c r="BKC8" s="344"/>
      <c r="BKD8" s="344"/>
      <c r="BKE8" s="136"/>
      <c r="BKF8" s="137"/>
      <c r="BKG8" s="137"/>
      <c r="BKH8" s="136"/>
      <c r="BKI8" s="344"/>
      <c r="BKJ8" s="344"/>
      <c r="BKK8" s="344"/>
      <c r="BKL8" s="344"/>
      <c r="BKM8" s="136"/>
      <c r="BKN8" s="137"/>
      <c r="BKO8" s="137"/>
      <c r="BKP8" s="136"/>
      <c r="BKQ8" s="344"/>
      <c r="BKR8" s="344"/>
      <c r="BKS8" s="344"/>
      <c r="BKT8" s="344"/>
      <c r="BKU8" s="136"/>
      <c r="BKV8" s="137"/>
      <c r="BKW8" s="137"/>
      <c r="BKX8" s="136"/>
      <c r="BKY8" s="344"/>
      <c r="BKZ8" s="344"/>
      <c r="BLA8" s="344"/>
      <c r="BLB8" s="344"/>
      <c r="BLC8" s="136"/>
      <c r="BLD8" s="137"/>
      <c r="BLE8" s="137"/>
      <c r="BLF8" s="136"/>
      <c r="BLG8" s="344"/>
      <c r="BLH8" s="344"/>
      <c r="BLI8" s="344"/>
      <c r="BLJ8" s="344"/>
      <c r="BLK8" s="136"/>
      <c r="BLL8" s="137"/>
      <c r="BLM8" s="137"/>
      <c r="BLN8" s="136"/>
      <c r="BLO8" s="344"/>
      <c r="BLP8" s="344"/>
      <c r="BLQ8" s="344"/>
      <c r="BLR8" s="344"/>
      <c r="BLS8" s="136"/>
      <c r="BLT8" s="137"/>
      <c r="BLU8" s="137"/>
      <c r="BLV8" s="136"/>
      <c r="BLW8" s="344"/>
      <c r="BLX8" s="344"/>
      <c r="BLY8" s="344"/>
      <c r="BLZ8" s="344"/>
      <c r="BMA8" s="136"/>
      <c r="BMB8" s="137"/>
      <c r="BMC8" s="137"/>
      <c r="BMD8" s="136"/>
      <c r="BME8" s="344"/>
      <c r="BMF8" s="344"/>
      <c r="BMG8" s="344"/>
      <c r="BMH8" s="344"/>
      <c r="BMI8" s="136"/>
      <c r="BMJ8" s="137"/>
      <c r="BMK8" s="137"/>
      <c r="BML8" s="136"/>
      <c r="BMM8" s="344"/>
      <c r="BMN8" s="344"/>
      <c r="BMO8" s="344"/>
      <c r="BMP8" s="344"/>
      <c r="BMQ8" s="136"/>
      <c r="BMR8" s="137"/>
      <c r="BMS8" s="137"/>
      <c r="BMT8" s="136"/>
      <c r="BMU8" s="344"/>
      <c r="BMV8" s="344"/>
      <c r="BMW8" s="344"/>
      <c r="BMX8" s="344"/>
      <c r="BMY8" s="136"/>
      <c r="BMZ8" s="137"/>
      <c r="BNA8" s="137"/>
      <c r="BNB8" s="136"/>
      <c r="BNC8" s="344"/>
      <c r="BND8" s="344"/>
      <c r="BNE8" s="344"/>
      <c r="BNF8" s="344"/>
      <c r="BNG8" s="136"/>
      <c r="BNH8" s="137"/>
      <c r="BNI8" s="137"/>
      <c r="BNJ8" s="136"/>
      <c r="BNK8" s="344"/>
      <c r="BNL8" s="344"/>
      <c r="BNM8" s="344"/>
      <c r="BNN8" s="344"/>
      <c r="BNO8" s="136"/>
      <c r="BNP8" s="137"/>
      <c r="BNQ8" s="137"/>
      <c r="BNR8" s="136"/>
      <c r="BNS8" s="344"/>
      <c r="BNT8" s="344"/>
      <c r="BNU8" s="344"/>
      <c r="BNV8" s="344"/>
      <c r="BNW8" s="136"/>
      <c r="BNX8" s="137"/>
      <c r="BNY8" s="137"/>
      <c r="BNZ8" s="136"/>
      <c r="BOA8" s="344"/>
      <c r="BOB8" s="344"/>
      <c r="BOC8" s="344"/>
      <c r="BOD8" s="344"/>
      <c r="BOE8" s="136"/>
      <c r="BOF8" s="137"/>
      <c r="BOG8" s="137"/>
      <c r="BOH8" s="136"/>
      <c r="BOI8" s="344"/>
      <c r="BOJ8" s="344"/>
      <c r="BOK8" s="344"/>
      <c r="BOL8" s="344"/>
      <c r="BOM8" s="136"/>
      <c r="BON8" s="137"/>
      <c r="BOO8" s="137"/>
      <c r="BOP8" s="136"/>
      <c r="BOQ8" s="344"/>
      <c r="BOR8" s="344"/>
      <c r="BOS8" s="344"/>
      <c r="BOT8" s="344"/>
      <c r="BOU8" s="136"/>
      <c r="BOV8" s="137"/>
      <c r="BOW8" s="137"/>
      <c r="BOX8" s="136"/>
      <c r="BOY8" s="344"/>
      <c r="BOZ8" s="344"/>
      <c r="BPA8" s="344"/>
      <c r="BPB8" s="344"/>
      <c r="BPC8" s="136"/>
      <c r="BPD8" s="137"/>
      <c r="BPE8" s="137"/>
      <c r="BPF8" s="136"/>
      <c r="BPG8" s="344"/>
      <c r="BPH8" s="344"/>
      <c r="BPI8" s="344"/>
      <c r="BPJ8" s="344"/>
      <c r="BPK8" s="136"/>
      <c r="BPL8" s="137"/>
      <c r="BPM8" s="137"/>
      <c r="BPN8" s="136"/>
      <c r="BPO8" s="344"/>
      <c r="BPP8" s="344"/>
      <c r="BPQ8" s="344"/>
      <c r="BPR8" s="344"/>
      <c r="BPS8" s="136"/>
      <c r="BPT8" s="137"/>
      <c r="BPU8" s="137"/>
      <c r="BPV8" s="136"/>
      <c r="BPW8" s="344"/>
      <c r="BPX8" s="344"/>
      <c r="BPY8" s="344"/>
      <c r="BPZ8" s="344"/>
      <c r="BQA8" s="136"/>
      <c r="BQB8" s="137"/>
      <c r="BQC8" s="137"/>
      <c r="BQD8" s="136"/>
      <c r="BQE8" s="344"/>
      <c r="BQF8" s="344"/>
      <c r="BQG8" s="344"/>
      <c r="BQH8" s="344"/>
      <c r="BQI8" s="136"/>
      <c r="BQJ8" s="137"/>
      <c r="BQK8" s="137"/>
      <c r="BQL8" s="136"/>
      <c r="BQM8" s="344"/>
      <c r="BQN8" s="344"/>
      <c r="BQO8" s="344"/>
      <c r="BQP8" s="344"/>
      <c r="BQQ8" s="136"/>
      <c r="BQR8" s="137"/>
      <c r="BQS8" s="137"/>
      <c r="BQT8" s="136"/>
      <c r="BQU8" s="344"/>
      <c r="BQV8" s="344"/>
      <c r="BQW8" s="344"/>
      <c r="BQX8" s="344"/>
      <c r="BQY8" s="136"/>
      <c r="BQZ8" s="137"/>
      <c r="BRA8" s="137"/>
      <c r="BRB8" s="136"/>
      <c r="BRC8" s="344"/>
      <c r="BRD8" s="344"/>
      <c r="BRE8" s="344"/>
      <c r="BRF8" s="344"/>
      <c r="BRG8" s="136"/>
      <c r="BRH8" s="137"/>
      <c r="BRI8" s="137"/>
      <c r="BRJ8" s="136"/>
      <c r="BRK8" s="344"/>
      <c r="BRL8" s="344"/>
      <c r="BRM8" s="344"/>
      <c r="BRN8" s="344"/>
      <c r="BRO8" s="136"/>
      <c r="BRP8" s="137"/>
      <c r="BRQ8" s="137"/>
      <c r="BRR8" s="136"/>
      <c r="BRS8" s="344"/>
      <c r="BRT8" s="344"/>
      <c r="BRU8" s="344"/>
      <c r="BRV8" s="344"/>
      <c r="BRW8" s="136"/>
      <c r="BRX8" s="137"/>
      <c r="BRY8" s="137"/>
      <c r="BRZ8" s="136"/>
      <c r="BSA8" s="344"/>
      <c r="BSB8" s="344"/>
      <c r="BSC8" s="344"/>
      <c r="BSD8" s="344"/>
      <c r="BSE8" s="136"/>
      <c r="BSF8" s="137"/>
      <c r="BSG8" s="137"/>
      <c r="BSH8" s="136"/>
      <c r="BSI8" s="344"/>
      <c r="BSJ8" s="344"/>
      <c r="BSK8" s="344"/>
      <c r="BSL8" s="344"/>
      <c r="BSM8" s="136"/>
      <c r="BSN8" s="137"/>
      <c r="BSO8" s="137"/>
      <c r="BSP8" s="136"/>
      <c r="BSQ8" s="344"/>
      <c r="BSR8" s="344"/>
      <c r="BSS8" s="344"/>
      <c r="BST8" s="344"/>
      <c r="BSU8" s="136"/>
      <c r="BSV8" s="137"/>
      <c r="BSW8" s="137"/>
      <c r="BSX8" s="136"/>
      <c r="BSY8" s="344"/>
      <c r="BSZ8" s="344"/>
      <c r="BTA8" s="344"/>
      <c r="BTB8" s="344"/>
      <c r="BTC8" s="136"/>
      <c r="BTD8" s="137"/>
      <c r="BTE8" s="137"/>
      <c r="BTF8" s="136"/>
      <c r="BTG8" s="344"/>
      <c r="BTH8" s="344"/>
      <c r="BTI8" s="344"/>
      <c r="BTJ8" s="344"/>
      <c r="BTK8" s="136"/>
      <c r="BTL8" s="137"/>
      <c r="BTM8" s="137"/>
      <c r="BTN8" s="136"/>
      <c r="BTO8" s="344"/>
      <c r="BTP8" s="344"/>
      <c r="BTQ8" s="344"/>
      <c r="BTR8" s="344"/>
      <c r="BTS8" s="136"/>
      <c r="BTT8" s="137"/>
      <c r="BTU8" s="137"/>
      <c r="BTV8" s="136"/>
      <c r="BTW8" s="344"/>
      <c r="BTX8" s="344"/>
      <c r="BTY8" s="344"/>
      <c r="BTZ8" s="344"/>
      <c r="BUA8" s="136"/>
      <c r="BUB8" s="137"/>
      <c r="BUC8" s="137"/>
      <c r="BUD8" s="136"/>
      <c r="BUE8" s="344"/>
      <c r="BUF8" s="344"/>
      <c r="BUG8" s="344"/>
      <c r="BUH8" s="344"/>
      <c r="BUI8" s="136"/>
      <c r="BUJ8" s="137"/>
      <c r="BUK8" s="137"/>
      <c r="BUL8" s="136"/>
      <c r="BUM8" s="344"/>
      <c r="BUN8" s="344"/>
      <c r="BUO8" s="344"/>
      <c r="BUP8" s="344"/>
      <c r="BUQ8" s="136"/>
      <c r="BUR8" s="137"/>
      <c r="BUS8" s="137"/>
      <c r="BUT8" s="136"/>
      <c r="BUU8" s="344"/>
      <c r="BUV8" s="344"/>
      <c r="BUW8" s="344"/>
      <c r="BUX8" s="344"/>
      <c r="BUY8" s="136"/>
      <c r="BUZ8" s="137"/>
      <c r="BVA8" s="137"/>
      <c r="BVB8" s="136"/>
      <c r="BVC8" s="344"/>
      <c r="BVD8" s="344"/>
      <c r="BVE8" s="344"/>
      <c r="BVF8" s="344"/>
      <c r="BVG8" s="136"/>
      <c r="BVH8" s="137"/>
      <c r="BVI8" s="137"/>
      <c r="BVJ8" s="136"/>
      <c r="BVK8" s="344"/>
      <c r="BVL8" s="344"/>
      <c r="BVM8" s="344"/>
      <c r="BVN8" s="344"/>
      <c r="BVO8" s="136"/>
      <c r="BVP8" s="137"/>
      <c r="BVQ8" s="137"/>
      <c r="BVR8" s="136"/>
      <c r="BVS8" s="344"/>
      <c r="BVT8" s="344"/>
      <c r="BVU8" s="344"/>
      <c r="BVV8" s="344"/>
      <c r="BVW8" s="136"/>
      <c r="BVX8" s="137"/>
      <c r="BVY8" s="137"/>
      <c r="BVZ8" s="136"/>
      <c r="BWA8" s="344"/>
      <c r="BWB8" s="344"/>
      <c r="BWC8" s="344"/>
      <c r="BWD8" s="344"/>
      <c r="BWE8" s="136"/>
      <c r="BWF8" s="137"/>
      <c r="BWG8" s="137"/>
      <c r="BWH8" s="136"/>
      <c r="BWI8" s="344"/>
      <c r="BWJ8" s="344"/>
      <c r="BWK8" s="344"/>
      <c r="BWL8" s="344"/>
      <c r="BWM8" s="136"/>
      <c r="BWN8" s="137"/>
      <c r="BWO8" s="137"/>
      <c r="BWP8" s="136"/>
      <c r="BWQ8" s="344"/>
      <c r="BWR8" s="344"/>
      <c r="BWS8" s="344"/>
      <c r="BWT8" s="344"/>
      <c r="BWU8" s="136"/>
      <c r="BWV8" s="137"/>
      <c r="BWW8" s="137"/>
      <c r="BWX8" s="136"/>
      <c r="BWY8" s="344"/>
      <c r="BWZ8" s="344"/>
      <c r="BXA8" s="344"/>
      <c r="BXB8" s="344"/>
      <c r="BXC8" s="136"/>
      <c r="BXD8" s="137"/>
      <c r="BXE8" s="137"/>
      <c r="BXF8" s="136"/>
      <c r="BXG8" s="344"/>
      <c r="BXH8" s="344"/>
      <c r="BXI8" s="344"/>
      <c r="BXJ8" s="344"/>
      <c r="BXK8" s="136"/>
      <c r="BXL8" s="137"/>
      <c r="BXM8" s="137"/>
      <c r="BXN8" s="136"/>
      <c r="BXO8" s="344"/>
      <c r="BXP8" s="344"/>
      <c r="BXQ8" s="344"/>
      <c r="BXR8" s="344"/>
      <c r="BXS8" s="136"/>
      <c r="BXT8" s="137"/>
      <c r="BXU8" s="137"/>
      <c r="BXV8" s="136"/>
      <c r="BXW8" s="344"/>
      <c r="BXX8" s="344"/>
      <c r="BXY8" s="344"/>
      <c r="BXZ8" s="344"/>
      <c r="BYA8" s="136"/>
      <c r="BYB8" s="137"/>
      <c r="BYC8" s="137"/>
      <c r="BYD8" s="136"/>
      <c r="BYE8" s="344"/>
      <c r="BYF8" s="344"/>
      <c r="BYG8" s="344"/>
      <c r="BYH8" s="344"/>
      <c r="BYI8" s="136"/>
      <c r="BYJ8" s="137"/>
      <c r="BYK8" s="137"/>
      <c r="BYL8" s="136"/>
      <c r="BYM8" s="344"/>
      <c r="BYN8" s="344"/>
      <c r="BYO8" s="344"/>
      <c r="BYP8" s="344"/>
      <c r="BYQ8" s="136"/>
      <c r="BYR8" s="137"/>
      <c r="BYS8" s="137"/>
      <c r="BYT8" s="136"/>
      <c r="BYU8" s="344"/>
      <c r="BYV8" s="344"/>
      <c r="BYW8" s="344"/>
      <c r="BYX8" s="344"/>
      <c r="BYY8" s="136"/>
      <c r="BYZ8" s="137"/>
      <c r="BZA8" s="137"/>
      <c r="BZB8" s="136"/>
      <c r="BZC8" s="344"/>
      <c r="BZD8" s="344"/>
      <c r="BZE8" s="344"/>
      <c r="BZF8" s="344"/>
      <c r="BZG8" s="136"/>
      <c r="BZH8" s="137"/>
      <c r="BZI8" s="137"/>
      <c r="BZJ8" s="136"/>
      <c r="BZK8" s="344"/>
      <c r="BZL8" s="344"/>
      <c r="BZM8" s="344"/>
      <c r="BZN8" s="344"/>
      <c r="BZO8" s="136"/>
      <c r="BZP8" s="137"/>
      <c r="BZQ8" s="137"/>
      <c r="BZR8" s="136"/>
      <c r="BZS8" s="344"/>
      <c r="BZT8" s="344"/>
      <c r="BZU8" s="344"/>
      <c r="BZV8" s="344"/>
      <c r="BZW8" s="136"/>
      <c r="BZX8" s="137"/>
      <c r="BZY8" s="137"/>
      <c r="BZZ8" s="136"/>
      <c r="CAA8" s="344"/>
      <c r="CAB8" s="344"/>
      <c r="CAC8" s="344"/>
      <c r="CAD8" s="344"/>
      <c r="CAE8" s="136"/>
      <c r="CAF8" s="137"/>
      <c r="CAG8" s="137"/>
      <c r="CAH8" s="136"/>
      <c r="CAI8" s="344"/>
      <c r="CAJ8" s="344"/>
      <c r="CAK8" s="344"/>
      <c r="CAL8" s="344"/>
      <c r="CAM8" s="136"/>
      <c r="CAN8" s="137"/>
      <c r="CAO8" s="137"/>
      <c r="CAP8" s="136"/>
      <c r="CAQ8" s="344"/>
      <c r="CAR8" s="344"/>
      <c r="CAS8" s="344"/>
      <c r="CAT8" s="344"/>
      <c r="CAU8" s="136"/>
      <c r="CAV8" s="137"/>
      <c r="CAW8" s="137"/>
      <c r="CAX8" s="136"/>
      <c r="CAY8" s="344"/>
      <c r="CAZ8" s="344"/>
      <c r="CBA8" s="344"/>
      <c r="CBB8" s="344"/>
      <c r="CBC8" s="136"/>
      <c r="CBD8" s="137"/>
      <c r="CBE8" s="137"/>
      <c r="CBF8" s="136"/>
      <c r="CBG8" s="344"/>
      <c r="CBH8" s="344"/>
      <c r="CBI8" s="344"/>
      <c r="CBJ8" s="344"/>
      <c r="CBK8" s="136"/>
      <c r="CBL8" s="137"/>
      <c r="CBM8" s="137"/>
      <c r="CBN8" s="136"/>
      <c r="CBO8" s="344"/>
      <c r="CBP8" s="344"/>
      <c r="CBQ8" s="344"/>
      <c r="CBR8" s="344"/>
      <c r="CBS8" s="136"/>
      <c r="CBT8" s="137"/>
      <c r="CBU8" s="137"/>
      <c r="CBV8" s="136"/>
      <c r="CBW8" s="344"/>
      <c r="CBX8" s="344"/>
      <c r="CBY8" s="344"/>
      <c r="CBZ8" s="344"/>
      <c r="CCA8" s="136"/>
      <c r="CCB8" s="137"/>
      <c r="CCC8" s="137"/>
      <c r="CCD8" s="136"/>
      <c r="CCE8" s="344"/>
      <c r="CCF8" s="344"/>
      <c r="CCG8" s="344"/>
      <c r="CCH8" s="344"/>
      <c r="CCI8" s="136"/>
      <c r="CCJ8" s="137"/>
      <c r="CCK8" s="137"/>
      <c r="CCL8" s="136"/>
      <c r="CCM8" s="344"/>
      <c r="CCN8" s="344"/>
      <c r="CCO8" s="344"/>
      <c r="CCP8" s="344"/>
      <c r="CCQ8" s="136"/>
      <c r="CCR8" s="137"/>
      <c r="CCS8" s="137"/>
      <c r="CCT8" s="136"/>
      <c r="CCU8" s="344"/>
      <c r="CCV8" s="344"/>
      <c r="CCW8" s="344"/>
      <c r="CCX8" s="344"/>
      <c r="CCY8" s="136"/>
      <c r="CCZ8" s="137"/>
      <c r="CDA8" s="137"/>
      <c r="CDB8" s="136"/>
      <c r="CDC8" s="344"/>
      <c r="CDD8" s="344"/>
      <c r="CDE8" s="344"/>
      <c r="CDF8" s="344"/>
      <c r="CDG8" s="136"/>
      <c r="CDH8" s="137"/>
      <c r="CDI8" s="137"/>
      <c r="CDJ8" s="136"/>
      <c r="CDK8" s="344"/>
      <c r="CDL8" s="344"/>
      <c r="CDM8" s="344"/>
      <c r="CDN8" s="344"/>
      <c r="CDO8" s="136"/>
      <c r="CDP8" s="137"/>
      <c r="CDQ8" s="137"/>
      <c r="CDR8" s="136"/>
      <c r="CDS8" s="344"/>
      <c r="CDT8" s="344"/>
      <c r="CDU8" s="344"/>
      <c r="CDV8" s="344"/>
      <c r="CDW8" s="136"/>
      <c r="CDX8" s="137"/>
      <c r="CDY8" s="137"/>
      <c r="CDZ8" s="136"/>
      <c r="CEA8" s="344"/>
      <c r="CEB8" s="344"/>
      <c r="CEC8" s="344"/>
      <c r="CED8" s="344"/>
      <c r="CEE8" s="136"/>
      <c r="CEF8" s="137"/>
      <c r="CEG8" s="137"/>
      <c r="CEH8" s="136"/>
      <c r="CEI8" s="344"/>
      <c r="CEJ8" s="344"/>
      <c r="CEK8" s="344"/>
      <c r="CEL8" s="344"/>
      <c r="CEM8" s="136"/>
      <c r="CEN8" s="137"/>
      <c r="CEO8" s="137"/>
      <c r="CEP8" s="136"/>
      <c r="CEQ8" s="344"/>
      <c r="CER8" s="344"/>
      <c r="CES8" s="344"/>
      <c r="CET8" s="344"/>
      <c r="CEU8" s="136"/>
      <c r="CEV8" s="137"/>
      <c r="CEW8" s="137"/>
      <c r="CEX8" s="136"/>
      <c r="CEY8" s="344"/>
      <c r="CEZ8" s="344"/>
      <c r="CFA8" s="344"/>
      <c r="CFB8" s="344"/>
      <c r="CFC8" s="136"/>
      <c r="CFD8" s="137"/>
      <c r="CFE8" s="137"/>
      <c r="CFF8" s="136"/>
      <c r="CFG8" s="344"/>
      <c r="CFH8" s="344"/>
      <c r="CFI8" s="344"/>
      <c r="CFJ8" s="344"/>
      <c r="CFK8" s="136"/>
      <c r="CFL8" s="137"/>
      <c r="CFM8" s="137"/>
      <c r="CFN8" s="136"/>
      <c r="CFO8" s="344"/>
      <c r="CFP8" s="344"/>
      <c r="CFQ8" s="344"/>
      <c r="CFR8" s="344"/>
      <c r="CFS8" s="136"/>
      <c r="CFT8" s="137"/>
      <c r="CFU8" s="137"/>
      <c r="CFV8" s="136"/>
      <c r="CFW8" s="344"/>
      <c r="CFX8" s="344"/>
      <c r="CFY8" s="344"/>
      <c r="CFZ8" s="344"/>
      <c r="CGA8" s="136"/>
      <c r="CGB8" s="137"/>
      <c r="CGC8" s="137"/>
      <c r="CGD8" s="136"/>
      <c r="CGE8" s="344"/>
      <c r="CGF8" s="344"/>
      <c r="CGG8" s="344"/>
      <c r="CGH8" s="344"/>
      <c r="CGI8" s="136"/>
      <c r="CGJ8" s="137"/>
      <c r="CGK8" s="137"/>
      <c r="CGL8" s="136"/>
      <c r="CGM8" s="344"/>
      <c r="CGN8" s="344"/>
      <c r="CGO8" s="344"/>
      <c r="CGP8" s="344"/>
      <c r="CGQ8" s="136"/>
      <c r="CGR8" s="137"/>
      <c r="CGS8" s="137"/>
      <c r="CGT8" s="136"/>
      <c r="CGU8" s="344"/>
      <c r="CGV8" s="344"/>
      <c r="CGW8" s="344"/>
      <c r="CGX8" s="344"/>
      <c r="CGY8" s="136"/>
      <c r="CGZ8" s="137"/>
      <c r="CHA8" s="137"/>
      <c r="CHB8" s="136"/>
      <c r="CHC8" s="344"/>
      <c r="CHD8" s="344"/>
      <c r="CHE8" s="344"/>
      <c r="CHF8" s="344"/>
      <c r="CHG8" s="136"/>
      <c r="CHH8" s="137"/>
      <c r="CHI8" s="137"/>
      <c r="CHJ8" s="136"/>
      <c r="CHK8" s="344"/>
      <c r="CHL8" s="344"/>
      <c r="CHM8" s="344"/>
      <c r="CHN8" s="344"/>
      <c r="CHO8" s="136"/>
      <c r="CHP8" s="137"/>
      <c r="CHQ8" s="137"/>
      <c r="CHR8" s="136"/>
      <c r="CHS8" s="344"/>
      <c r="CHT8" s="344"/>
      <c r="CHU8" s="344"/>
      <c r="CHV8" s="344"/>
      <c r="CHW8" s="136"/>
      <c r="CHX8" s="137"/>
      <c r="CHY8" s="137"/>
      <c r="CHZ8" s="136"/>
      <c r="CIA8" s="344"/>
      <c r="CIB8" s="344"/>
      <c r="CIC8" s="344"/>
      <c r="CID8" s="344"/>
      <c r="CIE8" s="136"/>
      <c r="CIF8" s="137"/>
      <c r="CIG8" s="137"/>
      <c r="CIH8" s="136"/>
      <c r="CII8" s="344"/>
      <c r="CIJ8" s="344"/>
      <c r="CIK8" s="344"/>
      <c r="CIL8" s="344"/>
      <c r="CIM8" s="136"/>
      <c r="CIN8" s="137"/>
      <c r="CIO8" s="137"/>
      <c r="CIP8" s="136"/>
      <c r="CIQ8" s="344"/>
      <c r="CIR8" s="344"/>
      <c r="CIS8" s="344"/>
      <c r="CIT8" s="344"/>
      <c r="CIU8" s="136"/>
      <c r="CIV8" s="137"/>
      <c r="CIW8" s="137"/>
      <c r="CIX8" s="136"/>
      <c r="CIY8" s="344"/>
      <c r="CIZ8" s="344"/>
      <c r="CJA8" s="344"/>
      <c r="CJB8" s="344"/>
      <c r="CJC8" s="136"/>
      <c r="CJD8" s="137"/>
      <c r="CJE8" s="137"/>
      <c r="CJF8" s="136"/>
      <c r="CJG8" s="344"/>
      <c r="CJH8" s="344"/>
      <c r="CJI8" s="344"/>
      <c r="CJJ8" s="344"/>
      <c r="CJK8" s="136"/>
      <c r="CJL8" s="137"/>
      <c r="CJM8" s="137"/>
      <c r="CJN8" s="136"/>
      <c r="CJO8" s="344"/>
      <c r="CJP8" s="344"/>
      <c r="CJQ8" s="344"/>
      <c r="CJR8" s="344"/>
      <c r="CJS8" s="136"/>
      <c r="CJT8" s="137"/>
      <c r="CJU8" s="137"/>
      <c r="CJV8" s="136"/>
      <c r="CJW8" s="344"/>
      <c r="CJX8" s="344"/>
      <c r="CJY8" s="344"/>
      <c r="CJZ8" s="344"/>
      <c r="CKA8" s="136"/>
      <c r="CKB8" s="137"/>
      <c r="CKC8" s="137"/>
      <c r="CKD8" s="136"/>
      <c r="CKE8" s="344"/>
      <c r="CKF8" s="344"/>
      <c r="CKG8" s="344"/>
      <c r="CKH8" s="344"/>
      <c r="CKI8" s="136"/>
      <c r="CKJ8" s="137"/>
      <c r="CKK8" s="137"/>
      <c r="CKL8" s="136"/>
      <c r="CKM8" s="344"/>
      <c r="CKN8" s="344"/>
      <c r="CKO8" s="344"/>
      <c r="CKP8" s="344"/>
      <c r="CKQ8" s="136"/>
      <c r="CKR8" s="137"/>
      <c r="CKS8" s="137"/>
      <c r="CKT8" s="136"/>
      <c r="CKU8" s="344"/>
      <c r="CKV8" s="344"/>
      <c r="CKW8" s="344"/>
      <c r="CKX8" s="344"/>
      <c r="CKY8" s="136"/>
      <c r="CKZ8" s="137"/>
      <c r="CLA8" s="137"/>
      <c r="CLB8" s="136"/>
      <c r="CLC8" s="344"/>
      <c r="CLD8" s="344"/>
      <c r="CLE8" s="344"/>
      <c r="CLF8" s="344"/>
      <c r="CLG8" s="136"/>
      <c r="CLH8" s="137"/>
      <c r="CLI8" s="137"/>
      <c r="CLJ8" s="136"/>
      <c r="CLK8" s="344"/>
      <c r="CLL8" s="344"/>
      <c r="CLM8" s="344"/>
      <c r="CLN8" s="344"/>
      <c r="CLO8" s="136"/>
      <c r="CLP8" s="137"/>
      <c r="CLQ8" s="137"/>
      <c r="CLR8" s="136"/>
      <c r="CLS8" s="344"/>
      <c r="CLT8" s="344"/>
      <c r="CLU8" s="344"/>
      <c r="CLV8" s="344"/>
      <c r="CLW8" s="136"/>
      <c r="CLX8" s="137"/>
      <c r="CLY8" s="137"/>
      <c r="CLZ8" s="136"/>
      <c r="CMA8" s="344"/>
      <c r="CMB8" s="344"/>
      <c r="CMC8" s="344"/>
      <c r="CMD8" s="344"/>
      <c r="CME8" s="136"/>
      <c r="CMF8" s="137"/>
      <c r="CMG8" s="137"/>
      <c r="CMH8" s="136"/>
      <c r="CMI8" s="344"/>
      <c r="CMJ8" s="344"/>
      <c r="CMK8" s="344"/>
      <c r="CML8" s="344"/>
      <c r="CMM8" s="136"/>
      <c r="CMN8" s="137"/>
      <c r="CMO8" s="137"/>
      <c r="CMP8" s="136"/>
      <c r="CMQ8" s="344"/>
      <c r="CMR8" s="344"/>
      <c r="CMS8" s="344"/>
      <c r="CMT8" s="344"/>
      <c r="CMU8" s="136"/>
      <c r="CMV8" s="137"/>
      <c r="CMW8" s="137"/>
      <c r="CMX8" s="136"/>
      <c r="CMY8" s="344"/>
      <c r="CMZ8" s="344"/>
      <c r="CNA8" s="344"/>
      <c r="CNB8" s="344"/>
      <c r="CNC8" s="136"/>
      <c r="CND8" s="137"/>
      <c r="CNE8" s="137"/>
      <c r="CNF8" s="136"/>
      <c r="CNG8" s="344"/>
      <c r="CNH8" s="344"/>
      <c r="CNI8" s="344"/>
      <c r="CNJ8" s="344"/>
      <c r="CNK8" s="136"/>
      <c r="CNL8" s="137"/>
      <c r="CNM8" s="137"/>
      <c r="CNN8" s="136"/>
      <c r="CNO8" s="344"/>
      <c r="CNP8" s="344"/>
      <c r="CNQ8" s="344"/>
      <c r="CNR8" s="344"/>
      <c r="CNS8" s="136"/>
      <c r="CNT8" s="137"/>
      <c r="CNU8" s="137"/>
      <c r="CNV8" s="136"/>
      <c r="CNW8" s="344"/>
      <c r="CNX8" s="344"/>
      <c r="CNY8" s="344"/>
      <c r="CNZ8" s="344"/>
      <c r="COA8" s="136"/>
      <c r="COB8" s="137"/>
      <c r="COC8" s="137"/>
      <c r="COD8" s="136"/>
      <c r="COE8" s="344"/>
      <c r="COF8" s="344"/>
      <c r="COG8" s="344"/>
      <c r="COH8" s="344"/>
      <c r="COI8" s="136"/>
      <c r="COJ8" s="137"/>
      <c r="COK8" s="137"/>
      <c r="COL8" s="136"/>
      <c r="COM8" s="344"/>
      <c r="CON8" s="344"/>
      <c r="COO8" s="344"/>
      <c r="COP8" s="344"/>
      <c r="COQ8" s="136"/>
      <c r="COR8" s="137"/>
      <c r="COS8" s="137"/>
      <c r="COT8" s="136"/>
      <c r="COU8" s="344"/>
      <c r="COV8" s="344"/>
      <c r="COW8" s="344"/>
      <c r="COX8" s="344"/>
      <c r="COY8" s="136"/>
      <c r="COZ8" s="137"/>
      <c r="CPA8" s="137"/>
      <c r="CPB8" s="136"/>
      <c r="CPC8" s="344"/>
      <c r="CPD8" s="344"/>
      <c r="CPE8" s="344"/>
      <c r="CPF8" s="344"/>
      <c r="CPG8" s="136"/>
      <c r="CPH8" s="137"/>
      <c r="CPI8" s="137"/>
      <c r="CPJ8" s="136"/>
      <c r="CPK8" s="344"/>
      <c r="CPL8" s="344"/>
      <c r="CPM8" s="344"/>
      <c r="CPN8" s="344"/>
      <c r="CPO8" s="136"/>
      <c r="CPP8" s="137"/>
      <c r="CPQ8" s="137"/>
      <c r="CPR8" s="136"/>
      <c r="CPS8" s="344"/>
      <c r="CPT8" s="344"/>
      <c r="CPU8" s="344"/>
      <c r="CPV8" s="344"/>
      <c r="CPW8" s="136"/>
      <c r="CPX8" s="137"/>
      <c r="CPY8" s="137"/>
      <c r="CPZ8" s="136"/>
      <c r="CQA8" s="344"/>
      <c r="CQB8" s="344"/>
      <c r="CQC8" s="344"/>
      <c r="CQD8" s="344"/>
      <c r="CQE8" s="136"/>
      <c r="CQF8" s="137"/>
      <c r="CQG8" s="137"/>
      <c r="CQH8" s="136"/>
      <c r="CQI8" s="344"/>
      <c r="CQJ8" s="344"/>
      <c r="CQK8" s="344"/>
      <c r="CQL8" s="344"/>
      <c r="CQM8" s="136"/>
      <c r="CQN8" s="137"/>
      <c r="CQO8" s="137"/>
      <c r="CQP8" s="136"/>
      <c r="CQQ8" s="344"/>
      <c r="CQR8" s="344"/>
      <c r="CQS8" s="344"/>
      <c r="CQT8" s="344"/>
      <c r="CQU8" s="136"/>
      <c r="CQV8" s="137"/>
      <c r="CQW8" s="137"/>
      <c r="CQX8" s="136"/>
      <c r="CQY8" s="344"/>
      <c r="CQZ8" s="344"/>
      <c r="CRA8" s="344"/>
      <c r="CRB8" s="344"/>
      <c r="CRC8" s="136"/>
      <c r="CRD8" s="137"/>
      <c r="CRE8" s="137"/>
      <c r="CRF8" s="136"/>
      <c r="CRG8" s="344"/>
      <c r="CRH8" s="344"/>
      <c r="CRI8" s="344"/>
      <c r="CRJ8" s="344"/>
      <c r="CRK8" s="136"/>
      <c r="CRL8" s="137"/>
      <c r="CRM8" s="137"/>
      <c r="CRN8" s="136"/>
      <c r="CRO8" s="344"/>
      <c r="CRP8" s="344"/>
      <c r="CRQ8" s="344"/>
      <c r="CRR8" s="344"/>
      <c r="CRS8" s="136"/>
      <c r="CRT8" s="137"/>
      <c r="CRU8" s="137"/>
      <c r="CRV8" s="136"/>
      <c r="CRW8" s="344"/>
      <c r="CRX8" s="344"/>
      <c r="CRY8" s="344"/>
      <c r="CRZ8" s="344"/>
      <c r="CSA8" s="136"/>
      <c r="CSB8" s="137"/>
      <c r="CSC8" s="137"/>
      <c r="CSD8" s="136"/>
      <c r="CSE8" s="344"/>
      <c r="CSF8" s="344"/>
      <c r="CSG8" s="344"/>
      <c r="CSH8" s="344"/>
      <c r="CSI8" s="136"/>
      <c r="CSJ8" s="137"/>
      <c r="CSK8" s="137"/>
      <c r="CSL8" s="136"/>
      <c r="CSM8" s="344"/>
      <c r="CSN8" s="344"/>
      <c r="CSO8" s="344"/>
      <c r="CSP8" s="344"/>
      <c r="CSQ8" s="136"/>
      <c r="CSR8" s="137"/>
      <c r="CSS8" s="137"/>
      <c r="CST8" s="136"/>
      <c r="CSU8" s="344"/>
      <c r="CSV8" s="344"/>
      <c r="CSW8" s="344"/>
      <c r="CSX8" s="344"/>
      <c r="CSY8" s="136"/>
      <c r="CSZ8" s="137"/>
      <c r="CTA8" s="137"/>
      <c r="CTB8" s="136"/>
      <c r="CTC8" s="344"/>
      <c r="CTD8" s="344"/>
      <c r="CTE8" s="344"/>
      <c r="CTF8" s="344"/>
      <c r="CTG8" s="136"/>
      <c r="CTH8" s="137"/>
      <c r="CTI8" s="137"/>
      <c r="CTJ8" s="136"/>
      <c r="CTK8" s="344"/>
      <c r="CTL8" s="344"/>
      <c r="CTM8" s="344"/>
      <c r="CTN8" s="344"/>
      <c r="CTO8" s="136"/>
      <c r="CTP8" s="137"/>
      <c r="CTQ8" s="137"/>
      <c r="CTR8" s="136"/>
      <c r="CTS8" s="344"/>
      <c r="CTT8" s="344"/>
      <c r="CTU8" s="344"/>
      <c r="CTV8" s="344"/>
      <c r="CTW8" s="136"/>
      <c r="CTX8" s="137"/>
      <c r="CTY8" s="137"/>
      <c r="CTZ8" s="136"/>
      <c r="CUA8" s="344"/>
      <c r="CUB8" s="344"/>
      <c r="CUC8" s="344"/>
      <c r="CUD8" s="344"/>
      <c r="CUE8" s="136"/>
      <c r="CUF8" s="137"/>
      <c r="CUG8" s="137"/>
      <c r="CUH8" s="136"/>
      <c r="CUI8" s="344"/>
      <c r="CUJ8" s="344"/>
      <c r="CUK8" s="344"/>
      <c r="CUL8" s="344"/>
      <c r="CUM8" s="136"/>
      <c r="CUN8" s="137"/>
      <c r="CUO8" s="137"/>
      <c r="CUP8" s="136"/>
      <c r="CUQ8" s="344"/>
      <c r="CUR8" s="344"/>
      <c r="CUS8" s="344"/>
      <c r="CUT8" s="344"/>
      <c r="CUU8" s="136"/>
      <c r="CUV8" s="137"/>
      <c r="CUW8" s="137"/>
      <c r="CUX8" s="136"/>
      <c r="CUY8" s="344"/>
      <c r="CUZ8" s="344"/>
      <c r="CVA8" s="344"/>
      <c r="CVB8" s="344"/>
      <c r="CVC8" s="136"/>
      <c r="CVD8" s="137"/>
      <c r="CVE8" s="137"/>
      <c r="CVF8" s="136"/>
      <c r="CVG8" s="344"/>
      <c r="CVH8" s="344"/>
      <c r="CVI8" s="344"/>
      <c r="CVJ8" s="344"/>
      <c r="CVK8" s="136"/>
      <c r="CVL8" s="137"/>
      <c r="CVM8" s="137"/>
      <c r="CVN8" s="136"/>
      <c r="CVO8" s="344"/>
      <c r="CVP8" s="344"/>
      <c r="CVQ8" s="344"/>
      <c r="CVR8" s="344"/>
      <c r="CVS8" s="136"/>
      <c r="CVT8" s="137"/>
      <c r="CVU8" s="137"/>
      <c r="CVV8" s="136"/>
      <c r="CVW8" s="344"/>
      <c r="CVX8" s="344"/>
      <c r="CVY8" s="344"/>
      <c r="CVZ8" s="344"/>
      <c r="CWA8" s="136"/>
      <c r="CWB8" s="137"/>
      <c r="CWC8" s="137"/>
      <c r="CWD8" s="136"/>
      <c r="CWE8" s="344"/>
      <c r="CWF8" s="344"/>
      <c r="CWG8" s="344"/>
      <c r="CWH8" s="344"/>
      <c r="CWI8" s="136"/>
      <c r="CWJ8" s="137"/>
      <c r="CWK8" s="137"/>
      <c r="CWL8" s="136"/>
      <c r="CWM8" s="344"/>
      <c r="CWN8" s="344"/>
      <c r="CWO8" s="344"/>
      <c r="CWP8" s="344"/>
      <c r="CWQ8" s="136"/>
      <c r="CWR8" s="137"/>
      <c r="CWS8" s="137"/>
      <c r="CWT8" s="136"/>
      <c r="CWU8" s="344"/>
      <c r="CWV8" s="344"/>
      <c r="CWW8" s="344"/>
      <c r="CWX8" s="344"/>
      <c r="CWY8" s="136"/>
      <c r="CWZ8" s="137"/>
      <c r="CXA8" s="137"/>
      <c r="CXB8" s="136"/>
      <c r="CXC8" s="344"/>
      <c r="CXD8" s="344"/>
      <c r="CXE8" s="344"/>
      <c r="CXF8" s="344"/>
      <c r="CXG8" s="136"/>
      <c r="CXH8" s="137"/>
      <c r="CXI8" s="137"/>
      <c r="CXJ8" s="136"/>
      <c r="CXK8" s="344"/>
      <c r="CXL8" s="344"/>
      <c r="CXM8" s="344"/>
      <c r="CXN8" s="344"/>
      <c r="CXO8" s="136"/>
      <c r="CXP8" s="137"/>
      <c r="CXQ8" s="137"/>
      <c r="CXR8" s="136"/>
      <c r="CXS8" s="344"/>
      <c r="CXT8" s="344"/>
      <c r="CXU8" s="344"/>
      <c r="CXV8" s="344"/>
      <c r="CXW8" s="136"/>
      <c r="CXX8" s="137"/>
      <c r="CXY8" s="137"/>
      <c r="CXZ8" s="136"/>
      <c r="CYA8" s="344"/>
      <c r="CYB8" s="344"/>
      <c r="CYC8" s="344"/>
      <c r="CYD8" s="344"/>
      <c r="CYE8" s="136"/>
      <c r="CYF8" s="137"/>
      <c r="CYG8" s="137"/>
      <c r="CYH8" s="136"/>
      <c r="CYI8" s="344"/>
      <c r="CYJ8" s="344"/>
      <c r="CYK8" s="344"/>
      <c r="CYL8" s="344"/>
      <c r="CYM8" s="136"/>
      <c r="CYN8" s="137"/>
      <c r="CYO8" s="137"/>
      <c r="CYP8" s="136"/>
      <c r="CYQ8" s="344"/>
      <c r="CYR8" s="344"/>
      <c r="CYS8" s="344"/>
      <c r="CYT8" s="344"/>
      <c r="CYU8" s="136"/>
      <c r="CYV8" s="137"/>
      <c r="CYW8" s="137"/>
      <c r="CYX8" s="136"/>
      <c r="CYY8" s="344"/>
      <c r="CYZ8" s="344"/>
      <c r="CZA8" s="344"/>
      <c r="CZB8" s="344"/>
      <c r="CZC8" s="136"/>
      <c r="CZD8" s="137"/>
      <c r="CZE8" s="137"/>
      <c r="CZF8" s="136"/>
      <c r="CZG8" s="344"/>
      <c r="CZH8" s="344"/>
      <c r="CZI8" s="344"/>
      <c r="CZJ8" s="344"/>
      <c r="CZK8" s="136"/>
      <c r="CZL8" s="137"/>
      <c r="CZM8" s="137"/>
      <c r="CZN8" s="136"/>
      <c r="CZO8" s="344"/>
      <c r="CZP8" s="344"/>
      <c r="CZQ8" s="344"/>
      <c r="CZR8" s="344"/>
      <c r="CZS8" s="136"/>
      <c r="CZT8" s="137"/>
      <c r="CZU8" s="137"/>
      <c r="CZV8" s="136"/>
      <c r="CZW8" s="344"/>
      <c r="CZX8" s="344"/>
      <c r="CZY8" s="344"/>
      <c r="CZZ8" s="344"/>
      <c r="DAA8" s="136"/>
      <c r="DAB8" s="137"/>
      <c r="DAC8" s="137"/>
      <c r="DAD8" s="136"/>
      <c r="DAE8" s="344"/>
      <c r="DAF8" s="344"/>
      <c r="DAG8" s="344"/>
      <c r="DAH8" s="344"/>
      <c r="DAI8" s="136"/>
      <c r="DAJ8" s="137"/>
      <c r="DAK8" s="137"/>
      <c r="DAL8" s="136"/>
      <c r="DAM8" s="344"/>
      <c r="DAN8" s="344"/>
      <c r="DAO8" s="344"/>
      <c r="DAP8" s="344"/>
      <c r="DAQ8" s="136"/>
      <c r="DAR8" s="137"/>
      <c r="DAS8" s="137"/>
      <c r="DAT8" s="136"/>
      <c r="DAU8" s="344"/>
      <c r="DAV8" s="344"/>
      <c r="DAW8" s="344"/>
      <c r="DAX8" s="344"/>
      <c r="DAY8" s="136"/>
      <c r="DAZ8" s="137"/>
      <c r="DBA8" s="137"/>
      <c r="DBB8" s="136"/>
      <c r="DBC8" s="344"/>
      <c r="DBD8" s="344"/>
      <c r="DBE8" s="344"/>
      <c r="DBF8" s="344"/>
      <c r="DBG8" s="136"/>
      <c r="DBH8" s="137"/>
      <c r="DBI8" s="137"/>
      <c r="DBJ8" s="136"/>
      <c r="DBK8" s="344"/>
      <c r="DBL8" s="344"/>
      <c r="DBM8" s="344"/>
      <c r="DBN8" s="344"/>
      <c r="DBO8" s="136"/>
      <c r="DBP8" s="137"/>
      <c r="DBQ8" s="137"/>
      <c r="DBR8" s="136"/>
      <c r="DBS8" s="344"/>
      <c r="DBT8" s="344"/>
      <c r="DBU8" s="344"/>
      <c r="DBV8" s="344"/>
      <c r="DBW8" s="136"/>
      <c r="DBX8" s="137"/>
      <c r="DBY8" s="137"/>
      <c r="DBZ8" s="136"/>
      <c r="DCA8" s="344"/>
      <c r="DCB8" s="344"/>
      <c r="DCC8" s="344"/>
      <c r="DCD8" s="344"/>
      <c r="DCE8" s="136"/>
      <c r="DCF8" s="137"/>
      <c r="DCG8" s="137"/>
      <c r="DCH8" s="136"/>
      <c r="DCI8" s="344"/>
      <c r="DCJ8" s="344"/>
      <c r="DCK8" s="344"/>
      <c r="DCL8" s="344"/>
      <c r="DCM8" s="136"/>
      <c r="DCN8" s="137"/>
      <c r="DCO8" s="137"/>
      <c r="DCP8" s="136"/>
      <c r="DCQ8" s="344"/>
      <c r="DCR8" s="344"/>
      <c r="DCS8" s="344"/>
      <c r="DCT8" s="344"/>
      <c r="DCU8" s="136"/>
      <c r="DCV8" s="137"/>
      <c r="DCW8" s="137"/>
      <c r="DCX8" s="136"/>
      <c r="DCY8" s="344"/>
      <c r="DCZ8" s="344"/>
      <c r="DDA8" s="344"/>
      <c r="DDB8" s="344"/>
      <c r="DDC8" s="136"/>
      <c r="DDD8" s="137"/>
      <c r="DDE8" s="137"/>
      <c r="DDF8" s="136"/>
      <c r="DDG8" s="344"/>
      <c r="DDH8" s="344"/>
      <c r="DDI8" s="344"/>
      <c r="DDJ8" s="344"/>
      <c r="DDK8" s="136"/>
      <c r="DDL8" s="137"/>
      <c r="DDM8" s="137"/>
      <c r="DDN8" s="136"/>
      <c r="DDO8" s="344"/>
      <c r="DDP8" s="344"/>
      <c r="DDQ8" s="344"/>
      <c r="DDR8" s="344"/>
      <c r="DDS8" s="136"/>
      <c r="DDT8" s="137"/>
      <c r="DDU8" s="137"/>
      <c r="DDV8" s="136"/>
      <c r="DDW8" s="344"/>
      <c r="DDX8" s="344"/>
      <c r="DDY8" s="344"/>
      <c r="DDZ8" s="344"/>
      <c r="DEA8" s="136"/>
      <c r="DEB8" s="137"/>
      <c r="DEC8" s="137"/>
      <c r="DED8" s="136"/>
      <c r="DEE8" s="344"/>
      <c r="DEF8" s="344"/>
      <c r="DEG8" s="344"/>
      <c r="DEH8" s="344"/>
      <c r="DEI8" s="136"/>
      <c r="DEJ8" s="137"/>
      <c r="DEK8" s="137"/>
      <c r="DEL8" s="136"/>
      <c r="DEM8" s="344"/>
      <c r="DEN8" s="344"/>
      <c r="DEO8" s="344"/>
      <c r="DEP8" s="344"/>
      <c r="DEQ8" s="136"/>
      <c r="DER8" s="137"/>
      <c r="DES8" s="137"/>
      <c r="DET8" s="136"/>
      <c r="DEU8" s="344"/>
      <c r="DEV8" s="344"/>
      <c r="DEW8" s="344"/>
      <c r="DEX8" s="344"/>
      <c r="DEY8" s="136"/>
      <c r="DEZ8" s="137"/>
      <c r="DFA8" s="137"/>
      <c r="DFB8" s="136"/>
      <c r="DFC8" s="344"/>
      <c r="DFD8" s="344"/>
      <c r="DFE8" s="344"/>
      <c r="DFF8" s="344"/>
      <c r="DFG8" s="136"/>
      <c r="DFH8" s="137"/>
      <c r="DFI8" s="137"/>
      <c r="DFJ8" s="136"/>
      <c r="DFK8" s="344"/>
      <c r="DFL8" s="344"/>
      <c r="DFM8" s="344"/>
      <c r="DFN8" s="344"/>
      <c r="DFO8" s="136"/>
      <c r="DFP8" s="137"/>
      <c r="DFQ8" s="137"/>
      <c r="DFR8" s="136"/>
      <c r="DFS8" s="344"/>
      <c r="DFT8" s="344"/>
      <c r="DFU8" s="344"/>
      <c r="DFV8" s="344"/>
      <c r="DFW8" s="136"/>
      <c r="DFX8" s="137"/>
      <c r="DFY8" s="137"/>
      <c r="DFZ8" s="136"/>
      <c r="DGA8" s="344"/>
      <c r="DGB8" s="344"/>
      <c r="DGC8" s="344"/>
      <c r="DGD8" s="344"/>
      <c r="DGE8" s="136"/>
      <c r="DGF8" s="137"/>
      <c r="DGG8" s="137"/>
      <c r="DGH8" s="136"/>
      <c r="DGI8" s="344"/>
      <c r="DGJ8" s="344"/>
      <c r="DGK8" s="344"/>
      <c r="DGL8" s="344"/>
      <c r="DGM8" s="136"/>
      <c r="DGN8" s="137"/>
      <c r="DGO8" s="137"/>
      <c r="DGP8" s="136"/>
      <c r="DGQ8" s="344"/>
      <c r="DGR8" s="344"/>
      <c r="DGS8" s="344"/>
      <c r="DGT8" s="344"/>
      <c r="DGU8" s="136"/>
      <c r="DGV8" s="137"/>
      <c r="DGW8" s="137"/>
      <c r="DGX8" s="136"/>
      <c r="DGY8" s="344"/>
      <c r="DGZ8" s="344"/>
      <c r="DHA8" s="344"/>
      <c r="DHB8" s="344"/>
      <c r="DHC8" s="136"/>
      <c r="DHD8" s="137"/>
      <c r="DHE8" s="137"/>
      <c r="DHF8" s="136"/>
      <c r="DHG8" s="344"/>
      <c r="DHH8" s="344"/>
      <c r="DHI8" s="344"/>
      <c r="DHJ8" s="344"/>
      <c r="DHK8" s="136"/>
      <c r="DHL8" s="137"/>
      <c r="DHM8" s="137"/>
      <c r="DHN8" s="136"/>
      <c r="DHO8" s="344"/>
      <c r="DHP8" s="344"/>
      <c r="DHQ8" s="344"/>
      <c r="DHR8" s="344"/>
      <c r="DHS8" s="136"/>
      <c r="DHT8" s="137"/>
      <c r="DHU8" s="137"/>
      <c r="DHV8" s="136"/>
      <c r="DHW8" s="344"/>
      <c r="DHX8" s="344"/>
      <c r="DHY8" s="344"/>
      <c r="DHZ8" s="344"/>
      <c r="DIA8" s="136"/>
      <c r="DIB8" s="137"/>
      <c r="DIC8" s="137"/>
      <c r="DID8" s="136"/>
      <c r="DIE8" s="344"/>
      <c r="DIF8" s="344"/>
      <c r="DIG8" s="344"/>
      <c r="DIH8" s="344"/>
      <c r="DII8" s="136"/>
      <c r="DIJ8" s="137"/>
      <c r="DIK8" s="137"/>
      <c r="DIL8" s="136"/>
      <c r="DIM8" s="344"/>
      <c r="DIN8" s="344"/>
      <c r="DIO8" s="344"/>
      <c r="DIP8" s="344"/>
      <c r="DIQ8" s="136"/>
      <c r="DIR8" s="137"/>
      <c r="DIS8" s="137"/>
      <c r="DIT8" s="136"/>
      <c r="DIU8" s="344"/>
      <c r="DIV8" s="344"/>
      <c r="DIW8" s="344"/>
      <c r="DIX8" s="344"/>
      <c r="DIY8" s="136"/>
      <c r="DIZ8" s="137"/>
      <c r="DJA8" s="137"/>
      <c r="DJB8" s="136"/>
      <c r="DJC8" s="344"/>
      <c r="DJD8" s="344"/>
      <c r="DJE8" s="344"/>
      <c r="DJF8" s="344"/>
      <c r="DJG8" s="136"/>
      <c r="DJH8" s="137"/>
      <c r="DJI8" s="137"/>
      <c r="DJJ8" s="136"/>
      <c r="DJK8" s="344"/>
      <c r="DJL8" s="344"/>
      <c r="DJM8" s="344"/>
      <c r="DJN8" s="344"/>
      <c r="DJO8" s="136"/>
      <c r="DJP8" s="137"/>
      <c r="DJQ8" s="137"/>
      <c r="DJR8" s="136"/>
      <c r="DJS8" s="344"/>
      <c r="DJT8" s="344"/>
      <c r="DJU8" s="344"/>
      <c r="DJV8" s="344"/>
      <c r="DJW8" s="136"/>
      <c r="DJX8" s="137"/>
      <c r="DJY8" s="137"/>
      <c r="DJZ8" s="136"/>
      <c r="DKA8" s="344"/>
      <c r="DKB8" s="344"/>
      <c r="DKC8" s="344"/>
      <c r="DKD8" s="344"/>
      <c r="DKE8" s="136"/>
      <c r="DKF8" s="137"/>
      <c r="DKG8" s="137"/>
      <c r="DKH8" s="136"/>
      <c r="DKI8" s="344"/>
      <c r="DKJ8" s="344"/>
      <c r="DKK8" s="344"/>
      <c r="DKL8" s="344"/>
      <c r="DKM8" s="136"/>
      <c r="DKN8" s="137"/>
      <c r="DKO8" s="137"/>
      <c r="DKP8" s="136"/>
      <c r="DKQ8" s="344"/>
      <c r="DKR8" s="344"/>
      <c r="DKS8" s="344"/>
      <c r="DKT8" s="344"/>
      <c r="DKU8" s="136"/>
      <c r="DKV8" s="137"/>
      <c r="DKW8" s="137"/>
      <c r="DKX8" s="136"/>
      <c r="DKY8" s="344"/>
      <c r="DKZ8" s="344"/>
      <c r="DLA8" s="344"/>
      <c r="DLB8" s="344"/>
      <c r="DLC8" s="136"/>
      <c r="DLD8" s="137"/>
      <c r="DLE8" s="137"/>
      <c r="DLF8" s="136"/>
      <c r="DLG8" s="344"/>
      <c r="DLH8" s="344"/>
      <c r="DLI8" s="344"/>
      <c r="DLJ8" s="344"/>
      <c r="DLK8" s="136"/>
      <c r="DLL8" s="137"/>
      <c r="DLM8" s="137"/>
      <c r="DLN8" s="136"/>
      <c r="DLO8" s="344"/>
      <c r="DLP8" s="344"/>
      <c r="DLQ8" s="344"/>
      <c r="DLR8" s="344"/>
      <c r="DLS8" s="136"/>
      <c r="DLT8" s="137"/>
      <c r="DLU8" s="137"/>
      <c r="DLV8" s="136"/>
      <c r="DLW8" s="344"/>
      <c r="DLX8" s="344"/>
      <c r="DLY8" s="344"/>
      <c r="DLZ8" s="344"/>
      <c r="DMA8" s="136"/>
      <c r="DMB8" s="137"/>
      <c r="DMC8" s="137"/>
      <c r="DMD8" s="136"/>
      <c r="DME8" s="344"/>
      <c r="DMF8" s="344"/>
      <c r="DMG8" s="344"/>
      <c r="DMH8" s="344"/>
      <c r="DMI8" s="136"/>
      <c r="DMJ8" s="137"/>
      <c r="DMK8" s="137"/>
      <c r="DML8" s="136"/>
      <c r="DMM8" s="344"/>
      <c r="DMN8" s="344"/>
      <c r="DMO8" s="344"/>
      <c r="DMP8" s="344"/>
      <c r="DMQ8" s="136"/>
      <c r="DMR8" s="137"/>
      <c r="DMS8" s="137"/>
      <c r="DMT8" s="136"/>
      <c r="DMU8" s="344"/>
      <c r="DMV8" s="344"/>
      <c r="DMW8" s="344"/>
      <c r="DMX8" s="344"/>
      <c r="DMY8" s="136"/>
      <c r="DMZ8" s="137"/>
      <c r="DNA8" s="137"/>
      <c r="DNB8" s="136"/>
      <c r="DNC8" s="344"/>
      <c r="DND8" s="344"/>
      <c r="DNE8" s="344"/>
      <c r="DNF8" s="344"/>
      <c r="DNG8" s="136"/>
      <c r="DNH8" s="137"/>
      <c r="DNI8" s="137"/>
      <c r="DNJ8" s="136"/>
      <c r="DNK8" s="344"/>
      <c r="DNL8" s="344"/>
      <c r="DNM8" s="344"/>
      <c r="DNN8" s="344"/>
      <c r="DNO8" s="136"/>
      <c r="DNP8" s="137"/>
      <c r="DNQ8" s="137"/>
      <c r="DNR8" s="136"/>
      <c r="DNS8" s="344"/>
      <c r="DNT8" s="344"/>
      <c r="DNU8" s="344"/>
      <c r="DNV8" s="344"/>
      <c r="DNW8" s="136"/>
      <c r="DNX8" s="137"/>
      <c r="DNY8" s="137"/>
      <c r="DNZ8" s="136"/>
      <c r="DOA8" s="344"/>
      <c r="DOB8" s="344"/>
      <c r="DOC8" s="344"/>
      <c r="DOD8" s="344"/>
      <c r="DOE8" s="136"/>
      <c r="DOF8" s="137"/>
      <c r="DOG8" s="137"/>
      <c r="DOH8" s="136"/>
      <c r="DOI8" s="344"/>
      <c r="DOJ8" s="344"/>
      <c r="DOK8" s="344"/>
      <c r="DOL8" s="344"/>
      <c r="DOM8" s="136"/>
      <c r="DON8" s="137"/>
      <c r="DOO8" s="137"/>
      <c r="DOP8" s="136"/>
      <c r="DOQ8" s="344"/>
      <c r="DOR8" s="344"/>
      <c r="DOS8" s="344"/>
      <c r="DOT8" s="344"/>
      <c r="DOU8" s="136"/>
      <c r="DOV8" s="137"/>
      <c r="DOW8" s="137"/>
      <c r="DOX8" s="136"/>
      <c r="DOY8" s="344"/>
      <c r="DOZ8" s="344"/>
      <c r="DPA8" s="344"/>
      <c r="DPB8" s="344"/>
      <c r="DPC8" s="136"/>
      <c r="DPD8" s="137"/>
      <c r="DPE8" s="137"/>
      <c r="DPF8" s="136"/>
      <c r="DPG8" s="344"/>
      <c r="DPH8" s="344"/>
      <c r="DPI8" s="344"/>
      <c r="DPJ8" s="344"/>
      <c r="DPK8" s="136"/>
      <c r="DPL8" s="137"/>
      <c r="DPM8" s="137"/>
      <c r="DPN8" s="136"/>
      <c r="DPO8" s="344"/>
      <c r="DPP8" s="344"/>
      <c r="DPQ8" s="344"/>
      <c r="DPR8" s="344"/>
      <c r="DPS8" s="136"/>
      <c r="DPT8" s="137"/>
      <c r="DPU8" s="137"/>
      <c r="DPV8" s="136"/>
      <c r="DPW8" s="344"/>
      <c r="DPX8" s="344"/>
      <c r="DPY8" s="344"/>
      <c r="DPZ8" s="344"/>
      <c r="DQA8" s="136"/>
      <c r="DQB8" s="137"/>
      <c r="DQC8" s="137"/>
      <c r="DQD8" s="136"/>
      <c r="DQE8" s="344"/>
      <c r="DQF8" s="344"/>
      <c r="DQG8" s="344"/>
      <c r="DQH8" s="344"/>
      <c r="DQI8" s="136"/>
      <c r="DQJ8" s="137"/>
      <c r="DQK8" s="137"/>
      <c r="DQL8" s="136"/>
      <c r="DQM8" s="344"/>
      <c r="DQN8" s="344"/>
      <c r="DQO8" s="344"/>
      <c r="DQP8" s="344"/>
      <c r="DQQ8" s="136"/>
      <c r="DQR8" s="137"/>
      <c r="DQS8" s="137"/>
      <c r="DQT8" s="136"/>
      <c r="DQU8" s="344"/>
      <c r="DQV8" s="344"/>
      <c r="DQW8" s="344"/>
      <c r="DQX8" s="344"/>
      <c r="DQY8" s="136"/>
      <c r="DQZ8" s="137"/>
      <c r="DRA8" s="137"/>
      <c r="DRB8" s="136"/>
      <c r="DRC8" s="344"/>
      <c r="DRD8" s="344"/>
      <c r="DRE8" s="344"/>
      <c r="DRF8" s="344"/>
      <c r="DRG8" s="136"/>
      <c r="DRH8" s="137"/>
      <c r="DRI8" s="137"/>
      <c r="DRJ8" s="136"/>
      <c r="DRK8" s="344"/>
      <c r="DRL8" s="344"/>
      <c r="DRM8" s="344"/>
      <c r="DRN8" s="344"/>
      <c r="DRO8" s="136"/>
      <c r="DRP8" s="137"/>
      <c r="DRQ8" s="137"/>
      <c r="DRR8" s="136"/>
      <c r="DRS8" s="344"/>
      <c r="DRT8" s="344"/>
      <c r="DRU8" s="344"/>
      <c r="DRV8" s="344"/>
      <c r="DRW8" s="136"/>
      <c r="DRX8" s="137"/>
      <c r="DRY8" s="137"/>
      <c r="DRZ8" s="136"/>
      <c r="DSA8" s="344"/>
      <c r="DSB8" s="344"/>
      <c r="DSC8" s="344"/>
      <c r="DSD8" s="344"/>
      <c r="DSE8" s="136"/>
      <c r="DSF8" s="137"/>
      <c r="DSG8" s="137"/>
      <c r="DSH8" s="136"/>
      <c r="DSI8" s="344"/>
      <c r="DSJ8" s="344"/>
      <c r="DSK8" s="344"/>
      <c r="DSL8" s="344"/>
      <c r="DSM8" s="136"/>
      <c r="DSN8" s="137"/>
      <c r="DSO8" s="137"/>
      <c r="DSP8" s="136"/>
      <c r="DSQ8" s="344"/>
      <c r="DSR8" s="344"/>
      <c r="DSS8" s="344"/>
      <c r="DST8" s="344"/>
      <c r="DSU8" s="136"/>
      <c r="DSV8" s="137"/>
      <c r="DSW8" s="137"/>
      <c r="DSX8" s="136"/>
      <c r="DSY8" s="344"/>
      <c r="DSZ8" s="344"/>
      <c r="DTA8" s="344"/>
      <c r="DTB8" s="344"/>
      <c r="DTC8" s="136"/>
      <c r="DTD8" s="137"/>
      <c r="DTE8" s="137"/>
      <c r="DTF8" s="136"/>
      <c r="DTG8" s="344"/>
      <c r="DTH8" s="344"/>
      <c r="DTI8" s="344"/>
      <c r="DTJ8" s="344"/>
      <c r="DTK8" s="136"/>
      <c r="DTL8" s="137"/>
      <c r="DTM8" s="137"/>
      <c r="DTN8" s="136"/>
      <c r="DTO8" s="344"/>
      <c r="DTP8" s="344"/>
      <c r="DTQ8" s="344"/>
      <c r="DTR8" s="344"/>
      <c r="DTS8" s="136"/>
      <c r="DTT8" s="137"/>
      <c r="DTU8" s="137"/>
      <c r="DTV8" s="136"/>
      <c r="DTW8" s="344"/>
      <c r="DTX8" s="344"/>
      <c r="DTY8" s="344"/>
      <c r="DTZ8" s="344"/>
      <c r="DUA8" s="136"/>
      <c r="DUB8" s="137"/>
      <c r="DUC8" s="137"/>
      <c r="DUD8" s="136"/>
      <c r="DUE8" s="344"/>
      <c r="DUF8" s="344"/>
      <c r="DUG8" s="344"/>
      <c r="DUH8" s="344"/>
      <c r="DUI8" s="136"/>
      <c r="DUJ8" s="137"/>
      <c r="DUK8" s="137"/>
      <c r="DUL8" s="136"/>
      <c r="DUM8" s="344"/>
      <c r="DUN8" s="344"/>
      <c r="DUO8" s="344"/>
      <c r="DUP8" s="344"/>
      <c r="DUQ8" s="136"/>
      <c r="DUR8" s="137"/>
      <c r="DUS8" s="137"/>
      <c r="DUT8" s="136"/>
      <c r="DUU8" s="344"/>
      <c r="DUV8" s="344"/>
      <c r="DUW8" s="344"/>
      <c r="DUX8" s="344"/>
      <c r="DUY8" s="136"/>
      <c r="DUZ8" s="137"/>
      <c r="DVA8" s="137"/>
      <c r="DVB8" s="136"/>
      <c r="DVC8" s="344"/>
      <c r="DVD8" s="344"/>
      <c r="DVE8" s="344"/>
      <c r="DVF8" s="344"/>
      <c r="DVG8" s="136"/>
      <c r="DVH8" s="137"/>
      <c r="DVI8" s="137"/>
      <c r="DVJ8" s="136"/>
      <c r="DVK8" s="344"/>
      <c r="DVL8" s="344"/>
      <c r="DVM8" s="344"/>
      <c r="DVN8" s="344"/>
      <c r="DVO8" s="136"/>
      <c r="DVP8" s="137"/>
      <c r="DVQ8" s="137"/>
      <c r="DVR8" s="136"/>
      <c r="DVS8" s="344"/>
      <c r="DVT8" s="344"/>
      <c r="DVU8" s="344"/>
      <c r="DVV8" s="344"/>
      <c r="DVW8" s="136"/>
      <c r="DVX8" s="137"/>
      <c r="DVY8" s="137"/>
      <c r="DVZ8" s="136"/>
      <c r="DWA8" s="344"/>
      <c r="DWB8" s="344"/>
      <c r="DWC8" s="344"/>
      <c r="DWD8" s="344"/>
      <c r="DWE8" s="136"/>
      <c r="DWF8" s="137"/>
      <c r="DWG8" s="137"/>
      <c r="DWH8" s="136"/>
      <c r="DWI8" s="344"/>
      <c r="DWJ8" s="344"/>
      <c r="DWK8" s="344"/>
      <c r="DWL8" s="344"/>
      <c r="DWM8" s="136"/>
      <c r="DWN8" s="137"/>
      <c r="DWO8" s="137"/>
      <c r="DWP8" s="136"/>
      <c r="DWQ8" s="344"/>
      <c r="DWR8" s="344"/>
      <c r="DWS8" s="344"/>
      <c r="DWT8" s="344"/>
      <c r="DWU8" s="136"/>
      <c r="DWV8" s="137"/>
      <c r="DWW8" s="137"/>
      <c r="DWX8" s="136"/>
      <c r="DWY8" s="344"/>
      <c r="DWZ8" s="344"/>
      <c r="DXA8" s="344"/>
      <c r="DXB8" s="344"/>
      <c r="DXC8" s="136"/>
      <c r="DXD8" s="137"/>
      <c r="DXE8" s="137"/>
      <c r="DXF8" s="136"/>
      <c r="DXG8" s="344"/>
      <c r="DXH8" s="344"/>
      <c r="DXI8" s="344"/>
      <c r="DXJ8" s="344"/>
      <c r="DXK8" s="136"/>
      <c r="DXL8" s="137"/>
      <c r="DXM8" s="137"/>
      <c r="DXN8" s="136"/>
      <c r="DXO8" s="344"/>
      <c r="DXP8" s="344"/>
      <c r="DXQ8" s="344"/>
      <c r="DXR8" s="344"/>
      <c r="DXS8" s="136"/>
      <c r="DXT8" s="137"/>
      <c r="DXU8" s="137"/>
      <c r="DXV8" s="136"/>
      <c r="DXW8" s="344"/>
      <c r="DXX8" s="344"/>
      <c r="DXY8" s="344"/>
      <c r="DXZ8" s="344"/>
      <c r="DYA8" s="136"/>
      <c r="DYB8" s="137"/>
      <c r="DYC8" s="137"/>
      <c r="DYD8" s="136"/>
      <c r="DYE8" s="344"/>
      <c r="DYF8" s="344"/>
      <c r="DYG8" s="344"/>
      <c r="DYH8" s="344"/>
      <c r="DYI8" s="136"/>
      <c r="DYJ8" s="137"/>
      <c r="DYK8" s="137"/>
      <c r="DYL8" s="136"/>
      <c r="DYM8" s="344"/>
      <c r="DYN8" s="344"/>
      <c r="DYO8" s="344"/>
      <c r="DYP8" s="344"/>
      <c r="DYQ8" s="136"/>
      <c r="DYR8" s="137"/>
      <c r="DYS8" s="137"/>
      <c r="DYT8" s="136"/>
      <c r="DYU8" s="344"/>
      <c r="DYV8" s="344"/>
      <c r="DYW8" s="344"/>
      <c r="DYX8" s="344"/>
      <c r="DYY8" s="136"/>
      <c r="DYZ8" s="137"/>
      <c r="DZA8" s="137"/>
      <c r="DZB8" s="136"/>
      <c r="DZC8" s="344"/>
      <c r="DZD8" s="344"/>
      <c r="DZE8" s="344"/>
      <c r="DZF8" s="344"/>
      <c r="DZG8" s="136"/>
      <c r="DZH8" s="137"/>
      <c r="DZI8" s="137"/>
      <c r="DZJ8" s="136"/>
      <c r="DZK8" s="344"/>
      <c r="DZL8" s="344"/>
      <c r="DZM8" s="344"/>
      <c r="DZN8" s="344"/>
      <c r="DZO8" s="136"/>
      <c r="DZP8" s="137"/>
      <c r="DZQ8" s="137"/>
      <c r="DZR8" s="136"/>
      <c r="DZS8" s="344"/>
      <c r="DZT8" s="344"/>
      <c r="DZU8" s="344"/>
      <c r="DZV8" s="344"/>
      <c r="DZW8" s="136"/>
      <c r="DZX8" s="137"/>
      <c r="DZY8" s="137"/>
      <c r="DZZ8" s="136"/>
      <c r="EAA8" s="344"/>
      <c r="EAB8" s="344"/>
      <c r="EAC8" s="344"/>
      <c r="EAD8" s="344"/>
      <c r="EAE8" s="136"/>
      <c r="EAF8" s="137"/>
      <c r="EAG8" s="137"/>
      <c r="EAH8" s="136"/>
      <c r="EAI8" s="344"/>
      <c r="EAJ8" s="344"/>
      <c r="EAK8" s="344"/>
      <c r="EAL8" s="344"/>
      <c r="EAM8" s="136"/>
      <c r="EAN8" s="137"/>
      <c r="EAO8" s="137"/>
      <c r="EAP8" s="136"/>
      <c r="EAQ8" s="344"/>
      <c r="EAR8" s="344"/>
      <c r="EAS8" s="344"/>
      <c r="EAT8" s="344"/>
      <c r="EAU8" s="136"/>
      <c r="EAV8" s="137"/>
      <c r="EAW8" s="137"/>
      <c r="EAX8" s="136"/>
      <c r="EAY8" s="344"/>
      <c r="EAZ8" s="344"/>
      <c r="EBA8" s="344"/>
      <c r="EBB8" s="344"/>
      <c r="EBC8" s="136"/>
      <c r="EBD8" s="137"/>
      <c r="EBE8" s="137"/>
      <c r="EBF8" s="136"/>
      <c r="EBG8" s="344"/>
      <c r="EBH8" s="344"/>
      <c r="EBI8" s="344"/>
      <c r="EBJ8" s="344"/>
      <c r="EBK8" s="136"/>
      <c r="EBL8" s="137"/>
      <c r="EBM8" s="137"/>
      <c r="EBN8" s="136"/>
      <c r="EBO8" s="344"/>
      <c r="EBP8" s="344"/>
      <c r="EBQ8" s="344"/>
      <c r="EBR8" s="344"/>
      <c r="EBS8" s="136"/>
      <c r="EBT8" s="137"/>
      <c r="EBU8" s="137"/>
      <c r="EBV8" s="136"/>
      <c r="EBW8" s="344"/>
      <c r="EBX8" s="344"/>
      <c r="EBY8" s="344"/>
      <c r="EBZ8" s="344"/>
      <c r="ECA8" s="136"/>
      <c r="ECB8" s="137"/>
      <c r="ECC8" s="137"/>
      <c r="ECD8" s="136"/>
      <c r="ECE8" s="344"/>
      <c r="ECF8" s="344"/>
      <c r="ECG8" s="344"/>
      <c r="ECH8" s="344"/>
      <c r="ECI8" s="136"/>
      <c r="ECJ8" s="137"/>
      <c r="ECK8" s="137"/>
      <c r="ECL8" s="136"/>
      <c r="ECM8" s="344"/>
      <c r="ECN8" s="344"/>
      <c r="ECO8" s="344"/>
      <c r="ECP8" s="344"/>
      <c r="ECQ8" s="136"/>
      <c r="ECR8" s="137"/>
      <c r="ECS8" s="137"/>
      <c r="ECT8" s="136"/>
      <c r="ECU8" s="344"/>
      <c r="ECV8" s="344"/>
      <c r="ECW8" s="344"/>
      <c r="ECX8" s="344"/>
      <c r="ECY8" s="136"/>
      <c r="ECZ8" s="137"/>
      <c r="EDA8" s="137"/>
      <c r="EDB8" s="136"/>
      <c r="EDC8" s="344"/>
      <c r="EDD8" s="344"/>
      <c r="EDE8" s="344"/>
      <c r="EDF8" s="344"/>
      <c r="EDG8" s="136"/>
      <c r="EDH8" s="137"/>
      <c r="EDI8" s="137"/>
      <c r="EDJ8" s="136"/>
      <c r="EDK8" s="344"/>
      <c r="EDL8" s="344"/>
      <c r="EDM8" s="344"/>
      <c r="EDN8" s="344"/>
      <c r="EDO8" s="136"/>
      <c r="EDP8" s="137"/>
      <c r="EDQ8" s="137"/>
      <c r="EDR8" s="136"/>
      <c r="EDS8" s="344"/>
      <c r="EDT8" s="344"/>
      <c r="EDU8" s="344"/>
      <c r="EDV8" s="344"/>
      <c r="EDW8" s="136"/>
      <c r="EDX8" s="137"/>
      <c r="EDY8" s="137"/>
      <c r="EDZ8" s="136"/>
      <c r="EEA8" s="344"/>
      <c r="EEB8" s="344"/>
      <c r="EEC8" s="344"/>
      <c r="EED8" s="344"/>
      <c r="EEE8" s="136"/>
      <c r="EEF8" s="137"/>
      <c r="EEG8" s="137"/>
      <c r="EEH8" s="136"/>
      <c r="EEI8" s="344"/>
      <c r="EEJ8" s="344"/>
      <c r="EEK8" s="344"/>
      <c r="EEL8" s="344"/>
      <c r="EEM8" s="136"/>
      <c r="EEN8" s="137"/>
      <c r="EEO8" s="137"/>
      <c r="EEP8" s="136"/>
      <c r="EEQ8" s="344"/>
      <c r="EER8" s="344"/>
      <c r="EES8" s="344"/>
      <c r="EET8" s="344"/>
      <c r="EEU8" s="136"/>
      <c r="EEV8" s="137"/>
      <c r="EEW8" s="137"/>
      <c r="EEX8" s="136"/>
      <c r="EEY8" s="344"/>
      <c r="EEZ8" s="344"/>
      <c r="EFA8" s="344"/>
      <c r="EFB8" s="344"/>
      <c r="EFC8" s="136"/>
      <c r="EFD8" s="137"/>
      <c r="EFE8" s="137"/>
      <c r="EFF8" s="136"/>
      <c r="EFG8" s="344"/>
      <c r="EFH8" s="344"/>
      <c r="EFI8" s="344"/>
      <c r="EFJ8" s="344"/>
      <c r="EFK8" s="136"/>
      <c r="EFL8" s="137"/>
      <c r="EFM8" s="137"/>
      <c r="EFN8" s="136"/>
      <c r="EFO8" s="344"/>
      <c r="EFP8" s="344"/>
      <c r="EFQ8" s="344"/>
      <c r="EFR8" s="344"/>
      <c r="EFS8" s="136"/>
      <c r="EFT8" s="137"/>
      <c r="EFU8" s="137"/>
      <c r="EFV8" s="136"/>
      <c r="EFW8" s="344"/>
      <c r="EFX8" s="344"/>
      <c r="EFY8" s="344"/>
      <c r="EFZ8" s="344"/>
      <c r="EGA8" s="136"/>
      <c r="EGB8" s="137"/>
      <c r="EGC8" s="137"/>
      <c r="EGD8" s="136"/>
      <c r="EGE8" s="344"/>
      <c r="EGF8" s="344"/>
      <c r="EGG8" s="344"/>
      <c r="EGH8" s="344"/>
      <c r="EGI8" s="136"/>
      <c r="EGJ8" s="137"/>
      <c r="EGK8" s="137"/>
      <c r="EGL8" s="136"/>
      <c r="EGM8" s="344"/>
      <c r="EGN8" s="344"/>
      <c r="EGO8" s="344"/>
      <c r="EGP8" s="344"/>
      <c r="EGQ8" s="136"/>
      <c r="EGR8" s="137"/>
      <c r="EGS8" s="137"/>
      <c r="EGT8" s="136"/>
      <c r="EGU8" s="344"/>
      <c r="EGV8" s="344"/>
      <c r="EGW8" s="344"/>
      <c r="EGX8" s="344"/>
      <c r="EGY8" s="136"/>
      <c r="EGZ8" s="137"/>
      <c r="EHA8" s="137"/>
      <c r="EHB8" s="136"/>
      <c r="EHC8" s="344"/>
      <c r="EHD8" s="344"/>
      <c r="EHE8" s="344"/>
      <c r="EHF8" s="344"/>
      <c r="EHG8" s="136"/>
      <c r="EHH8" s="137"/>
      <c r="EHI8" s="137"/>
      <c r="EHJ8" s="136"/>
      <c r="EHK8" s="344"/>
      <c r="EHL8" s="344"/>
      <c r="EHM8" s="344"/>
      <c r="EHN8" s="344"/>
      <c r="EHO8" s="136"/>
      <c r="EHP8" s="137"/>
      <c r="EHQ8" s="137"/>
      <c r="EHR8" s="136"/>
      <c r="EHS8" s="344"/>
      <c r="EHT8" s="344"/>
      <c r="EHU8" s="344"/>
      <c r="EHV8" s="344"/>
      <c r="EHW8" s="136"/>
      <c r="EHX8" s="137"/>
      <c r="EHY8" s="137"/>
      <c r="EHZ8" s="136"/>
      <c r="EIA8" s="344"/>
      <c r="EIB8" s="344"/>
      <c r="EIC8" s="344"/>
      <c r="EID8" s="344"/>
      <c r="EIE8" s="136"/>
      <c r="EIF8" s="137"/>
      <c r="EIG8" s="137"/>
      <c r="EIH8" s="136"/>
      <c r="EII8" s="344"/>
      <c r="EIJ8" s="344"/>
      <c r="EIK8" s="344"/>
      <c r="EIL8" s="344"/>
      <c r="EIM8" s="136"/>
      <c r="EIN8" s="137"/>
      <c r="EIO8" s="137"/>
      <c r="EIP8" s="136"/>
      <c r="EIQ8" s="344"/>
      <c r="EIR8" s="344"/>
      <c r="EIS8" s="344"/>
      <c r="EIT8" s="344"/>
      <c r="EIU8" s="136"/>
      <c r="EIV8" s="137"/>
      <c r="EIW8" s="137"/>
      <c r="EIX8" s="136"/>
      <c r="EIY8" s="344"/>
      <c r="EIZ8" s="344"/>
      <c r="EJA8" s="344"/>
      <c r="EJB8" s="344"/>
      <c r="EJC8" s="136"/>
      <c r="EJD8" s="137"/>
      <c r="EJE8" s="137"/>
      <c r="EJF8" s="136"/>
      <c r="EJG8" s="344"/>
      <c r="EJH8" s="344"/>
      <c r="EJI8" s="344"/>
      <c r="EJJ8" s="344"/>
      <c r="EJK8" s="136"/>
      <c r="EJL8" s="137"/>
      <c r="EJM8" s="137"/>
      <c r="EJN8" s="136"/>
      <c r="EJO8" s="344"/>
      <c r="EJP8" s="344"/>
      <c r="EJQ8" s="344"/>
      <c r="EJR8" s="344"/>
      <c r="EJS8" s="136"/>
      <c r="EJT8" s="137"/>
      <c r="EJU8" s="137"/>
      <c r="EJV8" s="136"/>
      <c r="EJW8" s="344"/>
      <c r="EJX8" s="344"/>
      <c r="EJY8" s="344"/>
      <c r="EJZ8" s="344"/>
      <c r="EKA8" s="136"/>
      <c r="EKB8" s="137"/>
      <c r="EKC8" s="137"/>
      <c r="EKD8" s="136"/>
      <c r="EKE8" s="344"/>
      <c r="EKF8" s="344"/>
      <c r="EKG8" s="344"/>
      <c r="EKH8" s="344"/>
      <c r="EKI8" s="136"/>
      <c r="EKJ8" s="137"/>
      <c r="EKK8" s="137"/>
      <c r="EKL8" s="136"/>
      <c r="EKM8" s="344"/>
      <c r="EKN8" s="344"/>
      <c r="EKO8" s="344"/>
      <c r="EKP8" s="344"/>
      <c r="EKQ8" s="136"/>
      <c r="EKR8" s="137"/>
      <c r="EKS8" s="137"/>
      <c r="EKT8" s="136"/>
      <c r="EKU8" s="344"/>
      <c r="EKV8" s="344"/>
      <c r="EKW8" s="344"/>
      <c r="EKX8" s="344"/>
      <c r="EKY8" s="136"/>
      <c r="EKZ8" s="137"/>
      <c r="ELA8" s="137"/>
      <c r="ELB8" s="136"/>
      <c r="ELC8" s="344"/>
      <c r="ELD8" s="344"/>
      <c r="ELE8" s="344"/>
      <c r="ELF8" s="344"/>
      <c r="ELG8" s="136"/>
      <c r="ELH8" s="137"/>
      <c r="ELI8" s="137"/>
      <c r="ELJ8" s="136"/>
      <c r="ELK8" s="344"/>
      <c r="ELL8" s="344"/>
      <c r="ELM8" s="344"/>
      <c r="ELN8" s="344"/>
      <c r="ELO8" s="136"/>
      <c r="ELP8" s="137"/>
      <c r="ELQ8" s="137"/>
      <c r="ELR8" s="136"/>
      <c r="ELS8" s="344"/>
      <c r="ELT8" s="344"/>
      <c r="ELU8" s="344"/>
      <c r="ELV8" s="344"/>
      <c r="ELW8" s="136"/>
      <c r="ELX8" s="137"/>
      <c r="ELY8" s="137"/>
      <c r="ELZ8" s="136"/>
      <c r="EMA8" s="344"/>
      <c r="EMB8" s="344"/>
      <c r="EMC8" s="344"/>
      <c r="EMD8" s="344"/>
      <c r="EME8" s="136"/>
      <c r="EMF8" s="137"/>
      <c r="EMG8" s="137"/>
      <c r="EMH8" s="136"/>
      <c r="EMI8" s="344"/>
      <c r="EMJ8" s="344"/>
      <c r="EMK8" s="344"/>
      <c r="EML8" s="344"/>
      <c r="EMM8" s="136"/>
      <c r="EMN8" s="137"/>
      <c r="EMO8" s="137"/>
      <c r="EMP8" s="136"/>
      <c r="EMQ8" s="344"/>
      <c r="EMR8" s="344"/>
      <c r="EMS8" s="344"/>
      <c r="EMT8" s="344"/>
      <c r="EMU8" s="136"/>
      <c r="EMV8" s="137"/>
      <c r="EMW8" s="137"/>
      <c r="EMX8" s="136"/>
      <c r="EMY8" s="344"/>
      <c r="EMZ8" s="344"/>
      <c r="ENA8" s="344"/>
      <c r="ENB8" s="344"/>
      <c r="ENC8" s="136"/>
      <c r="END8" s="137"/>
      <c r="ENE8" s="137"/>
      <c r="ENF8" s="136"/>
      <c r="ENG8" s="344"/>
      <c r="ENH8" s="344"/>
      <c r="ENI8" s="344"/>
      <c r="ENJ8" s="344"/>
      <c r="ENK8" s="136"/>
      <c r="ENL8" s="137"/>
      <c r="ENM8" s="137"/>
      <c r="ENN8" s="136"/>
      <c r="ENO8" s="344"/>
      <c r="ENP8" s="344"/>
      <c r="ENQ8" s="344"/>
      <c r="ENR8" s="344"/>
      <c r="ENS8" s="136"/>
      <c r="ENT8" s="137"/>
      <c r="ENU8" s="137"/>
      <c r="ENV8" s="136"/>
      <c r="ENW8" s="344"/>
      <c r="ENX8" s="344"/>
      <c r="ENY8" s="344"/>
      <c r="ENZ8" s="344"/>
      <c r="EOA8" s="136"/>
      <c r="EOB8" s="137"/>
      <c r="EOC8" s="137"/>
      <c r="EOD8" s="136"/>
      <c r="EOE8" s="344"/>
      <c r="EOF8" s="344"/>
      <c r="EOG8" s="344"/>
      <c r="EOH8" s="344"/>
      <c r="EOI8" s="136"/>
      <c r="EOJ8" s="137"/>
      <c r="EOK8" s="137"/>
      <c r="EOL8" s="136"/>
      <c r="EOM8" s="344"/>
      <c r="EON8" s="344"/>
      <c r="EOO8" s="344"/>
      <c r="EOP8" s="344"/>
      <c r="EOQ8" s="136"/>
      <c r="EOR8" s="137"/>
      <c r="EOS8" s="137"/>
      <c r="EOT8" s="136"/>
      <c r="EOU8" s="344"/>
      <c r="EOV8" s="344"/>
      <c r="EOW8" s="344"/>
      <c r="EOX8" s="344"/>
      <c r="EOY8" s="136"/>
      <c r="EOZ8" s="137"/>
      <c r="EPA8" s="137"/>
      <c r="EPB8" s="136"/>
      <c r="EPC8" s="344"/>
      <c r="EPD8" s="344"/>
      <c r="EPE8" s="344"/>
      <c r="EPF8" s="344"/>
      <c r="EPG8" s="136"/>
      <c r="EPH8" s="137"/>
      <c r="EPI8" s="137"/>
      <c r="EPJ8" s="136"/>
      <c r="EPK8" s="344"/>
      <c r="EPL8" s="344"/>
      <c r="EPM8" s="344"/>
      <c r="EPN8" s="344"/>
      <c r="EPO8" s="136"/>
      <c r="EPP8" s="137"/>
      <c r="EPQ8" s="137"/>
      <c r="EPR8" s="136"/>
      <c r="EPS8" s="344"/>
      <c r="EPT8" s="344"/>
      <c r="EPU8" s="344"/>
      <c r="EPV8" s="344"/>
      <c r="EPW8" s="136"/>
      <c r="EPX8" s="137"/>
      <c r="EPY8" s="137"/>
      <c r="EPZ8" s="136"/>
      <c r="EQA8" s="344"/>
      <c r="EQB8" s="344"/>
      <c r="EQC8" s="344"/>
      <c r="EQD8" s="344"/>
      <c r="EQE8" s="136"/>
      <c r="EQF8" s="137"/>
      <c r="EQG8" s="137"/>
      <c r="EQH8" s="136"/>
      <c r="EQI8" s="344"/>
      <c r="EQJ8" s="344"/>
      <c r="EQK8" s="344"/>
      <c r="EQL8" s="344"/>
      <c r="EQM8" s="136"/>
      <c r="EQN8" s="137"/>
      <c r="EQO8" s="137"/>
      <c r="EQP8" s="136"/>
      <c r="EQQ8" s="344"/>
      <c r="EQR8" s="344"/>
      <c r="EQS8" s="344"/>
      <c r="EQT8" s="344"/>
      <c r="EQU8" s="136"/>
      <c r="EQV8" s="137"/>
      <c r="EQW8" s="137"/>
      <c r="EQX8" s="136"/>
      <c r="EQY8" s="344"/>
      <c r="EQZ8" s="344"/>
      <c r="ERA8" s="344"/>
      <c r="ERB8" s="344"/>
      <c r="ERC8" s="136"/>
      <c r="ERD8" s="137"/>
      <c r="ERE8" s="137"/>
      <c r="ERF8" s="136"/>
      <c r="ERG8" s="344"/>
      <c r="ERH8" s="344"/>
      <c r="ERI8" s="344"/>
      <c r="ERJ8" s="344"/>
      <c r="ERK8" s="136"/>
      <c r="ERL8" s="137"/>
      <c r="ERM8" s="137"/>
      <c r="ERN8" s="136"/>
      <c r="ERO8" s="344"/>
      <c r="ERP8" s="344"/>
      <c r="ERQ8" s="344"/>
      <c r="ERR8" s="344"/>
      <c r="ERS8" s="136"/>
      <c r="ERT8" s="137"/>
      <c r="ERU8" s="137"/>
      <c r="ERV8" s="136"/>
      <c r="ERW8" s="344"/>
      <c r="ERX8" s="344"/>
      <c r="ERY8" s="344"/>
      <c r="ERZ8" s="344"/>
      <c r="ESA8" s="136"/>
      <c r="ESB8" s="137"/>
      <c r="ESC8" s="137"/>
      <c r="ESD8" s="136"/>
      <c r="ESE8" s="344"/>
      <c r="ESF8" s="344"/>
      <c r="ESG8" s="344"/>
      <c r="ESH8" s="344"/>
      <c r="ESI8" s="136"/>
      <c r="ESJ8" s="137"/>
      <c r="ESK8" s="137"/>
      <c r="ESL8" s="136"/>
      <c r="ESM8" s="344"/>
      <c r="ESN8" s="344"/>
      <c r="ESO8" s="344"/>
      <c r="ESP8" s="344"/>
      <c r="ESQ8" s="136"/>
      <c r="ESR8" s="137"/>
      <c r="ESS8" s="137"/>
      <c r="EST8" s="136"/>
      <c r="ESU8" s="344"/>
      <c r="ESV8" s="344"/>
      <c r="ESW8" s="344"/>
      <c r="ESX8" s="344"/>
      <c r="ESY8" s="136"/>
      <c r="ESZ8" s="137"/>
      <c r="ETA8" s="137"/>
      <c r="ETB8" s="136"/>
      <c r="ETC8" s="344"/>
      <c r="ETD8" s="344"/>
      <c r="ETE8" s="344"/>
      <c r="ETF8" s="344"/>
      <c r="ETG8" s="136"/>
      <c r="ETH8" s="137"/>
      <c r="ETI8" s="137"/>
      <c r="ETJ8" s="136"/>
      <c r="ETK8" s="344"/>
      <c r="ETL8" s="344"/>
      <c r="ETM8" s="344"/>
      <c r="ETN8" s="344"/>
      <c r="ETO8" s="136"/>
      <c r="ETP8" s="137"/>
      <c r="ETQ8" s="137"/>
      <c r="ETR8" s="136"/>
      <c r="ETS8" s="344"/>
      <c r="ETT8" s="344"/>
      <c r="ETU8" s="344"/>
      <c r="ETV8" s="344"/>
      <c r="ETW8" s="136"/>
      <c r="ETX8" s="137"/>
      <c r="ETY8" s="137"/>
      <c r="ETZ8" s="136"/>
      <c r="EUA8" s="344"/>
      <c r="EUB8" s="344"/>
      <c r="EUC8" s="344"/>
      <c r="EUD8" s="344"/>
      <c r="EUE8" s="136"/>
      <c r="EUF8" s="137"/>
      <c r="EUG8" s="137"/>
      <c r="EUH8" s="136"/>
      <c r="EUI8" s="344"/>
      <c r="EUJ8" s="344"/>
      <c r="EUK8" s="344"/>
      <c r="EUL8" s="344"/>
      <c r="EUM8" s="136"/>
      <c r="EUN8" s="137"/>
      <c r="EUO8" s="137"/>
      <c r="EUP8" s="136"/>
      <c r="EUQ8" s="344"/>
      <c r="EUR8" s="344"/>
      <c r="EUS8" s="344"/>
      <c r="EUT8" s="344"/>
      <c r="EUU8" s="136"/>
      <c r="EUV8" s="137"/>
      <c r="EUW8" s="137"/>
      <c r="EUX8" s="136"/>
      <c r="EUY8" s="344"/>
      <c r="EUZ8" s="344"/>
      <c r="EVA8" s="344"/>
      <c r="EVB8" s="344"/>
      <c r="EVC8" s="136"/>
      <c r="EVD8" s="137"/>
      <c r="EVE8" s="137"/>
      <c r="EVF8" s="136"/>
      <c r="EVG8" s="344"/>
      <c r="EVH8" s="344"/>
      <c r="EVI8" s="344"/>
      <c r="EVJ8" s="344"/>
      <c r="EVK8" s="136"/>
      <c r="EVL8" s="137"/>
      <c r="EVM8" s="137"/>
      <c r="EVN8" s="136"/>
      <c r="EVO8" s="344"/>
      <c r="EVP8" s="344"/>
      <c r="EVQ8" s="344"/>
      <c r="EVR8" s="344"/>
      <c r="EVS8" s="136"/>
      <c r="EVT8" s="137"/>
      <c r="EVU8" s="137"/>
      <c r="EVV8" s="136"/>
      <c r="EVW8" s="344"/>
      <c r="EVX8" s="344"/>
      <c r="EVY8" s="344"/>
      <c r="EVZ8" s="344"/>
      <c r="EWA8" s="136"/>
      <c r="EWB8" s="137"/>
      <c r="EWC8" s="137"/>
      <c r="EWD8" s="136"/>
      <c r="EWE8" s="344"/>
      <c r="EWF8" s="344"/>
      <c r="EWG8" s="344"/>
      <c r="EWH8" s="344"/>
      <c r="EWI8" s="136"/>
      <c r="EWJ8" s="137"/>
      <c r="EWK8" s="137"/>
      <c r="EWL8" s="136"/>
      <c r="EWM8" s="344"/>
      <c r="EWN8" s="344"/>
      <c r="EWO8" s="344"/>
      <c r="EWP8" s="344"/>
      <c r="EWQ8" s="136"/>
      <c r="EWR8" s="137"/>
      <c r="EWS8" s="137"/>
      <c r="EWT8" s="136"/>
      <c r="EWU8" s="344"/>
      <c r="EWV8" s="344"/>
      <c r="EWW8" s="344"/>
      <c r="EWX8" s="344"/>
      <c r="EWY8" s="136"/>
      <c r="EWZ8" s="137"/>
      <c r="EXA8" s="137"/>
      <c r="EXB8" s="136"/>
      <c r="EXC8" s="344"/>
      <c r="EXD8" s="344"/>
      <c r="EXE8" s="344"/>
      <c r="EXF8" s="344"/>
      <c r="EXG8" s="136"/>
      <c r="EXH8" s="137"/>
      <c r="EXI8" s="137"/>
      <c r="EXJ8" s="136"/>
      <c r="EXK8" s="344"/>
      <c r="EXL8" s="344"/>
      <c r="EXM8" s="344"/>
      <c r="EXN8" s="344"/>
      <c r="EXO8" s="136"/>
      <c r="EXP8" s="137"/>
      <c r="EXQ8" s="137"/>
      <c r="EXR8" s="136"/>
      <c r="EXS8" s="344"/>
      <c r="EXT8" s="344"/>
      <c r="EXU8" s="344"/>
      <c r="EXV8" s="344"/>
      <c r="EXW8" s="136"/>
      <c r="EXX8" s="137"/>
      <c r="EXY8" s="137"/>
      <c r="EXZ8" s="136"/>
      <c r="EYA8" s="344"/>
      <c r="EYB8" s="344"/>
      <c r="EYC8" s="344"/>
      <c r="EYD8" s="344"/>
      <c r="EYE8" s="136"/>
      <c r="EYF8" s="137"/>
      <c r="EYG8" s="137"/>
      <c r="EYH8" s="136"/>
      <c r="EYI8" s="344"/>
      <c r="EYJ8" s="344"/>
      <c r="EYK8" s="344"/>
      <c r="EYL8" s="344"/>
      <c r="EYM8" s="136"/>
      <c r="EYN8" s="137"/>
      <c r="EYO8" s="137"/>
      <c r="EYP8" s="136"/>
      <c r="EYQ8" s="344"/>
      <c r="EYR8" s="344"/>
      <c r="EYS8" s="344"/>
      <c r="EYT8" s="344"/>
      <c r="EYU8" s="136"/>
      <c r="EYV8" s="137"/>
      <c r="EYW8" s="137"/>
      <c r="EYX8" s="136"/>
      <c r="EYY8" s="344"/>
      <c r="EYZ8" s="344"/>
      <c r="EZA8" s="344"/>
      <c r="EZB8" s="344"/>
      <c r="EZC8" s="136"/>
      <c r="EZD8" s="137"/>
      <c r="EZE8" s="137"/>
      <c r="EZF8" s="136"/>
      <c r="EZG8" s="344"/>
      <c r="EZH8" s="344"/>
      <c r="EZI8" s="344"/>
      <c r="EZJ8" s="344"/>
      <c r="EZK8" s="136"/>
      <c r="EZL8" s="137"/>
      <c r="EZM8" s="137"/>
      <c r="EZN8" s="136"/>
      <c r="EZO8" s="344"/>
      <c r="EZP8" s="344"/>
      <c r="EZQ8" s="344"/>
      <c r="EZR8" s="344"/>
      <c r="EZS8" s="136"/>
      <c r="EZT8" s="137"/>
      <c r="EZU8" s="137"/>
      <c r="EZV8" s="136"/>
      <c r="EZW8" s="344"/>
      <c r="EZX8" s="344"/>
      <c r="EZY8" s="344"/>
      <c r="EZZ8" s="344"/>
      <c r="FAA8" s="136"/>
      <c r="FAB8" s="137"/>
      <c r="FAC8" s="137"/>
      <c r="FAD8" s="136"/>
      <c r="FAE8" s="344"/>
      <c r="FAF8" s="344"/>
      <c r="FAG8" s="344"/>
      <c r="FAH8" s="344"/>
      <c r="FAI8" s="136"/>
      <c r="FAJ8" s="137"/>
      <c r="FAK8" s="137"/>
      <c r="FAL8" s="136"/>
      <c r="FAM8" s="344"/>
      <c r="FAN8" s="344"/>
      <c r="FAO8" s="344"/>
      <c r="FAP8" s="344"/>
      <c r="FAQ8" s="136"/>
      <c r="FAR8" s="137"/>
      <c r="FAS8" s="137"/>
      <c r="FAT8" s="136"/>
      <c r="FAU8" s="344"/>
      <c r="FAV8" s="344"/>
      <c r="FAW8" s="344"/>
      <c r="FAX8" s="344"/>
      <c r="FAY8" s="136"/>
      <c r="FAZ8" s="137"/>
      <c r="FBA8" s="137"/>
      <c r="FBB8" s="136"/>
      <c r="FBC8" s="344"/>
      <c r="FBD8" s="344"/>
      <c r="FBE8" s="344"/>
      <c r="FBF8" s="344"/>
      <c r="FBG8" s="136"/>
      <c r="FBH8" s="137"/>
      <c r="FBI8" s="137"/>
      <c r="FBJ8" s="136"/>
      <c r="FBK8" s="344"/>
      <c r="FBL8" s="344"/>
      <c r="FBM8" s="344"/>
      <c r="FBN8" s="344"/>
      <c r="FBO8" s="136"/>
      <c r="FBP8" s="137"/>
      <c r="FBQ8" s="137"/>
      <c r="FBR8" s="136"/>
      <c r="FBS8" s="344"/>
      <c r="FBT8" s="344"/>
      <c r="FBU8" s="344"/>
      <c r="FBV8" s="344"/>
      <c r="FBW8" s="136"/>
      <c r="FBX8" s="137"/>
      <c r="FBY8" s="137"/>
      <c r="FBZ8" s="136"/>
      <c r="FCA8" s="344"/>
      <c r="FCB8" s="344"/>
      <c r="FCC8" s="344"/>
      <c r="FCD8" s="344"/>
      <c r="FCE8" s="136"/>
      <c r="FCF8" s="137"/>
      <c r="FCG8" s="137"/>
      <c r="FCH8" s="136"/>
      <c r="FCI8" s="344"/>
      <c r="FCJ8" s="344"/>
      <c r="FCK8" s="344"/>
      <c r="FCL8" s="344"/>
      <c r="FCM8" s="136"/>
      <c r="FCN8" s="137"/>
      <c r="FCO8" s="137"/>
      <c r="FCP8" s="136"/>
      <c r="FCQ8" s="344"/>
      <c r="FCR8" s="344"/>
      <c r="FCS8" s="344"/>
      <c r="FCT8" s="344"/>
      <c r="FCU8" s="136"/>
      <c r="FCV8" s="137"/>
      <c r="FCW8" s="137"/>
      <c r="FCX8" s="136"/>
      <c r="FCY8" s="344"/>
      <c r="FCZ8" s="344"/>
      <c r="FDA8" s="344"/>
      <c r="FDB8" s="344"/>
      <c r="FDC8" s="136"/>
      <c r="FDD8" s="137"/>
      <c r="FDE8" s="137"/>
      <c r="FDF8" s="136"/>
      <c r="FDG8" s="344"/>
      <c r="FDH8" s="344"/>
      <c r="FDI8" s="344"/>
      <c r="FDJ8" s="344"/>
      <c r="FDK8" s="136"/>
      <c r="FDL8" s="137"/>
      <c r="FDM8" s="137"/>
      <c r="FDN8" s="136"/>
      <c r="FDO8" s="344"/>
      <c r="FDP8" s="344"/>
      <c r="FDQ8" s="344"/>
      <c r="FDR8" s="344"/>
      <c r="FDS8" s="136"/>
      <c r="FDT8" s="137"/>
      <c r="FDU8" s="137"/>
      <c r="FDV8" s="136"/>
      <c r="FDW8" s="344"/>
      <c r="FDX8" s="344"/>
      <c r="FDY8" s="344"/>
      <c r="FDZ8" s="344"/>
      <c r="FEA8" s="136"/>
      <c r="FEB8" s="137"/>
      <c r="FEC8" s="137"/>
      <c r="FED8" s="136"/>
      <c r="FEE8" s="344"/>
      <c r="FEF8" s="344"/>
      <c r="FEG8" s="344"/>
      <c r="FEH8" s="344"/>
      <c r="FEI8" s="136"/>
      <c r="FEJ8" s="137"/>
      <c r="FEK8" s="137"/>
      <c r="FEL8" s="136"/>
      <c r="FEM8" s="344"/>
      <c r="FEN8" s="344"/>
      <c r="FEO8" s="344"/>
      <c r="FEP8" s="344"/>
      <c r="FEQ8" s="136"/>
      <c r="FER8" s="137"/>
      <c r="FES8" s="137"/>
      <c r="FET8" s="136"/>
      <c r="FEU8" s="344"/>
      <c r="FEV8" s="344"/>
      <c r="FEW8" s="344"/>
      <c r="FEX8" s="344"/>
      <c r="FEY8" s="136"/>
      <c r="FEZ8" s="137"/>
      <c r="FFA8" s="137"/>
      <c r="FFB8" s="136"/>
      <c r="FFC8" s="344"/>
      <c r="FFD8" s="344"/>
      <c r="FFE8" s="344"/>
      <c r="FFF8" s="344"/>
      <c r="FFG8" s="136"/>
      <c r="FFH8" s="137"/>
      <c r="FFI8" s="137"/>
      <c r="FFJ8" s="136"/>
      <c r="FFK8" s="344"/>
      <c r="FFL8" s="344"/>
      <c r="FFM8" s="344"/>
      <c r="FFN8" s="344"/>
      <c r="FFO8" s="136"/>
      <c r="FFP8" s="137"/>
      <c r="FFQ8" s="137"/>
      <c r="FFR8" s="136"/>
      <c r="FFS8" s="344"/>
      <c r="FFT8" s="344"/>
      <c r="FFU8" s="344"/>
      <c r="FFV8" s="344"/>
      <c r="FFW8" s="136"/>
      <c r="FFX8" s="137"/>
      <c r="FFY8" s="137"/>
      <c r="FFZ8" s="136"/>
      <c r="FGA8" s="344"/>
      <c r="FGB8" s="344"/>
      <c r="FGC8" s="344"/>
      <c r="FGD8" s="344"/>
      <c r="FGE8" s="136"/>
      <c r="FGF8" s="137"/>
      <c r="FGG8" s="137"/>
      <c r="FGH8" s="136"/>
      <c r="FGI8" s="344"/>
      <c r="FGJ8" s="344"/>
      <c r="FGK8" s="344"/>
      <c r="FGL8" s="344"/>
      <c r="FGM8" s="136"/>
      <c r="FGN8" s="137"/>
      <c r="FGO8" s="137"/>
      <c r="FGP8" s="136"/>
      <c r="FGQ8" s="344"/>
      <c r="FGR8" s="344"/>
      <c r="FGS8" s="344"/>
      <c r="FGT8" s="344"/>
      <c r="FGU8" s="136"/>
      <c r="FGV8" s="137"/>
      <c r="FGW8" s="137"/>
      <c r="FGX8" s="136"/>
      <c r="FGY8" s="344"/>
      <c r="FGZ8" s="344"/>
      <c r="FHA8" s="344"/>
      <c r="FHB8" s="344"/>
      <c r="FHC8" s="136"/>
      <c r="FHD8" s="137"/>
      <c r="FHE8" s="137"/>
      <c r="FHF8" s="136"/>
      <c r="FHG8" s="344"/>
      <c r="FHH8" s="344"/>
      <c r="FHI8" s="344"/>
      <c r="FHJ8" s="344"/>
      <c r="FHK8" s="136"/>
      <c r="FHL8" s="137"/>
      <c r="FHM8" s="137"/>
      <c r="FHN8" s="136"/>
      <c r="FHO8" s="344"/>
      <c r="FHP8" s="344"/>
      <c r="FHQ8" s="344"/>
      <c r="FHR8" s="344"/>
      <c r="FHS8" s="136"/>
      <c r="FHT8" s="137"/>
      <c r="FHU8" s="137"/>
      <c r="FHV8" s="136"/>
      <c r="FHW8" s="344"/>
      <c r="FHX8" s="344"/>
      <c r="FHY8" s="344"/>
      <c r="FHZ8" s="344"/>
      <c r="FIA8" s="136"/>
      <c r="FIB8" s="137"/>
      <c r="FIC8" s="137"/>
      <c r="FID8" s="136"/>
      <c r="FIE8" s="344"/>
      <c r="FIF8" s="344"/>
      <c r="FIG8" s="344"/>
      <c r="FIH8" s="344"/>
      <c r="FII8" s="136"/>
      <c r="FIJ8" s="137"/>
      <c r="FIK8" s="137"/>
      <c r="FIL8" s="136"/>
      <c r="FIM8" s="344"/>
      <c r="FIN8" s="344"/>
      <c r="FIO8" s="344"/>
      <c r="FIP8" s="344"/>
      <c r="FIQ8" s="136"/>
      <c r="FIR8" s="137"/>
      <c r="FIS8" s="137"/>
      <c r="FIT8" s="136"/>
      <c r="FIU8" s="344"/>
      <c r="FIV8" s="344"/>
      <c r="FIW8" s="344"/>
      <c r="FIX8" s="344"/>
      <c r="FIY8" s="136"/>
      <c r="FIZ8" s="137"/>
      <c r="FJA8" s="137"/>
      <c r="FJB8" s="136"/>
      <c r="FJC8" s="344"/>
      <c r="FJD8" s="344"/>
      <c r="FJE8" s="344"/>
      <c r="FJF8" s="344"/>
      <c r="FJG8" s="136"/>
      <c r="FJH8" s="137"/>
      <c r="FJI8" s="137"/>
      <c r="FJJ8" s="136"/>
      <c r="FJK8" s="344"/>
      <c r="FJL8" s="344"/>
      <c r="FJM8" s="344"/>
      <c r="FJN8" s="344"/>
      <c r="FJO8" s="136"/>
      <c r="FJP8" s="137"/>
      <c r="FJQ8" s="137"/>
      <c r="FJR8" s="136"/>
      <c r="FJS8" s="344"/>
      <c r="FJT8" s="344"/>
      <c r="FJU8" s="344"/>
      <c r="FJV8" s="344"/>
      <c r="FJW8" s="136"/>
      <c r="FJX8" s="137"/>
      <c r="FJY8" s="137"/>
      <c r="FJZ8" s="136"/>
      <c r="FKA8" s="344"/>
      <c r="FKB8" s="344"/>
      <c r="FKC8" s="344"/>
      <c r="FKD8" s="344"/>
      <c r="FKE8" s="136"/>
      <c r="FKF8" s="137"/>
      <c r="FKG8" s="137"/>
      <c r="FKH8" s="136"/>
      <c r="FKI8" s="344"/>
      <c r="FKJ8" s="344"/>
      <c r="FKK8" s="344"/>
      <c r="FKL8" s="344"/>
      <c r="FKM8" s="136"/>
      <c r="FKN8" s="137"/>
      <c r="FKO8" s="137"/>
      <c r="FKP8" s="136"/>
      <c r="FKQ8" s="344"/>
      <c r="FKR8" s="344"/>
      <c r="FKS8" s="344"/>
      <c r="FKT8" s="344"/>
      <c r="FKU8" s="136"/>
      <c r="FKV8" s="137"/>
      <c r="FKW8" s="137"/>
      <c r="FKX8" s="136"/>
      <c r="FKY8" s="344"/>
      <c r="FKZ8" s="344"/>
      <c r="FLA8" s="344"/>
      <c r="FLB8" s="344"/>
      <c r="FLC8" s="136"/>
      <c r="FLD8" s="137"/>
      <c r="FLE8" s="137"/>
      <c r="FLF8" s="136"/>
      <c r="FLG8" s="344"/>
      <c r="FLH8" s="344"/>
      <c r="FLI8" s="344"/>
      <c r="FLJ8" s="344"/>
      <c r="FLK8" s="136"/>
      <c r="FLL8" s="137"/>
      <c r="FLM8" s="137"/>
      <c r="FLN8" s="136"/>
      <c r="FLO8" s="344"/>
      <c r="FLP8" s="344"/>
      <c r="FLQ8" s="344"/>
      <c r="FLR8" s="344"/>
      <c r="FLS8" s="136"/>
      <c r="FLT8" s="137"/>
      <c r="FLU8" s="137"/>
      <c r="FLV8" s="136"/>
      <c r="FLW8" s="344"/>
      <c r="FLX8" s="344"/>
      <c r="FLY8" s="344"/>
      <c r="FLZ8" s="344"/>
      <c r="FMA8" s="136"/>
      <c r="FMB8" s="137"/>
      <c r="FMC8" s="137"/>
      <c r="FMD8" s="136"/>
      <c r="FME8" s="344"/>
      <c r="FMF8" s="344"/>
      <c r="FMG8" s="344"/>
      <c r="FMH8" s="344"/>
      <c r="FMI8" s="136"/>
      <c r="FMJ8" s="137"/>
      <c r="FMK8" s="137"/>
      <c r="FML8" s="136"/>
      <c r="FMM8" s="344"/>
      <c r="FMN8" s="344"/>
      <c r="FMO8" s="344"/>
      <c r="FMP8" s="344"/>
      <c r="FMQ8" s="136"/>
      <c r="FMR8" s="137"/>
      <c r="FMS8" s="137"/>
      <c r="FMT8" s="136"/>
      <c r="FMU8" s="344"/>
      <c r="FMV8" s="344"/>
      <c r="FMW8" s="344"/>
      <c r="FMX8" s="344"/>
      <c r="FMY8" s="136"/>
      <c r="FMZ8" s="137"/>
      <c r="FNA8" s="137"/>
      <c r="FNB8" s="136"/>
      <c r="FNC8" s="344"/>
      <c r="FND8" s="344"/>
      <c r="FNE8" s="344"/>
      <c r="FNF8" s="344"/>
      <c r="FNG8" s="136"/>
      <c r="FNH8" s="137"/>
      <c r="FNI8" s="137"/>
      <c r="FNJ8" s="136"/>
      <c r="FNK8" s="344"/>
      <c r="FNL8" s="344"/>
      <c r="FNM8" s="344"/>
      <c r="FNN8" s="344"/>
      <c r="FNO8" s="136"/>
      <c r="FNP8" s="137"/>
      <c r="FNQ8" s="137"/>
      <c r="FNR8" s="136"/>
      <c r="FNS8" s="344"/>
      <c r="FNT8" s="344"/>
      <c r="FNU8" s="344"/>
      <c r="FNV8" s="344"/>
      <c r="FNW8" s="136"/>
      <c r="FNX8" s="137"/>
      <c r="FNY8" s="137"/>
      <c r="FNZ8" s="136"/>
      <c r="FOA8" s="344"/>
      <c r="FOB8" s="344"/>
      <c r="FOC8" s="344"/>
      <c r="FOD8" s="344"/>
      <c r="FOE8" s="136"/>
      <c r="FOF8" s="137"/>
      <c r="FOG8" s="137"/>
      <c r="FOH8" s="136"/>
      <c r="FOI8" s="344"/>
      <c r="FOJ8" s="344"/>
      <c r="FOK8" s="344"/>
      <c r="FOL8" s="344"/>
      <c r="FOM8" s="136"/>
      <c r="FON8" s="137"/>
      <c r="FOO8" s="137"/>
      <c r="FOP8" s="136"/>
      <c r="FOQ8" s="344"/>
      <c r="FOR8" s="344"/>
      <c r="FOS8" s="344"/>
      <c r="FOT8" s="344"/>
      <c r="FOU8" s="136"/>
      <c r="FOV8" s="137"/>
      <c r="FOW8" s="137"/>
      <c r="FOX8" s="136"/>
      <c r="FOY8" s="344"/>
      <c r="FOZ8" s="344"/>
      <c r="FPA8" s="344"/>
      <c r="FPB8" s="344"/>
      <c r="FPC8" s="136"/>
      <c r="FPD8" s="137"/>
      <c r="FPE8" s="137"/>
      <c r="FPF8" s="136"/>
      <c r="FPG8" s="344"/>
      <c r="FPH8" s="344"/>
      <c r="FPI8" s="344"/>
      <c r="FPJ8" s="344"/>
      <c r="FPK8" s="136"/>
      <c r="FPL8" s="137"/>
      <c r="FPM8" s="137"/>
      <c r="FPN8" s="136"/>
      <c r="FPO8" s="344"/>
      <c r="FPP8" s="344"/>
      <c r="FPQ8" s="344"/>
      <c r="FPR8" s="344"/>
      <c r="FPS8" s="136"/>
      <c r="FPT8" s="137"/>
      <c r="FPU8" s="137"/>
      <c r="FPV8" s="136"/>
      <c r="FPW8" s="344"/>
      <c r="FPX8" s="344"/>
      <c r="FPY8" s="344"/>
      <c r="FPZ8" s="344"/>
      <c r="FQA8" s="136"/>
      <c r="FQB8" s="137"/>
      <c r="FQC8" s="137"/>
      <c r="FQD8" s="136"/>
      <c r="FQE8" s="344"/>
      <c r="FQF8" s="344"/>
      <c r="FQG8" s="344"/>
      <c r="FQH8" s="344"/>
      <c r="FQI8" s="136"/>
      <c r="FQJ8" s="137"/>
      <c r="FQK8" s="137"/>
      <c r="FQL8" s="136"/>
      <c r="FQM8" s="344"/>
      <c r="FQN8" s="344"/>
      <c r="FQO8" s="344"/>
      <c r="FQP8" s="344"/>
      <c r="FQQ8" s="136"/>
      <c r="FQR8" s="137"/>
      <c r="FQS8" s="137"/>
      <c r="FQT8" s="136"/>
      <c r="FQU8" s="344"/>
      <c r="FQV8" s="344"/>
      <c r="FQW8" s="344"/>
      <c r="FQX8" s="344"/>
      <c r="FQY8" s="136"/>
      <c r="FQZ8" s="137"/>
      <c r="FRA8" s="137"/>
      <c r="FRB8" s="136"/>
      <c r="FRC8" s="344"/>
      <c r="FRD8" s="344"/>
      <c r="FRE8" s="344"/>
      <c r="FRF8" s="344"/>
      <c r="FRG8" s="136"/>
      <c r="FRH8" s="137"/>
      <c r="FRI8" s="137"/>
      <c r="FRJ8" s="136"/>
      <c r="FRK8" s="344"/>
      <c r="FRL8" s="344"/>
      <c r="FRM8" s="344"/>
      <c r="FRN8" s="344"/>
      <c r="FRO8" s="136"/>
      <c r="FRP8" s="137"/>
      <c r="FRQ8" s="137"/>
      <c r="FRR8" s="136"/>
      <c r="FRS8" s="344"/>
      <c r="FRT8" s="344"/>
      <c r="FRU8" s="344"/>
      <c r="FRV8" s="344"/>
      <c r="FRW8" s="136"/>
      <c r="FRX8" s="137"/>
      <c r="FRY8" s="137"/>
      <c r="FRZ8" s="136"/>
      <c r="FSA8" s="344"/>
      <c r="FSB8" s="344"/>
      <c r="FSC8" s="344"/>
      <c r="FSD8" s="344"/>
      <c r="FSE8" s="136"/>
      <c r="FSF8" s="137"/>
      <c r="FSG8" s="137"/>
      <c r="FSH8" s="136"/>
      <c r="FSI8" s="344"/>
      <c r="FSJ8" s="344"/>
      <c r="FSK8" s="344"/>
      <c r="FSL8" s="344"/>
      <c r="FSM8" s="136"/>
      <c r="FSN8" s="137"/>
      <c r="FSO8" s="137"/>
      <c r="FSP8" s="136"/>
      <c r="FSQ8" s="344"/>
      <c r="FSR8" s="344"/>
      <c r="FSS8" s="344"/>
      <c r="FST8" s="344"/>
      <c r="FSU8" s="136"/>
      <c r="FSV8" s="137"/>
      <c r="FSW8" s="137"/>
      <c r="FSX8" s="136"/>
      <c r="FSY8" s="344"/>
      <c r="FSZ8" s="344"/>
      <c r="FTA8" s="344"/>
      <c r="FTB8" s="344"/>
      <c r="FTC8" s="136"/>
      <c r="FTD8" s="137"/>
      <c r="FTE8" s="137"/>
      <c r="FTF8" s="136"/>
      <c r="FTG8" s="344"/>
      <c r="FTH8" s="344"/>
      <c r="FTI8" s="344"/>
      <c r="FTJ8" s="344"/>
      <c r="FTK8" s="136"/>
      <c r="FTL8" s="137"/>
      <c r="FTM8" s="137"/>
      <c r="FTN8" s="136"/>
      <c r="FTO8" s="344"/>
      <c r="FTP8" s="344"/>
      <c r="FTQ8" s="344"/>
      <c r="FTR8" s="344"/>
      <c r="FTS8" s="136"/>
      <c r="FTT8" s="137"/>
      <c r="FTU8" s="137"/>
      <c r="FTV8" s="136"/>
      <c r="FTW8" s="344"/>
      <c r="FTX8" s="344"/>
      <c r="FTY8" s="344"/>
      <c r="FTZ8" s="344"/>
      <c r="FUA8" s="136"/>
      <c r="FUB8" s="137"/>
      <c r="FUC8" s="137"/>
      <c r="FUD8" s="136"/>
      <c r="FUE8" s="344"/>
      <c r="FUF8" s="344"/>
      <c r="FUG8" s="344"/>
      <c r="FUH8" s="344"/>
      <c r="FUI8" s="136"/>
      <c r="FUJ8" s="137"/>
      <c r="FUK8" s="137"/>
      <c r="FUL8" s="136"/>
      <c r="FUM8" s="344"/>
      <c r="FUN8" s="344"/>
      <c r="FUO8" s="344"/>
      <c r="FUP8" s="344"/>
      <c r="FUQ8" s="136"/>
      <c r="FUR8" s="137"/>
      <c r="FUS8" s="137"/>
      <c r="FUT8" s="136"/>
      <c r="FUU8" s="344"/>
      <c r="FUV8" s="344"/>
      <c r="FUW8" s="344"/>
      <c r="FUX8" s="344"/>
      <c r="FUY8" s="136"/>
      <c r="FUZ8" s="137"/>
      <c r="FVA8" s="137"/>
      <c r="FVB8" s="136"/>
      <c r="FVC8" s="344"/>
      <c r="FVD8" s="344"/>
      <c r="FVE8" s="344"/>
      <c r="FVF8" s="344"/>
      <c r="FVG8" s="136"/>
      <c r="FVH8" s="137"/>
      <c r="FVI8" s="137"/>
      <c r="FVJ8" s="136"/>
      <c r="FVK8" s="344"/>
      <c r="FVL8" s="344"/>
      <c r="FVM8" s="344"/>
      <c r="FVN8" s="344"/>
      <c r="FVO8" s="136"/>
      <c r="FVP8" s="137"/>
      <c r="FVQ8" s="137"/>
      <c r="FVR8" s="136"/>
      <c r="FVS8" s="344"/>
      <c r="FVT8" s="344"/>
      <c r="FVU8" s="344"/>
      <c r="FVV8" s="344"/>
      <c r="FVW8" s="136"/>
      <c r="FVX8" s="137"/>
      <c r="FVY8" s="137"/>
      <c r="FVZ8" s="136"/>
      <c r="FWA8" s="344"/>
      <c r="FWB8" s="344"/>
      <c r="FWC8" s="344"/>
      <c r="FWD8" s="344"/>
      <c r="FWE8" s="136"/>
      <c r="FWF8" s="137"/>
      <c r="FWG8" s="137"/>
      <c r="FWH8" s="136"/>
      <c r="FWI8" s="344"/>
      <c r="FWJ8" s="344"/>
      <c r="FWK8" s="344"/>
      <c r="FWL8" s="344"/>
      <c r="FWM8" s="136"/>
      <c r="FWN8" s="137"/>
      <c r="FWO8" s="137"/>
      <c r="FWP8" s="136"/>
      <c r="FWQ8" s="344"/>
      <c r="FWR8" s="344"/>
      <c r="FWS8" s="344"/>
      <c r="FWT8" s="344"/>
      <c r="FWU8" s="136"/>
      <c r="FWV8" s="137"/>
      <c r="FWW8" s="137"/>
      <c r="FWX8" s="136"/>
      <c r="FWY8" s="344"/>
      <c r="FWZ8" s="344"/>
      <c r="FXA8" s="344"/>
      <c r="FXB8" s="344"/>
      <c r="FXC8" s="136"/>
      <c r="FXD8" s="137"/>
      <c r="FXE8" s="137"/>
      <c r="FXF8" s="136"/>
      <c r="FXG8" s="344"/>
      <c r="FXH8" s="344"/>
      <c r="FXI8" s="344"/>
      <c r="FXJ8" s="344"/>
      <c r="FXK8" s="136"/>
      <c r="FXL8" s="137"/>
      <c r="FXM8" s="137"/>
      <c r="FXN8" s="136"/>
      <c r="FXO8" s="344"/>
      <c r="FXP8" s="344"/>
      <c r="FXQ8" s="344"/>
      <c r="FXR8" s="344"/>
      <c r="FXS8" s="136"/>
      <c r="FXT8" s="137"/>
      <c r="FXU8" s="137"/>
      <c r="FXV8" s="136"/>
      <c r="FXW8" s="344"/>
      <c r="FXX8" s="344"/>
      <c r="FXY8" s="344"/>
      <c r="FXZ8" s="344"/>
      <c r="FYA8" s="136"/>
      <c r="FYB8" s="137"/>
      <c r="FYC8" s="137"/>
      <c r="FYD8" s="136"/>
      <c r="FYE8" s="344"/>
      <c r="FYF8" s="344"/>
      <c r="FYG8" s="344"/>
      <c r="FYH8" s="344"/>
      <c r="FYI8" s="136"/>
      <c r="FYJ8" s="137"/>
      <c r="FYK8" s="137"/>
      <c r="FYL8" s="136"/>
      <c r="FYM8" s="344"/>
      <c r="FYN8" s="344"/>
      <c r="FYO8" s="344"/>
      <c r="FYP8" s="344"/>
      <c r="FYQ8" s="136"/>
      <c r="FYR8" s="137"/>
      <c r="FYS8" s="137"/>
      <c r="FYT8" s="136"/>
      <c r="FYU8" s="344"/>
      <c r="FYV8" s="344"/>
      <c r="FYW8" s="344"/>
      <c r="FYX8" s="344"/>
      <c r="FYY8" s="136"/>
      <c r="FYZ8" s="137"/>
      <c r="FZA8" s="137"/>
      <c r="FZB8" s="136"/>
      <c r="FZC8" s="344"/>
      <c r="FZD8" s="344"/>
      <c r="FZE8" s="344"/>
      <c r="FZF8" s="344"/>
      <c r="FZG8" s="136"/>
      <c r="FZH8" s="137"/>
      <c r="FZI8" s="137"/>
      <c r="FZJ8" s="136"/>
      <c r="FZK8" s="344"/>
      <c r="FZL8" s="344"/>
      <c r="FZM8" s="344"/>
      <c r="FZN8" s="344"/>
      <c r="FZO8" s="136"/>
      <c r="FZP8" s="137"/>
      <c r="FZQ8" s="137"/>
      <c r="FZR8" s="136"/>
      <c r="FZS8" s="344"/>
      <c r="FZT8" s="344"/>
      <c r="FZU8" s="344"/>
      <c r="FZV8" s="344"/>
      <c r="FZW8" s="136"/>
      <c r="FZX8" s="137"/>
      <c r="FZY8" s="137"/>
      <c r="FZZ8" s="136"/>
      <c r="GAA8" s="344"/>
      <c r="GAB8" s="344"/>
      <c r="GAC8" s="344"/>
      <c r="GAD8" s="344"/>
      <c r="GAE8" s="136"/>
      <c r="GAF8" s="137"/>
      <c r="GAG8" s="137"/>
      <c r="GAH8" s="136"/>
      <c r="GAI8" s="344"/>
      <c r="GAJ8" s="344"/>
      <c r="GAK8" s="344"/>
      <c r="GAL8" s="344"/>
      <c r="GAM8" s="136"/>
      <c r="GAN8" s="137"/>
      <c r="GAO8" s="137"/>
      <c r="GAP8" s="136"/>
      <c r="GAQ8" s="344"/>
      <c r="GAR8" s="344"/>
      <c r="GAS8" s="344"/>
      <c r="GAT8" s="344"/>
      <c r="GAU8" s="136"/>
      <c r="GAV8" s="137"/>
      <c r="GAW8" s="137"/>
      <c r="GAX8" s="136"/>
      <c r="GAY8" s="344"/>
      <c r="GAZ8" s="344"/>
      <c r="GBA8" s="344"/>
      <c r="GBB8" s="344"/>
      <c r="GBC8" s="136"/>
      <c r="GBD8" s="137"/>
      <c r="GBE8" s="137"/>
      <c r="GBF8" s="136"/>
      <c r="GBG8" s="344"/>
      <c r="GBH8" s="344"/>
      <c r="GBI8" s="344"/>
      <c r="GBJ8" s="344"/>
      <c r="GBK8" s="136"/>
      <c r="GBL8" s="137"/>
      <c r="GBM8" s="137"/>
      <c r="GBN8" s="136"/>
      <c r="GBO8" s="344"/>
      <c r="GBP8" s="344"/>
      <c r="GBQ8" s="344"/>
      <c r="GBR8" s="344"/>
      <c r="GBS8" s="136"/>
      <c r="GBT8" s="137"/>
      <c r="GBU8" s="137"/>
      <c r="GBV8" s="136"/>
      <c r="GBW8" s="344"/>
      <c r="GBX8" s="344"/>
      <c r="GBY8" s="344"/>
      <c r="GBZ8" s="344"/>
      <c r="GCA8" s="136"/>
      <c r="GCB8" s="137"/>
      <c r="GCC8" s="137"/>
      <c r="GCD8" s="136"/>
      <c r="GCE8" s="344"/>
      <c r="GCF8" s="344"/>
      <c r="GCG8" s="344"/>
      <c r="GCH8" s="344"/>
      <c r="GCI8" s="136"/>
      <c r="GCJ8" s="137"/>
      <c r="GCK8" s="137"/>
      <c r="GCL8" s="136"/>
      <c r="GCM8" s="344"/>
      <c r="GCN8" s="344"/>
      <c r="GCO8" s="344"/>
      <c r="GCP8" s="344"/>
      <c r="GCQ8" s="136"/>
      <c r="GCR8" s="137"/>
      <c r="GCS8" s="137"/>
      <c r="GCT8" s="136"/>
      <c r="GCU8" s="344"/>
      <c r="GCV8" s="344"/>
      <c r="GCW8" s="344"/>
      <c r="GCX8" s="344"/>
      <c r="GCY8" s="136"/>
      <c r="GCZ8" s="137"/>
      <c r="GDA8" s="137"/>
      <c r="GDB8" s="136"/>
      <c r="GDC8" s="344"/>
      <c r="GDD8" s="344"/>
      <c r="GDE8" s="344"/>
      <c r="GDF8" s="344"/>
      <c r="GDG8" s="136"/>
      <c r="GDH8" s="137"/>
      <c r="GDI8" s="137"/>
      <c r="GDJ8" s="136"/>
      <c r="GDK8" s="344"/>
      <c r="GDL8" s="344"/>
      <c r="GDM8" s="344"/>
      <c r="GDN8" s="344"/>
      <c r="GDO8" s="136"/>
      <c r="GDP8" s="137"/>
      <c r="GDQ8" s="137"/>
      <c r="GDR8" s="136"/>
      <c r="GDS8" s="344"/>
      <c r="GDT8" s="344"/>
      <c r="GDU8" s="344"/>
      <c r="GDV8" s="344"/>
      <c r="GDW8" s="136"/>
      <c r="GDX8" s="137"/>
      <c r="GDY8" s="137"/>
      <c r="GDZ8" s="136"/>
      <c r="GEA8" s="344"/>
      <c r="GEB8" s="344"/>
      <c r="GEC8" s="344"/>
      <c r="GED8" s="344"/>
      <c r="GEE8" s="136"/>
      <c r="GEF8" s="137"/>
      <c r="GEG8" s="137"/>
      <c r="GEH8" s="136"/>
      <c r="GEI8" s="344"/>
      <c r="GEJ8" s="344"/>
      <c r="GEK8" s="344"/>
      <c r="GEL8" s="344"/>
      <c r="GEM8" s="136"/>
      <c r="GEN8" s="137"/>
      <c r="GEO8" s="137"/>
      <c r="GEP8" s="136"/>
      <c r="GEQ8" s="344"/>
      <c r="GER8" s="344"/>
      <c r="GES8" s="344"/>
      <c r="GET8" s="344"/>
      <c r="GEU8" s="136"/>
      <c r="GEV8" s="137"/>
      <c r="GEW8" s="137"/>
      <c r="GEX8" s="136"/>
      <c r="GEY8" s="344"/>
      <c r="GEZ8" s="344"/>
      <c r="GFA8" s="344"/>
      <c r="GFB8" s="344"/>
      <c r="GFC8" s="136"/>
      <c r="GFD8" s="137"/>
      <c r="GFE8" s="137"/>
      <c r="GFF8" s="136"/>
      <c r="GFG8" s="344"/>
      <c r="GFH8" s="344"/>
      <c r="GFI8" s="344"/>
      <c r="GFJ8" s="344"/>
      <c r="GFK8" s="136"/>
      <c r="GFL8" s="137"/>
      <c r="GFM8" s="137"/>
      <c r="GFN8" s="136"/>
      <c r="GFO8" s="344"/>
      <c r="GFP8" s="344"/>
      <c r="GFQ8" s="344"/>
      <c r="GFR8" s="344"/>
      <c r="GFS8" s="136"/>
      <c r="GFT8" s="137"/>
      <c r="GFU8" s="137"/>
      <c r="GFV8" s="136"/>
      <c r="GFW8" s="344"/>
      <c r="GFX8" s="344"/>
      <c r="GFY8" s="344"/>
      <c r="GFZ8" s="344"/>
      <c r="GGA8" s="136"/>
      <c r="GGB8" s="137"/>
      <c r="GGC8" s="137"/>
      <c r="GGD8" s="136"/>
      <c r="GGE8" s="344"/>
      <c r="GGF8" s="344"/>
      <c r="GGG8" s="344"/>
      <c r="GGH8" s="344"/>
      <c r="GGI8" s="136"/>
      <c r="GGJ8" s="137"/>
      <c r="GGK8" s="137"/>
      <c r="GGL8" s="136"/>
      <c r="GGM8" s="344"/>
      <c r="GGN8" s="344"/>
      <c r="GGO8" s="344"/>
      <c r="GGP8" s="344"/>
      <c r="GGQ8" s="136"/>
      <c r="GGR8" s="137"/>
      <c r="GGS8" s="137"/>
      <c r="GGT8" s="136"/>
      <c r="GGU8" s="344"/>
      <c r="GGV8" s="344"/>
      <c r="GGW8" s="344"/>
      <c r="GGX8" s="344"/>
      <c r="GGY8" s="136"/>
      <c r="GGZ8" s="137"/>
      <c r="GHA8" s="137"/>
      <c r="GHB8" s="136"/>
      <c r="GHC8" s="344"/>
      <c r="GHD8" s="344"/>
      <c r="GHE8" s="344"/>
      <c r="GHF8" s="344"/>
      <c r="GHG8" s="136"/>
      <c r="GHH8" s="137"/>
      <c r="GHI8" s="137"/>
      <c r="GHJ8" s="136"/>
      <c r="GHK8" s="344"/>
      <c r="GHL8" s="344"/>
      <c r="GHM8" s="344"/>
      <c r="GHN8" s="344"/>
      <c r="GHO8" s="136"/>
      <c r="GHP8" s="137"/>
      <c r="GHQ8" s="137"/>
      <c r="GHR8" s="136"/>
      <c r="GHS8" s="344"/>
      <c r="GHT8" s="344"/>
      <c r="GHU8" s="344"/>
      <c r="GHV8" s="344"/>
      <c r="GHW8" s="136"/>
      <c r="GHX8" s="137"/>
      <c r="GHY8" s="137"/>
      <c r="GHZ8" s="136"/>
      <c r="GIA8" s="344"/>
      <c r="GIB8" s="344"/>
      <c r="GIC8" s="344"/>
      <c r="GID8" s="344"/>
      <c r="GIE8" s="136"/>
      <c r="GIF8" s="137"/>
      <c r="GIG8" s="137"/>
      <c r="GIH8" s="136"/>
      <c r="GII8" s="344"/>
      <c r="GIJ8" s="344"/>
      <c r="GIK8" s="344"/>
      <c r="GIL8" s="344"/>
      <c r="GIM8" s="136"/>
      <c r="GIN8" s="137"/>
      <c r="GIO8" s="137"/>
      <c r="GIP8" s="136"/>
      <c r="GIQ8" s="344"/>
      <c r="GIR8" s="344"/>
      <c r="GIS8" s="344"/>
      <c r="GIT8" s="344"/>
      <c r="GIU8" s="136"/>
      <c r="GIV8" s="137"/>
      <c r="GIW8" s="137"/>
      <c r="GIX8" s="136"/>
      <c r="GIY8" s="344"/>
      <c r="GIZ8" s="344"/>
      <c r="GJA8" s="344"/>
      <c r="GJB8" s="344"/>
      <c r="GJC8" s="136"/>
      <c r="GJD8" s="137"/>
      <c r="GJE8" s="137"/>
      <c r="GJF8" s="136"/>
      <c r="GJG8" s="344"/>
      <c r="GJH8" s="344"/>
      <c r="GJI8" s="344"/>
      <c r="GJJ8" s="344"/>
      <c r="GJK8" s="136"/>
      <c r="GJL8" s="137"/>
      <c r="GJM8" s="137"/>
      <c r="GJN8" s="136"/>
      <c r="GJO8" s="344"/>
      <c r="GJP8" s="344"/>
      <c r="GJQ8" s="344"/>
      <c r="GJR8" s="344"/>
      <c r="GJS8" s="136"/>
      <c r="GJT8" s="137"/>
      <c r="GJU8" s="137"/>
      <c r="GJV8" s="136"/>
      <c r="GJW8" s="344"/>
      <c r="GJX8" s="344"/>
      <c r="GJY8" s="344"/>
      <c r="GJZ8" s="344"/>
      <c r="GKA8" s="136"/>
      <c r="GKB8" s="137"/>
      <c r="GKC8" s="137"/>
      <c r="GKD8" s="136"/>
      <c r="GKE8" s="344"/>
      <c r="GKF8" s="344"/>
      <c r="GKG8" s="344"/>
      <c r="GKH8" s="344"/>
      <c r="GKI8" s="136"/>
      <c r="GKJ8" s="137"/>
      <c r="GKK8" s="137"/>
      <c r="GKL8" s="136"/>
      <c r="GKM8" s="344"/>
      <c r="GKN8" s="344"/>
      <c r="GKO8" s="344"/>
      <c r="GKP8" s="344"/>
      <c r="GKQ8" s="136"/>
      <c r="GKR8" s="137"/>
      <c r="GKS8" s="137"/>
      <c r="GKT8" s="136"/>
      <c r="GKU8" s="344"/>
      <c r="GKV8" s="344"/>
      <c r="GKW8" s="344"/>
      <c r="GKX8" s="344"/>
      <c r="GKY8" s="136"/>
      <c r="GKZ8" s="137"/>
      <c r="GLA8" s="137"/>
      <c r="GLB8" s="136"/>
      <c r="GLC8" s="344"/>
      <c r="GLD8" s="344"/>
      <c r="GLE8" s="344"/>
      <c r="GLF8" s="344"/>
      <c r="GLG8" s="136"/>
      <c r="GLH8" s="137"/>
      <c r="GLI8" s="137"/>
      <c r="GLJ8" s="136"/>
      <c r="GLK8" s="344"/>
      <c r="GLL8" s="344"/>
      <c r="GLM8" s="344"/>
      <c r="GLN8" s="344"/>
      <c r="GLO8" s="136"/>
      <c r="GLP8" s="137"/>
      <c r="GLQ8" s="137"/>
      <c r="GLR8" s="136"/>
      <c r="GLS8" s="344"/>
      <c r="GLT8" s="344"/>
      <c r="GLU8" s="344"/>
      <c r="GLV8" s="344"/>
      <c r="GLW8" s="136"/>
      <c r="GLX8" s="137"/>
      <c r="GLY8" s="137"/>
      <c r="GLZ8" s="136"/>
      <c r="GMA8" s="344"/>
      <c r="GMB8" s="344"/>
      <c r="GMC8" s="344"/>
      <c r="GMD8" s="344"/>
      <c r="GME8" s="136"/>
      <c r="GMF8" s="137"/>
      <c r="GMG8" s="137"/>
      <c r="GMH8" s="136"/>
      <c r="GMI8" s="344"/>
      <c r="GMJ8" s="344"/>
      <c r="GMK8" s="344"/>
      <c r="GML8" s="344"/>
      <c r="GMM8" s="136"/>
      <c r="GMN8" s="137"/>
      <c r="GMO8" s="137"/>
      <c r="GMP8" s="136"/>
      <c r="GMQ8" s="344"/>
      <c r="GMR8" s="344"/>
      <c r="GMS8" s="344"/>
      <c r="GMT8" s="344"/>
      <c r="GMU8" s="136"/>
      <c r="GMV8" s="137"/>
      <c r="GMW8" s="137"/>
      <c r="GMX8" s="136"/>
      <c r="GMY8" s="344"/>
      <c r="GMZ8" s="344"/>
      <c r="GNA8" s="344"/>
      <c r="GNB8" s="344"/>
      <c r="GNC8" s="136"/>
      <c r="GND8" s="137"/>
      <c r="GNE8" s="137"/>
      <c r="GNF8" s="136"/>
      <c r="GNG8" s="344"/>
      <c r="GNH8" s="344"/>
      <c r="GNI8" s="344"/>
      <c r="GNJ8" s="344"/>
      <c r="GNK8" s="136"/>
      <c r="GNL8" s="137"/>
      <c r="GNM8" s="137"/>
      <c r="GNN8" s="136"/>
      <c r="GNO8" s="344"/>
      <c r="GNP8" s="344"/>
      <c r="GNQ8" s="344"/>
      <c r="GNR8" s="344"/>
      <c r="GNS8" s="136"/>
      <c r="GNT8" s="137"/>
      <c r="GNU8" s="137"/>
      <c r="GNV8" s="136"/>
      <c r="GNW8" s="344"/>
      <c r="GNX8" s="344"/>
      <c r="GNY8" s="344"/>
      <c r="GNZ8" s="344"/>
      <c r="GOA8" s="136"/>
      <c r="GOB8" s="137"/>
      <c r="GOC8" s="137"/>
      <c r="GOD8" s="136"/>
      <c r="GOE8" s="344"/>
      <c r="GOF8" s="344"/>
      <c r="GOG8" s="344"/>
      <c r="GOH8" s="344"/>
      <c r="GOI8" s="136"/>
      <c r="GOJ8" s="137"/>
      <c r="GOK8" s="137"/>
      <c r="GOL8" s="136"/>
      <c r="GOM8" s="344"/>
      <c r="GON8" s="344"/>
      <c r="GOO8" s="344"/>
      <c r="GOP8" s="344"/>
      <c r="GOQ8" s="136"/>
      <c r="GOR8" s="137"/>
      <c r="GOS8" s="137"/>
      <c r="GOT8" s="136"/>
      <c r="GOU8" s="344"/>
      <c r="GOV8" s="344"/>
      <c r="GOW8" s="344"/>
      <c r="GOX8" s="344"/>
      <c r="GOY8" s="136"/>
      <c r="GOZ8" s="137"/>
      <c r="GPA8" s="137"/>
      <c r="GPB8" s="136"/>
      <c r="GPC8" s="344"/>
      <c r="GPD8" s="344"/>
      <c r="GPE8" s="344"/>
      <c r="GPF8" s="344"/>
      <c r="GPG8" s="136"/>
      <c r="GPH8" s="137"/>
      <c r="GPI8" s="137"/>
      <c r="GPJ8" s="136"/>
      <c r="GPK8" s="344"/>
      <c r="GPL8" s="344"/>
      <c r="GPM8" s="344"/>
      <c r="GPN8" s="344"/>
      <c r="GPO8" s="136"/>
      <c r="GPP8" s="137"/>
      <c r="GPQ8" s="137"/>
      <c r="GPR8" s="136"/>
      <c r="GPS8" s="344"/>
      <c r="GPT8" s="344"/>
      <c r="GPU8" s="344"/>
      <c r="GPV8" s="344"/>
      <c r="GPW8" s="136"/>
      <c r="GPX8" s="137"/>
      <c r="GPY8" s="137"/>
      <c r="GPZ8" s="136"/>
      <c r="GQA8" s="344"/>
      <c r="GQB8" s="344"/>
      <c r="GQC8" s="344"/>
      <c r="GQD8" s="344"/>
      <c r="GQE8" s="136"/>
      <c r="GQF8" s="137"/>
      <c r="GQG8" s="137"/>
      <c r="GQH8" s="136"/>
      <c r="GQI8" s="344"/>
      <c r="GQJ8" s="344"/>
      <c r="GQK8" s="344"/>
      <c r="GQL8" s="344"/>
      <c r="GQM8" s="136"/>
      <c r="GQN8" s="137"/>
      <c r="GQO8" s="137"/>
      <c r="GQP8" s="136"/>
      <c r="GQQ8" s="344"/>
      <c r="GQR8" s="344"/>
      <c r="GQS8" s="344"/>
      <c r="GQT8" s="344"/>
      <c r="GQU8" s="136"/>
      <c r="GQV8" s="137"/>
      <c r="GQW8" s="137"/>
      <c r="GQX8" s="136"/>
      <c r="GQY8" s="344"/>
      <c r="GQZ8" s="344"/>
      <c r="GRA8" s="344"/>
      <c r="GRB8" s="344"/>
      <c r="GRC8" s="136"/>
      <c r="GRD8" s="137"/>
      <c r="GRE8" s="137"/>
      <c r="GRF8" s="136"/>
      <c r="GRG8" s="344"/>
      <c r="GRH8" s="344"/>
      <c r="GRI8" s="344"/>
      <c r="GRJ8" s="344"/>
      <c r="GRK8" s="136"/>
      <c r="GRL8" s="137"/>
      <c r="GRM8" s="137"/>
      <c r="GRN8" s="136"/>
      <c r="GRO8" s="344"/>
      <c r="GRP8" s="344"/>
      <c r="GRQ8" s="344"/>
      <c r="GRR8" s="344"/>
      <c r="GRS8" s="136"/>
      <c r="GRT8" s="137"/>
      <c r="GRU8" s="137"/>
      <c r="GRV8" s="136"/>
      <c r="GRW8" s="344"/>
      <c r="GRX8" s="344"/>
      <c r="GRY8" s="344"/>
      <c r="GRZ8" s="344"/>
      <c r="GSA8" s="136"/>
      <c r="GSB8" s="137"/>
      <c r="GSC8" s="137"/>
      <c r="GSD8" s="136"/>
      <c r="GSE8" s="344"/>
      <c r="GSF8" s="344"/>
      <c r="GSG8" s="344"/>
      <c r="GSH8" s="344"/>
      <c r="GSI8" s="136"/>
      <c r="GSJ8" s="137"/>
      <c r="GSK8" s="137"/>
      <c r="GSL8" s="136"/>
      <c r="GSM8" s="344"/>
      <c r="GSN8" s="344"/>
      <c r="GSO8" s="344"/>
      <c r="GSP8" s="344"/>
      <c r="GSQ8" s="136"/>
      <c r="GSR8" s="137"/>
      <c r="GSS8" s="137"/>
      <c r="GST8" s="136"/>
      <c r="GSU8" s="344"/>
      <c r="GSV8" s="344"/>
      <c r="GSW8" s="344"/>
      <c r="GSX8" s="344"/>
      <c r="GSY8" s="136"/>
      <c r="GSZ8" s="137"/>
      <c r="GTA8" s="137"/>
      <c r="GTB8" s="136"/>
      <c r="GTC8" s="344"/>
      <c r="GTD8" s="344"/>
      <c r="GTE8" s="344"/>
      <c r="GTF8" s="344"/>
      <c r="GTG8" s="136"/>
      <c r="GTH8" s="137"/>
      <c r="GTI8" s="137"/>
      <c r="GTJ8" s="136"/>
      <c r="GTK8" s="344"/>
      <c r="GTL8" s="344"/>
      <c r="GTM8" s="344"/>
      <c r="GTN8" s="344"/>
      <c r="GTO8" s="136"/>
      <c r="GTP8" s="137"/>
      <c r="GTQ8" s="137"/>
      <c r="GTR8" s="136"/>
      <c r="GTS8" s="344"/>
      <c r="GTT8" s="344"/>
      <c r="GTU8" s="344"/>
      <c r="GTV8" s="344"/>
      <c r="GTW8" s="136"/>
      <c r="GTX8" s="137"/>
      <c r="GTY8" s="137"/>
      <c r="GTZ8" s="136"/>
      <c r="GUA8" s="344"/>
      <c r="GUB8" s="344"/>
      <c r="GUC8" s="344"/>
      <c r="GUD8" s="344"/>
      <c r="GUE8" s="136"/>
      <c r="GUF8" s="137"/>
      <c r="GUG8" s="137"/>
      <c r="GUH8" s="136"/>
      <c r="GUI8" s="344"/>
      <c r="GUJ8" s="344"/>
      <c r="GUK8" s="344"/>
      <c r="GUL8" s="344"/>
      <c r="GUM8" s="136"/>
      <c r="GUN8" s="137"/>
      <c r="GUO8" s="137"/>
      <c r="GUP8" s="136"/>
      <c r="GUQ8" s="344"/>
      <c r="GUR8" s="344"/>
      <c r="GUS8" s="344"/>
      <c r="GUT8" s="344"/>
      <c r="GUU8" s="136"/>
      <c r="GUV8" s="137"/>
      <c r="GUW8" s="137"/>
      <c r="GUX8" s="136"/>
      <c r="GUY8" s="344"/>
      <c r="GUZ8" s="344"/>
      <c r="GVA8" s="344"/>
      <c r="GVB8" s="344"/>
      <c r="GVC8" s="136"/>
      <c r="GVD8" s="137"/>
      <c r="GVE8" s="137"/>
      <c r="GVF8" s="136"/>
      <c r="GVG8" s="344"/>
      <c r="GVH8" s="344"/>
      <c r="GVI8" s="344"/>
      <c r="GVJ8" s="344"/>
      <c r="GVK8" s="136"/>
      <c r="GVL8" s="137"/>
      <c r="GVM8" s="137"/>
      <c r="GVN8" s="136"/>
      <c r="GVO8" s="344"/>
      <c r="GVP8" s="344"/>
      <c r="GVQ8" s="344"/>
      <c r="GVR8" s="344"/>
      <c r="GVS8" s="136"/>
      <c r="GVT8" s="137"/>
      <c r="GVU8" s="137"/>
      <c r="GVV8" s="136"/>
      <c r="GVW8" s="344"/>
      <c r="GVX8" s="344"/>
      <c r="GVY8" s="344"/>
      <c r="GVZ8" s="344"/>
      <c r="GWA8" s="136"/>
      <c r="GWB8" s="137"/>
      <c r="GWC8" s="137"/>
      <c r="GWD8" s="136"/>
      <c r="GWE8" s="344"/>
      <c r="GWF8" s="344"/>
      <c r="GWG8" s="344"/>
      <c r="GWH8" s="344"/>
      <c r="GWI8" s="136"/>
      <c r="GWJ8" s="137"/>
      <c r="GWK8" s="137"/>
      <c r="GWL8" s="136"/>
      <c r="GWM8" s="344"/>
      <c r="GWN8" s="344"/>
      <c r="GWO8" s="344"/>
      <c r="GWP8" s="344"/>
      <c r="GWQ8" s="136"/>
      <c r="GWR8" s="137"/>
      <c r="GWS8" s="137"/>
      <c r="GWT8" s="136"/>
      <c r="GWU8" s="344"/>
      <c r="GWV8" s="344"/>
      <c r="GWW8" s="344"/>
      <c r="GWX8" s="344"/>
      <c r="GWY8" s="136"/>
      <c r="GWZ8" s="137"/>
      <c r="GXA8" s="137"/>
      <c r="GXB8" s="136"/>
      <c r="GXC8" s="344"/>
      <c r="GXD8" s="344"/>
      <c r="GXE8" s="344"/>
      <c r="GXF8" s="344"/>
      <c r="GXG8" s="136"/>
      <c r="GXH8" s="137"/>
      <c r="GXI8" s="137"/>
      <c r="GXJ8" s="136"/>
      <c r="GXK8" s="344"/>
      <c r="GXL8" s="344"/>
      <c r="GXM8" s="344"/>
      <c r="GXN8" s="344"/>
      <c r="GXO8" s="136"/>
      <c r="GXP8" s="137"/>
      <c r="GXQ8" s="137"/>
      <c r="GXR8" s="136"/>
      <c r="GXS8" s="344"/>
      <c r="GXT8" s="344"/>
      <c r="GXU8" s="344"/>
      <c r="GXV8" s="344"/>
      <c r="GXW8" s="136"/>
      <c r="GXX8" s="137"/>
      <c r="GXY8" s="137"/>
      <c r="GXZ8" s="136"/>
      <c r="GYA8" s="344"/>
      <c r="GYB8" s="344"/>
      <c r="GYC8" s="344"/>
      <c r="GYD8" s="344"/>
      <c r="GYE8" s="136"/>
      <c r="GYF8" s="137"/>
      <c r="GYG8" s="137"/>
      <c r="GYH8" s="136"/>
      <c r="GYI8" s="344"/>
      <c r="GYJ8" s="344"/>
      <c r="GYK8" s="344"/>
      <c r="GYL8" s="344"/>
      <c r="GYM8" s="136"/>
      <c r="GYN8" s="137"/>
      <c r="GYO8" s="137"/>
      <c r="GYP8" s="136"/>
      <c r="GYQ8" s="344"/>
      <c r="GYR8" s="344"/>
      <c r="GYS8" s="344"/>
      <c r="GYT8" s="344"/>
      <c r="GYU8" s="136"/>
      <c r="GYV8" s="137"/>
      <c r="GYW8" s="137"/>
      <c r="GYX8" s="136"/>
      <c r="GYY8" s="344"/>
      <c r="GYZ8" s="344"/>
      <c r="GZA8" s="344"/>
      <c r="GZB8" s="344"/>
      <c r="GZC8" s="136"/>
      <c r="GZD8" s="137"/>
      <c r="GZE8" s="137"/>
      <c r="GZF8" s="136"/>
      <c r="GZG8" s="344"/>
      <c r="GZH8" s="344"/>
      <c r="GZI8" s="344"/>
      <c r="GZJ8" s="344"/>
      <c r="GZK8" s="136"/>
      <c r="GZL8" s="137"/>
      <c r="GZM8" s="137"/>
      <c r="GZN8" s="136"/>
      <c r="GZO8" s="344"/>
      <c r="GZP8" s="344"/>
      <c r="GZQ8" s="344"/>
      <c r="GZR8" s="344"/>
      <c r="GZS8" s="136"/>
      <c r="GZT8" s="137"/>
      <c r="GZU8" s="137"/>
      <c r="GZV8" s="136"/>
      <c r="GZW8" s="344"/>
      <c r="GZX8" s="344"/>
      <c r="GZY8" s="344"/>
      <c r="GZZ8" s="344"/>
      <c r="HAA8" s="136"/>
      <c r="HAB8" s="137"/>
      <c r="HAC8" s="137"/>
      <c r="HAD8" s="136"/>
      <c r="HAE8" s="344"/>
      <c r="HAF8" s="344"/>
      <c r="HAG8" s="344"/>
      <c r="HAH8" s="344"/>
      <c r="HAI8" s="136"/>
      <c r="HAJ8" s="137"/>
      <c r="HAK8" s="137"/>
      <c r="HAL8" s="136"/>
      <c r="HAM8" s="344"/>
      <c r="HAN8" s="344"/>
      <c r="HAO8" s="344"/>
      <c r="HAP8" s="344"/>
      <c r="HAQ8" s="136"/>
      <c r="HAR8" s="137"/>
      <c r="HAS8" s="137"/>
      <c r="HAT8" s="136"/>
      <c r="HAU8" s="344"/>
      <c r="HAV8" s="344"/>
      <c r="HAW8" s="344"/>
      <c r="HAX8" s="344"/>
      <c r="HAY8" s="136"/>
      <c r="HAZ8" s="137"/>
      <c r="HBA8" s="137"/>
      <c r="HBB8" s="136"/>
      <c r="HBC8" s="344"/>
      <c r="HBD8" s="344"/>
      <c r="HBE8" s="344"/>
      <c r="HBF8" s="344"/>
      <c r="HBG8" s="136"/>
      <c r="HBH8" s="137"/>
      <c r="HBI8" s="137"/>
      <c r="HBJ8" s="136"/>
      <c r="HBK8" s="344"/>
      <c r="HBL8" s="344"/>
      <c r="HBM8" s="344"/>
      <c r="HBN8" s="344"/>
      <c r="HBO8" s="136"/>
      <c r="HBP8" s="137"/>
      <c r="HBQ8" s="137"/>
      <c r="HBR8" s="136"/>
      <c r="HBS8" s="344"/>
      <c r="HBT8" s="344"/>
      <c r="HBU8" s="344"/>
      <c r="HBV8" s="344"/>
      <c r="HBW8" s="136"/>
      <c r="HBX8" s="137"/>
      <c r="HBY8" s="137"/>
      <c r="HBZ8" s="136"/>
      <c r="HCA8" s="344"/>
      <c r="HCB8" s="344"/>
      <c r="HCC8" s="344"/>
      <c r="HCD8" s="344"/>
      <c r="HCE8" s="136"/>
      <c r="HCF8" s="137"/>
      <c r="HCG8" s="137"/>
      <c r="HCH8" s="136"/>
      <c r="HCI8" s="344"/>
      <c r="HCJ8" s="344"/>
      <c r="HCK8" s="344"/>
      <c r="HCL8" s="344"/>
      <c r="HCM8" s="136"/>
      <c r="HCN8" s="137"/>
      <c r="HCO8" s="137"/>
      <c r="HCP8" s="136"/>
      <c r="HCQ8" s="344"/>
      <c r="HCR8" s="344"/>
      <c r="HCS8" s="344"/>
      <c r="HCT8" s="344"/>
      <c r="HCU8" s="136"/>
      <c r="HCV8" s="137"/>
      <c r="HCW8" s="137"/>
      <c r="HCX8" s="136"/>
      <c r="HCY8" s="344"/>
      <c r="HCZ8" s="344"/>
      <c r="HDA8" s="344"/>
      <c r="HDB8" s="344"/>
      <c r="HDC8" s="136"/>
      <c r="HDD8" s="137"/>
      <c r="HDE8" s="137"/>
      <c r="HDF8" s="136"/>
      <c r="HDG8" s="344"/>
      <c r="HDH8" s="344"/>
      <c r="HDI8" s="344"/>
      <c r="HDJ8" s="344"/>
      <c r="HDK8" s="136"/>
      <c r="HDL8" s="137"/>
      <c r="HDM8" s="137"/>
      <c r="HDN8" s="136"/>
      <c r="HDO8" s="344"/>
      <c r="HDP8" s="344"/>
      <c r="HDQ8" s="344"/>
      <c r="HDR8" s="344"/>
      <c r="HDS8" s="136"/>
      <c r="HDT8" s="137"/>
      <c r="HDU8" s="137"/>
      <c r="HDV8" s="136"/>
      <c r="HDW8" s="344"/>
      <c r="HDX8" s="344"/>
      <c r="HDY8" s="344"/>
      <c r="HDZ8" s="344"/>
      <c r="HEA8" s="136"/>
      <c r="HEB8" s="137"/>
      <c r="HEC8" s="137"/>
      <c r="HED8" s="136"/>
      <c r="HEE8" s="344"/>
      <c r="HEF8" s="344"/>
      <c r="HEG8" s="344"/>
      <c r="HEH8" s="344"/>
      <c r="HEI8" s="136"/>
      <c r="HEJ8" s="137"/>
      <c r="HEK8" s="137"/>
      <c r="HEL8" s="136"/>
      <c r="HEM8" s="344"/>
      <c r="HEN8" s="344"/>
      <c r="HEO8" s="344"/>
      <c r="HEP8" s="344"/>
      <c r="HEQ8" s="136"/>
      <c r="HER8" s="137"/>
      <c r="HES8" s="137"/>
      <c r="HET8" s="136"/>
      <c r="HEU8" s="344"/>
      <c r="HEV8" s="344"/>
      <c r="HEW8" s="344"/>
      <c r="HEX8" s="344"/>
      <c r="HEY8" s="136"/>
      <c r="HEZ8" s="137"/>
      <c r="HFA8" s="137"/>
      <c r="HFB8" s="136"/>
      <c r="HFC8" s="344"/>
      <c r="HFD8" s="344"/>
      <c r="HFE8" s="344"/>
      <c r="HFF8" s="344"/>
      <c r="HFG8" s="136"/>
      <c r="HFH8" s="137"/>
      <c r="HFI8" s="137"/>
      <c r="HFJ8" s="136"/>
      <c r="HFK8" s="344"/>
      <c r="HFL8" s="344"/>
      <c r="HFM8" s="344"/>
      <c r="HFN8" s="344"/>
      <c r="HFO8" s="136"/>
      <c r="HFP8" s="137"/>
      <c r="HFQ8" s="137"/>
      <c r="HFR8" s="136"/>
      <c r="HFS8" s="344"/>
      <c r="HFT8" s="344"/>
      <c r="HFU8" s="344"/>
      <c r="HFV8" s="344"/>
      <c r="HFW8" s="136"/>
      <c r="HFX8" s="137"/>
      <c r="HFY8" s="137"/>
      <c r="HFZ8" s="136"/>
      <c r="HGA8" s="344"/>
      <c r="HGB8" s="344"/>
      <c r="HGC8" s="344"/>
      <c r="HGD8" s="344"/>
      <c r="HGE8" s="136"/>
      <c r="HGF8" s="137"/>
      <c r="HGG8" s="137"/>
      <c r="HGH8" s="136"/>
      <c r="HGI8" s="344"/>
      <c r="HGJ8" s="344"/>
      <c r="HGK8" s="344"/>
      <c r="HGL8" s="344"/>
      <c r="HGM8" s="136"/>
      <c r="HGN8" s="137"/>
      <c r="HGO8" s="137"/>
      <c r="HGP8" s="136"/>
      <c r="HGQ8" s="344"/>
      <c r="HGR8" s="344"/>
      <c r="HGS8" s="344"/>
      <c r="HGT8" s="344"/>
      <c r="HGU8" s="136"/>
      <c r="HGV8" s="137"/>
      <c r="HGW8" s="137"/>
      <c r="HGX8" s="136"/>
      <c r="HGY8" s="344"/>
      <c r="HGZ8" s="344"/>
      <c r="HHA8" s="344"/>
      <c r="HHB8" s="344"/>
      <c r="HHC8" s="136"/>
      <c r="HHD8" s="137"/>
      <c r="HHE8" s="137"/>
      <c r="HHF8" s="136"/>
      <c r="HHG8" s="344"/>
      <c r="HHH8" s="344"/>
      <c r="HHI8" s="344"/>
      <c r="HHJ8" s="344"/>
      <c r="HHK8" s="136"/>
      <c r="HHL8" s="137"/>
      <c r="HHM8" s="137"/>
      <c r="HHN8" s="136"/>
      <c r="HHO8" s="344"/>
      <c r="HHP8" s="344"/>
      <c r="HHQ8" s="344"/>
      <c r="HHR8" s="344"/>
      <c r="HHS8" s="136"/>
      <c r="HHT8" s="137"/>
      <c r="HHU8" s="137"/>
      <c r="HHV8" s="136"/>
      <c r="HHW8" s="344"/>
      <c r="HHX8" s="344"/>
      <c r="HHY8" s="344"/>
      <c r="HHZ8" s="344"/>
      <c r="HIA8" s="136"/>
      <c r="HIB8" s="137"/>
      <c r="HIC8" s="137"/>
      <c r="HID8" s="136"/>
      <c r="HIE8" s="344"/>
      <c r="HIF8" s="344"/>
      <c r="HIG8" s="344"/>
      <c r="HIH8" s="344"/>
      <c r="HII8" s="136"/>
      <c r="HIJ8" s="137"/>
      <c r="HIK8" s="137"/>
      <c r="HIL8" s="136"/>
      <c r="HIM8" s="344"/>
      <c r="HIN8" s="344"/>
      <c r="HIO8" s="344"/>
      <c r="HIP8" s="344"/>
      <c r="HIQ8" s="136"/>
      <c r="HIR8" s="137"/>
      <c r="HIS8" s="137"/>
      <c r="HIT8" s="136"/>
      <c r="HIU8" s="344"/>
      <c r="HIV8" s="344"/>
      <c r="HIW8" s="344"/>
      <c r="HIX8" s="344"/>
      <c r="HIY8" s="136"/>
      <c r="HIZ8" s="137"/>
      <c r="HJA8" s="137"/>
      <c r="HJB8" s="136"/>
      <c r="HJC8" s="344"/>
      <c r="HJD8" s="344"/>
      <c r="HJE8" s="344"/>
      <c r="HJF8" s="344"/>
      <c r="HJG8" s="136"/>
      <c r="HJH8" s="137"/>
      <c r="HJI8" s="137"/>
      <c r="HJJ8" s="136"/>
      <c r="HJK8" s="344"/>
      <c r="HJL8" s="344"/>
      <c r="HJM8" s="344"/>
      <c r="HJN8" s="344"/>
      <c r="HJO8" s="136"/>
      <c r="HJP8" s="137"/>
      <c r="HJQ8" s="137"/>
      <c r="HJR8" s="136"/>
      <c r="HJS8" s="344"/>
      <c r="HJT8" s="344"/>
      <c r="HJU8" s="344"/>
      <c r="HJV8" s="344"/>
      <c r="HJW8" s="136"/>
      <c r="HJX8" s="137"/>
      <c r="HJY8" s="137"/>
      <c r="HJZ8" s="136"/>
      <c r="HKA8" s="344"/>
      <c r="HKB8" s="344"/>
      <c r="HKC8" s="344"/>
      <c r="HKD8" s="344"/>
      <c r="HKE8" s="136"/>
      <c r="HKF8" s="137"/>
      <c r="HKG8" s="137"/>
      <c r="HKH8" s="136"/>
      <c r="HKI8" s="344"/>
      <c r="HKJ8" s="344"/>
      <c r="HKK8" s="344"/>
      <c r="HKL8" s="344"/>
      <c r="HKM8" s="136"/>
      <c r="HKN8" s="137"/>
      <c r="HKO8" s="137"/>
      <c r="HKP8" s="136"/>
      <c r="HKQ8" s="344"/>
      <c r="HKR8" s="344"/>
      <c r="HKS8" s="344"/>
      <c r="HKT8" s="344"/>
      <c r="HKU8" s="136"/>
      <c r="HKV8" s="137"/>
      <c r="HKW8" s="137"/>
      <c r="HKX8" s="136"/>
      <c r="HKY8" s="344"/>
      <c r="HKZ8" s="344"/>
      <c r="HLA8" s="344"/>
      <c r="HLB8" s="344"/>
      <c r="HLC8" s="136"/>
      <c r="HLD8" s="137"/>
      <c r="HLE8" s="137"/>
      <c r="HLF8" s="136"/>
      <c r="HLG8" s="344"/>
      <c r="HLH8" s="344"/>
      <c r="HLI8" s="344"/>
      <c r="HLJ8" s="344"/>
      <c r="HLK8" s="136"/>
      <c r="HLL8" s="137"/>
      <c r="HLM8" s="137"/>
      <c r="HLN8" s="136"/>
      <c r="HLO8" s="344"/>
      <c r="HLP8" s="344"/>
      <c r="HLQ8" s="344"/>
      <c r="HLR8" s="344"/>
      <c r="HLS8" s="136"/>
      <c r="HLT8" s="137"/>
      <c r="HLU8" s="137"/>
      <c r="HLV8" s="136"/>
      <c r="HLW8" s="344"/>
      <c r="HLX8" s="344"/>
      <c r="HLY8" s="344"/>
      <c r="HLZ8" s="344"/>
      <c r="HMA8" s="136"/>
      <c r="HMB8" s="137"/>
      <c r="HMC8" s="137"/>
      <c r="HMD8" s="136"/>
      <c r="HME8" s="344"/>
      <c r="HMF8" s="344"/>
      <c r="HMG8" s="344"/>
      <c r="HMH8" s="344"/>
      <c r="HMI8" s="136"/>
      <c r="HMJ8" s="137"/>
      <c r="HMK8" s="137"/>
      <c r="HML8" s="136"/>
      <c r="HMM8" s="344"/>
      <c r="HMN8" s="344"/>
      <c r="HMO8" s="344"/>
      <c r="HMP8" s="344"/>
      <c r="HMQ8" s="136"/>
      <c r="HMR8" s="137"/>
      <c r="HMS8" s="137"/>
      <c r="HMT8" s="136"/>
      <c r="HMU8" s="344"/>
      <c r="HMV8" s="344"/>
      <c r="HMW8" s="344"/>
      <c r="HMX8" s="344"/>
      <c r="HMY8" s="136"/>
      <c r="HMZ8" s="137"/>
      <c r="HNA8" s="137"/>
      <c r="HNB8" s="136"/>
      <c r="HNC8" s="344"/>
      <c r="HND8" s="344"/>
      <c r="HNE8" s="344"/>
      <c r="HNF8" s="344"/>
      <c r="HNG8" s="136"/>
      <c r="HNH8" s="137"/>
      <c r="HNI8" s="137"/>
      <c r="HNJ8" s="136"/>
      <c r="HNK8" s="344"/>
      <c r="HNL8" s="344"/>
      <c r="HNM8" s="344"/>
      <c r="HNN8" s="344"/>
      <c r="HNO8" s="136"/>
      <c r="HNP8" s="137"/>
      <c r="HNQ8" s="137"/>
      <c r="HNR8" s="136"/>
      <c r="HNS8" s="344"/>
      <c r="HNT8" s="344"/>
      <c r="HNU8" s="344"/>
      <c r="HNV8" s="344"/>
      <c r="HNW8" s="136"/>
      <c r="HNX8" s="137"/>
      <c r="HNY8" s="137"/>
      <c r="HNZ8" s="136"/>
      <c r="HOA8" s="344"/>
      <c r="HOB8" s="344"/>
      <c r="HOC8" s="344"/>
      <c r="HOD8" s="344"/>
      <c r="HOE8" s="136"/>
      <c r="HOF8" s="137"/>
      <c r="HOG8" s="137"/>
      <c r="HOH8" s="136"/>
      <c r="HOI8" s="344"/>
      <c r="HOJ8" s="344"/>
      <c r="HOK8" s="344"/>
      <c r="HOL8" s="344"/>
      <c r="HOM8" s="136"/>
      <c r="HON8" s="137"/>
      <c r="HOO8" s="137"/>
      <c r="HOP8" s="136"/>
      <c r="HOQ8" s="344"/>
      <c r="HOR8" s="344"/>
      <c r="HOS8" s="344"/>
      <c r="HOT8" s="344"/>
      <c r="HOU8" s="136"/>
      <c r="HOV8" s="137"/>
      <c r="HOW8" s="137"/>
      <c r="HOX8" s="136"/>
      <c r="HOY8" s="344"/>
      <c r="HOZ8" s="344"/>
      <c r="HPA8" s="344"/>
      <c r="HPB8" s="344"/>
      <c r="HPC8" s="136"/>
      <c r="HPD8" s="137"/>
      <c r="HPE8" s="137"/>
      <c r="HPF8" s="136"/>
      <c r="HPG8" s="344"/>
      <c r="HPH8" s="344"/>
      <c r="HPI8" s="344"/>
      <c r="HPJ8" s="344"/>
      <c r="HPK8" s="136"/>
      <c r="HPL8" s="137"/>
      <c r="HPM8" s="137"/>
      <c r="HPN8" s="136"/>
      <c r="HPO8" s="344"/>
      <c r="HPP8" s="344"/>
      <c r="HPQ8" s="344"/>
      <c r="HPR8" s="344"/>
      <c r="HPS8" s="136"/>
      <c r="HPT8" s="137"/>
      <c r="HPU8" s="137"/>
      <c r="HPV8" s="136"/>
      <c r="HPW8" s="344"/>
      <c r="HPX8" s="344"/>
      <c r="HPY8" s="344"/>
      <c r="HPZ8" s="344"/>
      <c r="HQA8" s="136"/>
      <c r="HQB8" s="137"/>
      <c r="HQC8" s="137"/>
      <c r="HQD8" s="136"/>
      <c r="HQE8" s="344"/>
      <c r="HQF8" s="344"/>
      <c r="HQG8" s="344"/>
      <c r="HQH8" s="344"/>
      <c r="HQI8" s="136"/>
      <c r="HQJ8" s="137"/>
      <c r="HQK8" s="137"/>
      <c r="HQL8" s="136"/>
      <c r="HQM8" s="344"/>
      <c r="HQN8" s="344"/>
      <c r="HQO8" s="344"/>
      <c r="HQP8" s="344"/>
      <c r="HQQ8" s="136"/>
      <c r="HQR8" s="137"/>
      <c r="HQS8" s="137"/>
      <c r="HQT8" s="136"/>
      <c r="HQU8" s="344"/>
      <c r="HQV8" s="344"/>
      <c r="HQW8" s="344"/>
      <c r="HQX8" s="344"/>
      <c r="HQY8" s="136"/>
      <c r="HQZ8" s="137"/>
      <c r="HRA8" s="137"/>
      <c r="HRB8" s="136"/>
      <c r="HRC8" s="344"/>
      <c r="HRD8" s="344"/>
      <c r="HRE8" s="344"/>
      <c r="HRF8" s="344"/>
      <c r="HRG8" s="136"/>
      <c r="HRH8" s="137"/>
      <c r="HRI8" s="137"/>
      <c r="HRJ8" s="136"/>
      <c r="HRK8" s="344"/>
      <c r="HRL8" s="344"/>
      <c r="HRM8" s="344"/>
      <c r="HRN8" s="344"/>
      <c r="HRO8" s="136"/>
      <c r="HRP8" s="137"/>
      <c r="HRQ8" s="137"/>
      <c r="HRR8" s="136"/>
      <c r="HRS8" s="344"/>
      <c r="HRT8" s="344"/>
      <c r="HRU8" s="344"/>
      <c r="HRV8" s="344"/>
      <c r="HRW8" s="136"/>
      <c r="HRX8" s="137"/>
      <c r="HRY8" s="137"/>
      <c r="HRZ8" s="136"/>
      <c r="HSA8" s="344"/>
      <c r="HSB8" s="344"/>
      <c r="HSC8" s="344"/>
      <c r="HSD8" s="344"/>
      <c r="HSE8" s="136"/>
      <c r="HSF8" s="137"/>
      <c r="HSG8" s="137"/>
      <c r="HSH8" s="136"/>
      <c r="HSI8" s="344"/>
      <c r="HSJ8" s="344"/>
      <c r="HSK8" s="344"/>
      <c r="HSL8" s="344"/>
      <c r="HSM8" s="136"/>
      <c r="HSN8" s="137"/>
      <c r="HSO8" s="137"/>
      <c r="HSP8" s="136"/>
      <c r="HSQ8" s="344"/>
      <c r="HSR8" s="344"/>
      <c r="HSS8" s="344"/>
      <c r="HST8" s="344"/>
      <c r="HSU8" s="136"/>
      <c r="HSV8" s="137"/>
      <c r="HSW8" s="137"/>
      <c r="HSX8" s="136"/>
      <c r="HSY8" s="344"/>
      <c r="HSZ8" s="344"/>
      <c r="HTA8" s="344"/>
      <c r="HTB8" s="344"/>
      <c r="HTC8" s="136"/>
      <c r="HTD8" s="137"/>
      <c r="HTE8" s="137"/>
      <c r="HTF8" s="136"/>
      <c r="HTG8" s="344"/>
      <c r="HTH8" s="344"/>
      <c r="HTI8" s="344"/>
      <c r="HTJ8" s="344"/>
      <c r="HTK8" s="136"/>
      <c r="HTL8" s="137"/>
      <c r="HTM8" s="137"/>
      <c r="HTN8" s="136"/>
      <c r="HTO8" s="344"/>
      <c r="HTP8" s="344"/>
      <c r="HTQ8" s="344"/>
      <c r="HTR8" s="344"/>
      <c r="HTS8" s="136"/>
      <c r="HTT8" s="137"/>
      <c r="HTU8" s="137"/>
      <c r="HTV8" s="136"/>
      <c r="HTW8" s="344"/>
      <c r="HTX8" s="344"/>
      <c r="HTY8" s="344"/>
      <c r="HTZ8" s="344"/>
      <c r="HUA8" s="136"/>
      <c r="HUB8" s="137"/>
      <c r="HUC8" s="137"/>
      <c r="HUD8" s="136"/>
      <c r="HUE8" s="344"/>
      <c r="HUF8" s="344"/>
      <c r="HUG8" s="344"/>
      <c r="HUH8" s="344"/>
      <c r="HUI8" s="136"/>
      <c r="HUJ8" s="137"/>
      <c r="HUK8" s="137"/>
      <c r="HUL8" s="136"/>
      <c r="HUM8" s="344"/>
      <c r="HUN8" s="344"/>
      <c r="HUO8" s="344"/>
      <c r="HUP8" s="344"/>
      <c r="HUQ8" s="136"/>
      <c r="HUR8" s="137"/>
      <c r="HUS8" s="137"/>
      <c r="HUT8" s="136"/>
      <c r="HUU8" s="344"/>
      <c r="HUV8" s="344"/>
      <c r="HUW8" s="344"/>
      <c r="HUX8" s="344"/>
      <c r="HUY8" s="136"/>
      <c r="HUZ8" s="137"/>
      <c r="HVA8" s="137"/>
      <c r="HVB8" s="136"/>
      <c r="HVC8" s="344"/>
      <c r="HVD8" s="344"/>
      <c r="HVE8" s="344"/>
      <c r="HVF8" s="344"/>
      <c r="HVG8" s="136"/>
      <c r="HVH8" s="137"/>
      <c r="HVI8" s="137"/>
      <c r="HVJ8" s="136"/>
      <c r="HVK8" s="344"/>
      <c r="HVL8" s="344"/>
      <c r="HVM8" s="344"/>
      <c r="HVN8" s="344"/>
      <c r="HVO8" s="136"/>
      <c r="HVP8" s="137"/>
      <c r="HVQ8" s="137"/>
      <c r="HVR8" s="136"/>
      <c r="HVS8" s="344"/>
      <c r="HVT8" s="344"/>
      <c r="HVU8" s="344"/>
      <c r="HVV8" s="344"/>
      <c r="HVW8" s="136"/>
      <c r="HVX8" s="137"/>
      <c r="HVY8" s="137"/>
      <c r="HVZ8" s="136"/>
      <c r="HWA8" s="344"/>
      <c r="HWB8" s="344"/>
      <c r="HWC8" s="344"/>
      <c r="HWD8" s="344"/>
      <c r="HWE8" s="136"/>
      <c r="HWF8" s="137"/>
      <c r="HWG8" s="137"/>
      <c r="HWH8" s="136"/>
      <c r="HWI8" s="344"/>
      <c r="HWJ8" s="344"/>
      <c r="HWK8" s="344"/>
      <c r="HWL8" s="344"/>
      <c r="HWM8" s="136"/>
      <c r="HWN8" s="137"/>
      <c r="HWO8" s="137"/>
      <c r="HWP8" s="136"/>
      <c r="HWQ8" s="344"/>
      <c r="HWR8" s="344"/>
      <c r="HWS8" s="344"/>
      <c r="HWT8" s="344"/>
      <c r="HWU8" s="136"/>
      <c r="HWV8" s="137"/>
      <c r="HWW8" s="137"/>
      <c r="HWX8" s="136"/>
      <c r="HWY8" s="344"/>
      <c r="HWZ8" s="344"/>
      <c r="HXA8" s="344"/>
      <c r="HXB8" s="344"/>
      <c r="HXC8" s="136"/>
      <c r="HXD8" s="137"/>
      <c r="HXE8" s="137"/>
      <c r="HXF8" s="136"/>
      <c r="HXG8" s="344"/>
      <c r="HXH8" s="344"/>
      <c r="HXI8" s="344"/>
      <c r="HXJ8" s="344"/>
      <c r="HXK8" s="136"/>
      <c r="HXL8" s="137"/>
      <c r="HXM8" s="137"/>
      <c r="HXN8" s="136"/>
      <c r="HXO8" s="344"/>
      <c r="HXP8" s="344"/>
      <c r="HXQ8" s="344"/>
      <c r="HXR8" s="344"/>
      <c r="HXS8" s="136"/>
      <c r="HXT8" s="137"/>
      <c r="HXU8" s="137"/>
      <c r="HXV8" s="136"/>
      <c r="HXW8" s="344"/>
      <c r="HXX8" s="344"/>
      <c r="HXY8" s="344"/>
      <c r="HXZ8" s="344"/>
      <c r="HYA8" s="136"/>
      <c r="HYB8" s="137"/>
      <c r="HYC8" s="137"/>
      <c r="HYD8" s="136"/>
      <c r="HYE8" s="344"/>
      <c r="HYF8" s="344"/>
      <c r="HYG8" s="344"/>
      <c r="HYH8" s="344"/>
      <c r="HYI8" s="136"/>
      <c r="HYJ8" s="137"/>
      <c r="HYK8" s="137"/>
      <c r="HYL8" s="136"/>
      <c r="HYM8" s="344"/>
      <c r="HYN8" s="344"/>
      <c r="HYO8" s="344"/>
      <c r="HYP8" s="344"/>
      <c r="HYQ8" s="136"/>
      <c r="HYR8" s="137"/>
      <c r="HYS8" s="137"/>
      <c r="HYT8" s="136"/>
      <c r="HYU8" s="344"/>
      <c r="HYV8" s="344"/>
      <c r="HYW8" s="344"/>
      <c r="HYX8" s="344"/>
      <c r="HYY8" s="136"/>
      <c r="HYZ8" s="137"/>
      <c r="HZA8" s="137"/>
      <c r="HZB8" s="136"/>
      <c r="HZC8" s="344"/>
      <c r="HZD8" s="344"/>
      <c r="HZE8" s="344"/>
      <c r="HZF8" s="344"/>
      <c r="HZG8" s="136"/>
      <c r="HZH8" s="137"/>
      <c r="HZI8" s="137"/>
      <c r="HZJ8" s="136"/>
      <c r="HZK8" s="344"/>
      <c r="HZL8" s="344"/>
      <c r="HZM8" s="344"/>
      <c r="HZN8" s="344"/>
      <c r="HZO8" s="136"/>
      <c r="HZP8" s="137"/>
      <c r="HZQ8" s="137"/>
      <c r="HZR8" s="136"/>
      <c r="HZS8" s="344"/>
      <c r="HZT8" s="344"/>
      <c r="HZU8" s="344"/>
      <c r="HZV8" s="344"/>
      <c r="HZW8" s="136"/>
      <c r="HZX8" s="137"/>
      <c r="HZY8" s="137"/>
      <c r="HZZ8" s="136"/>
      <c r="IAA8" s="344"/>
      <c r="IAB8" s="344"/>
      <c r="IAC8" s="344"/>
      <c r="IAD8" s="344"/>
      <c r="IAE8" s="136"/>
      <c r="IAF8" s="137"/>
      <c r="IAG8" s="137"/>
      <c r="IAH8" s="136"/>
      <c r="IAI8" s="344"/>
      <c r="IAJ8" s="344"/>
      <c r="IAK8" s="344"/>
      <c r="IAL8" s="344"/>
      <c r="IAM8" s="136"/>
      <c r="IAN8" s="137"/>
      <c r="IAO8" s="137"/>
      <c r="IAP8" s="136"/>
      <c r="IAQ8" s="344"/>
      <c r="IAR8" s="344"/>
      <c r="IAS8" s="344"/>
      <c r="IAT8" s="344"/>
      <c r="IAU8" s="136"/>
      <c r="IAV8" s="137"/>
      <c r="IAW8" s="137"/>
      <c r="IAX8" s="136"/>
      <c r="IAY8" s="344"/>
      <c r="IAZ8" s="344"/>
      <c r="IBA8" s="344"/>
      <c r="IBB8" s="344"/>
      <c r="IBC8" s="136"/>
      <c r="IBD8" s="137"/>
      <c r="IBE8" s="137"/>
      <c r="IBF8" s="136"/>
      <c r="IBG8" s="344"/>
      <c r="IBH8" s="344"/>
      <c r="IBI8" s="344"/>
      <c r="IBJ8" s="344"/>
      <c r="IBK8" s="136"/>
      <c r="IBL8" s="137"/>
      <c r="IBM8" s="137"/>
      <c r="IBN8" s="136"/>
      <c r="IBO8" s="344"/>
      <c r="IBP8" s="344"/>
      <c r="IBQ8" s="344"/>
      <c r="IBR8" s="344"/>
      <c r="IBS8" s="136"/>
      <c r="IBT8" s="137"/>
      <c r="IBU8" s="137"/>
      <c r="IBV8" s="136"/>
      <c r="IBW8" s="344"/>
      <c r="IBX8" s="344"/>
      <c r="IBY8" s="344"/>
      <c r="IBZ8" s="344"/>
      <c r="ICA8" s="136"/>
      <c r="ICB8" s="137"/>
      <c r="ICC8" s="137"/>
      <c r="ICD8" s="136"/>
      <c r="ICE8" s="344"/>
      <c r="ICF8" s="344"/>
      <c r="ICG8" s="344"/>
      <c r="ICH8" s="344"/>
      <c r="ICI8" s="136"/>
      <c r="ICJ8" s="137"/>
      <c r="ICK8" s="137"/>
      <c r="ICL8" s="136"/>
      <c r="ICM8" s="344"/>
      <c r="ICN8" s="344"/>
      <c r="ICO8" s="344"/>
      <c r="ICP8" s="344"/>
      <c r="ICQ8" s="136"/>
      <c r="ICR8" s="137"/>
      <c r="ICS8" s="137"/>
      <c r="ICT8" s="136"/>
      <c r="ICU8" s="344"/>
      <c r="ICV8" s="344"/>
      <c r="ICW8" s="344"/>
      <c r="ICX8" s="344"/>
      <c r="ICY8" s="136"/>
      <c r="ICZ8" s="137"/>
      <c r="IDA8" s="137"/>
      <c r="IDB8" s="136"/>
      <c r="IDC8" s="344"/>
      <c r="IDD8" s="344"/>
      <c r="IDE8" s="344"/>
      <c r="IDF8" s="344"/>
      <c r="IDG8" s="136"/>
      <c r="IDH8" s="137"/>
      <c r="IDI8" s="137"/>
      <c r="IDJ8" s="136"/>
      <c r="IDK8" s="344"/>
      <c r="IDL8" s="344"/>
      <c r="IDM8" s="344"/>
      <c r="IDN8" s="344"/>
      <c r="IDO8" s="136"/>
      <c r="IDP8" s="137"/>
      <c r="IDQ8" s="137"/>
      <c r="IDR8" s="136"/>
      <c r="IDS8" s="344"/>
      <c r="IDT8" s="344"/>
      <c r="IDU8" s="344"/>
      <c r="IDV8" s="344"/>
      <c r="IDW8" s="136"/>
      <c r="IDX8" s="137"/>
      <c r="IDY8" s="137"/>
      <c r="IDZ8" s="136"/>
      <c r="IEA8" s="344"/>
      <c r="IEB8" s="344"/>
      <c r="IEC8" s="344"/>
      <c r="IED8" s="344"/>
      <c r="IEE8" s="136"/>
      <c r="IEF8" s="137"/>
      <c r="IEG8" s="137"/>
      <c r="IEH8" s="136"/>
      <c r="IEI8" s="344"/>
      <c r="IEJ8" s="344"/>
      <c r="IEK8" s="344"/>
      <c r="IEL8" s="344"/>
      <c r="IEM8" s="136"/>
      <c r="IEN8" s="137"/>
      <c r="IEO8" s="137"/>
      <c r="IEP8" s="136"/>
      <c r="IEQ8" s="344"/>
      <c r="IER8" s="344"/>
      <c r="IES8" s="344"/>
      <c r="IET8" s="344"/>
      <c r="IEU8" s="136"/>
      <c r="IEV8" s="137"/>
      <c r="IEW8" s="137"/>
      <c r="IEX8" s="136"/>
      <c r="IEY8" s="344"/>
      <c r="IEZ8" s="344"/>
      <c r="IFA8" s="344"/>
      <c r="IFB8" s="344"/>
      <c r="IFC8" s="136"/>
      <c r="IFD8" s="137"/>
      <c r="IFE8" s="137"/>
      <c r="IFF8" s="136"/>
      <c r="IFG8" s="344"/>
      <c r="IFH8" s="344"/>
      <c r="IFI8" s="344"/>
      <c r="IFJ8" s="344"/>
      <c r="IFK8" s="136"/>
      <c r="IFL8" s="137"/>
      <c r="IFM8" s="137"/>
      <c r="IFN8" s="136"/>
      <c r="IFO8" s="344"/>
      <c r="IFP8" s="344"/>
      <c r="IFQ8" s="344"/>
      <c r="IFR8" s="344"/>
      <c r="IFS8" s="136"/>
      <c r="IFT8" s="137"/>
      <c r="IFU8" s="137"/>
      <c r="IFV8" s="136"/>
      <c r="IFW8" s="344"/>
      <c r="IFX8" s="344"/>
      <c r="IFY8" s="344"/>
      <c r="IFZ8" s="344"/>
      <c r="IGA8" s="136"/>
      <c r="IGB8" s="137"/>
      <c r="IGC8" s="137"/>
      <c r="IGD8" s="136"/>
      <c r="IGE8" s="344"/>
      <c r="IGF8" s="344"/>
      <c r="IGG8" s="344"/>
      <c r="IGH8" s="344"/>
      <c r="IGI8" s="136"/>
      <c r="IGJ8" s="137"/>
      <c r="IGK8" s="137"/>
      <c r="IGL8" s="136"/>
      <c r="IGM8" s="344"/>
      <c r="IGN8" s="344"/>
      <c r="IGO8" s="344"/>
      <c r="IGP8" s="344"/>
      <c r="IGQ8" s="136"/>
      <c r="IGR8" s="137"/>
      <c r="IGS8" s="137"/>
      <c r="IGT8" s="136"/>
      <c r="IGU8" s="344"/>
      <c r="IGV8" s="344"/>
      <c r="IGW8" s="344"/>
      <c r="IGX8" s="344"/>
      <c r="IGY8" s="136"/>
      <c r="IGZ8" s="137"/>
      <c r="IHA8" s="137"/>
      <c r="IHB8" s="136"/>
      <c r="IHC8" s="344"/>
      <c r="IHD8" s="344"/>
      <c r="IHE8" s="344"/>
      <c r="IHF8" s="344"/>
      <c r="IHG8" s="136"/>
      <c r="IHH8" s="137"/>
      <c r="IHI8" s="137"/>
      <c r="IHJ8" s="136"/>
      <c r="IHK8" s="344"/>
      <c r="IHL8" s="344"/>
      <c r="IHM8" s="344"/>
      <c r="IHN8" s="344"/>
      <c r="IHO8" s="136"/>
      <c r="IHP8" s="137"/>
      <c r="IHQ8" s="137"/>
      <c r="IHR8" s="136"/>
      <c r="IHS8" s="344"/>
      <c r="IHT8" s="344"/>
      <c r="IHU8" s="344"/>
      <c r="IHV8" s="344"/>
      <c r="IHW8" s="136"/>
      <c r="IHX8" s="137"/>
      <c r="IHY8" s="137"/>
      <c r="IHZ8" s="136"/>
      <c r="IIA8" s="344"/>
      <c r="IIB8" s="344"/>
      <c r="IIC8" s="344"/>
      <c r="IID8" s="344"/>
      <c r="IIE8" s="136"/>
      <c r="IIF8" s="137"/>
      <c r="IIG8" s="137"/>
      <c r="IIH8" s="136"/>
      <c r="III8" s="344"/>
      <c r="IIJ8" s="344"/>
      <c r="IIK8" s="344"/>
      <c r="IIL8" s="344"/>
      <c r="IIM8" s="136"/>
      <c r="IIN8" s="137"/>
      <c r="IIO8" s="137"/>
      <c r="IIP8" s="136"/>
      <c r="IIQ8" s="344"/>
      <c r="IIR8" s="344"/>
      <c r="IIS8" s="344"/>
      <c r="IIT8" s="344"/>
      <c r="IIU8" s="136"/>
      <c r="IIV8" s="137"/>
      <c r="IIW8" s="137"/>
      <c r="IIX8" s="136"/>
      <c r="IIY8" s="344"/>
      <c r="IIZ8" s="344"/>
      <c r="IJA8" s="344"/>
      <c r="IJB8" s="344"/>
      <c r="IJC8" s="136"/>
      <c r="IJD8" s="137"/>
      <c r="IJE8" s="137"/>
      <c r="IJF8" s="136"/>
      <c r="IJG8" s="344"/>
      <c r="IJH8" s="344"/>
      <c r="IJI8" s="344"/>
      <c r="IJJ8" s="344"/>
      <c r="IJK8" s="136"/>
      <c r="IJL8" s="137"/>
      <c r="IJM8" s="137"/>
      <c r="IJN8" s="136"/>
      <c r="IJO8" s="344"/>
      <c r="IJP8" s="344"/>
      <c r="IJQ8" s="344"/>
      <c r="IJR8" s="344"/>
      <c r="IJS8" s="136"/>
      <c r="IJT8" s="137"/>
      <c r="IJU8" s="137"/>
      <c r="IJV8" s="136"/>
      <c r="IJW8" s="344"/>
      <c r="IJX8" s="344"/>
      <c r="IJY8" s="344"/>
      <c r="IJZ8" s="344"/>
      <c r="IKA8" s="136"/>
      <c r="IKB8" s="137"/>
      <c r="IKC8" s="137"/>
      <c r="IKD8" s="136"/>
      <c r="IKE8" s="344"/>
      <c r="IKF8" s="344"/>
      <c r="IKG8" s="344"/>
      <c r="IKH8" s="344"/>
      <c r="IKI8" s="136"/>
      <c r="IKJ8" s="137"/>
      <c r="IKK8" s="137"/>
      <c r="IKL8" s="136"/>
      <c r="IKM8" s="344"/>
      <c r="IKN8" s="344"/>
      <c r="IKO8" s="344"/>
      <c r="IKP8" s="344"/>
      <c r="IKQ8" s="136"/>
      <c r="IKR8" s="137"/>
      <c r="IKS8" s="137"/>
      <c r="IKT8" s="136"/>
      <c r="IKU8" s="344"/>
      <c r="IKV8" s="344"/>
      <c r="IKW8" s="344"/>
      <c r="IKX8" s="344"/>
      <c r="IKY8" s="136"/>
      <c r="IKZ8" s="137"/>
      <c r="ILA8" s="137"/>
      <c r="ILB8" s="136"/>
      <c r="ILC8" s="344"/>
      <c r="ILD8" s="344"/>
      <c r="ILE8" s="344"/>
      <c r="ILF8" s="344"/>
      <c r="ILG8" s="136"/>
      <c r="ILH8" s="137"/>
      <c r="ILI8" s="137"/>
      <c r="ILJ8" s="136"/>
      <c r="ILK8" s="344"/>
      <c r="ILL8" s="344"/>
      <c r="ILM8" s="344"/>
      <c r="ILN8" s="344"/>
      <c r="ILO8" s="136"/>
      <c r="ILP8" s="137"/>
      <c r="ILQ8" s="137"/>
      <c r="ILR8" s="136"/>
      <c r="ILS8" s="344"/>
      <c r="ILT8" s="344"/>
      <c r="ILU8" s="344"/>
      <c r="ILV8" s="344"/>
      <c r="ILW8" s="136"/>
      <c r="ILX8" s="137"/>
      <c r="ILY8" s="137"/>
      <c r="ILZ8" s="136"/>
      <c r="IMA8" s="344"/>
      <c r="IMB8" s="344"/>
      <c r="IMC8" s="344"/>
      <c r="IMD8" s="344"/>
      <c r="IME8" s="136"/>
      <c r="IMF8" s="137"/>
      <c r="IMG8" s="137"/>
      <c r="IMH8" s="136"/>
      <c r="IMI8" s="344"/>
      <c r="IMJ8" s="344"/>
      <c r="IMK8" s="344"/>
      <c r="IML8" s="344"/>
      <c r="IMM8" s="136"/>
      <c r="IMN8" s="137"/>
      <c r="IMO8" s="137"/>
      <c r="IMP8" s="136"/>
      <c r="IMQ8" s="344"/>
      <c r="IMR8" s="344"/>
      <c r="IMS8" s="344"/>
      <c r="IMT8" s="344"/>
      <c r="IMU8" s="136"/>
      <c r="IMV8" s="137"/>
      <c r="IMW8" s="137"/>
      <c r="IMX8" s="136"/>
      <c r="IMY8" s="344"/>
      <c r="IMZ8" s="344"/>
      <c r="INA8" s="344"/>
      <c r="INB8" s="344"/>
      <c r="INC8" s="136"/>
      <c r="IND8" s="137"/>
      <c r="INE8" s="137"/>
      <c r="INF8" s="136"/>
      <c r="ING8" s="344"/>
      <c r="INH8" s="344"/>
      <c r="INI8" s="344"/>
      <c r="INJ8" s="344"/>
      <c r="INK8" s="136"/>
      <c r="INL8" s="137"/>
      <c r="INM8" s="137"/>
      <c r="INN8" s="136"/>
      <c r="INO8" s="344"/>
      <c r="INP8" s="344"/>
      <c r="INQ8" s="344"/>
      <c r="INR8" s="344"/>
      <c r="INS8" s="136"/>
      <c r="INT8" s="137"/>
      <c r="INU8" s="137"/>
      <c r="INV8" s="136"/>
      <c r="INW8" s="344"/>
      <c r="INX8" s="344"/>
      <c r="INY8" s="344"/>
      <c r="INZ8" s="344"/>
      <c r="IOA8" s="136"/>
      <c r="IOB8" s="137"/>
      <c r="IOC8" s="137"/>
      <c r="IOD8" s="136"/>
      <c r="IOE8" s="344"/>
      <c r="IOF8" s="344"/>
      <c r="IOG8" s="344"/>
      <c r="IOH8" s="344"/>
      <c r="IOI8" s="136"/>
      <c r="IOJ8" s="137"/>
      <c r="IOK8" s="137"/>
      <c r="IOL8" s="136"/>
      <c r="IOM8" s="344"/>
      <c r="ION8" s="344"/>
      <c r="IOO8" s="344"/>
      <c r="IOP8" s="344"/>
      <c r="IOQ8" s="136"/>
      <c r="IOR8" s="137"/>
      <c r="IOS8" s="137"/>
      <c r="IOT8" s="136"/>
      <c r="IOU8" s="344"/>
      <c r="IOV8" s="344"/>
      <c r="IOW8" s="344"/>
      <c r="IOX8" s="344"/>
      <c r="IOY8" s="136"/>
      <c r="IOZ8" s="137"/>
      <c r="IPA8" s="137"/>
      <c r="IPB8" s="136"/>
      <c r="IPC8" s="344"/>
      <c r="IPD8" s="344"/>
      <c r="IPE8" s="344"/>
      <c r="IPF8" s="344"/>
      <c r="IPG8" s="136"/>
      <c r="IPH8" s="137"/>
      <c r="IPI8" s="137"/>
      <c r="IPJ8" s="136"/>
      <c r="IPK8" s="344"/>
      <c r="IPL8" s="344"/>
      <c r="IPM8" s="344"/>
      <c r="IPN8" s="344"/>
      <c r="IPO8" s="136"/>
      <c r="IPP8" s="137"/>
      <c r="IPQ8" s="137"/>
      <c r="IPR8" s="136"/>
      <c r="IPS8" s="344"/>
      <c r="IPT8" s="344"/>
      <c r="IPU8" s="344"/>
      <c r="IPV8" s="344"/>
      <c r="IPW8" s="136"/>
      <c r="IPX8" s="137"/>
      <c r="IPY8" s="137"/>
      <c r="IPZ8" s="136"/>
      <c r="IQA8" s="344"/>
      <c r="IQB8" s="344"/>
      <c r="IQC8" s="344"/>
      <c r="IQD8" s="344"/>
      <c r="IQE8" s="136"/>
      <c r="IQF8" s="137"/>
      <c r="IQG8" s="137"/>
      <c r="IQH8" s="136"/>
      <c r="IQI8" s="344"/>
      <c r="IQJ8" s="344"/>
      <c r="IQK8" s="344"/>
      <c r="IQL8" s="344"/>
      <c r="IQM8" s="136"/>
      <c r="IQN8" s="137"/>
      <c r="IQO8" s="137"/>
      <c r="IQP8" s="136"/>
      <c r="IQQ8" s="344"/>
      <c r="IQR8" s="344"/>
      <c r="IQS8" s="344"/>
      <c r="IQT8" s="344"/>
      <c r="IQU8" s="136"/>
      <c r="IQV8" s="137"/>
      <c r="IQW8" s="137"/>
      <c r="IQX8" s="136"/>
      <c r="IQY8" s="344"/>
      <c r="IQZ8" s="344"/>
      <c r="IRA8" s="344"/>
      <c r="IRB8" s="344"/>
      <c r="IRC8" s="136"/>
      <c r="IRD8" s="137"/>
      <c r="IRE8" s="137"/>
      <c r="IRF8" s="136"/>
      <c r="IRG8" s="344"/>
      <c r="IRH8" s="344"/>
      <c r="IRI8" s="344"/>
      <c r="IRJ8" s="344"/>
      <c r="IRK8" s="136"/>
      <c r="IRL8" s="137"/>
      <c r="IRM8" s="137"/>
      <c r="IRN8" s="136"/>
      <c r="IRO8" s="344"/>
      <c r="IRP8" s="344"/>
      <c r="IRQ8" s="344"/>
      <c r="IRR8" s="344"/>
      <c r="IRS8" s="136"/>
      <c r="IRT8" s="137"/>
      <c r="IRU8" s="137"/>
      <c r="IRV8" s="136"/>
      <c r="IRW8" s="344"/>
      <c r="IRX8" s="344"/>
      <c r="IRY8" s="344"/>
      <c r="IRZ8" s="344"/>
      <c r="ISA8" s="136"/>
      <c r="ISB8" s="137"/>
      <c r="ISC8" s="137"/>
      <c r="ISD8" s="136"/>
      <c r="ISE8" s="344"/>
      <c r="ISF8" s="344"/>
      <c r="ISG8" s="344"/>
      <c r="ISH8" s="344"/>
      <c r="ISI8" s="136"/>
      <c r="ISJ8" s="137"/>
      <c r="ISK8" s="137"/>
      <c r="ISL8" s="136"/>
      <c r="ISM8" s="344"/>
      <c r="ISN8" s="344"/>
      <c r="ISO8" s="344"/>
      <c r="ISP8" s="344"/>
      <c r="ISQ8" s="136"/>
      <c r="ISR8" s="137"/>
      <c r="ISS8" s="137"/>
      <c r="IST8" s="136"/>
      <c r="ISU8" s="344"/>
      <c r="ISV8" s="344"/>
      <c r="ISW8" s="344"/>
      <c r="ISX8" s="344"/>
      <c r="ISY8" s="136"/>
      <c r="ISZ8" s="137"/>
      <c r="ITA8" s="137"/>
      <c r="ITB8" s="136"/>
      <c r="ITC8" s="344"/>
      <c r="ITD8" s="344"/>
      <c r="ITE8" s="344"/>
      <c r="ITF8" s="344"/>
      <c r="ITG8" s="136"/>
      <c r="ITH8" s="137"/>
      <c r="ITI8" s="137"/>
      <c r="ITJ8" s="136"/>
      <c r="ITK8" s="344"/>
      <c r="ITL8" s="344"/>
      <c r="ITM8" s="344"/>
      <c r="ITN8" s="344"/>
      <c r="ITO8" s="136"/>
      <c r="ITP8" s="137"/>
      <c r="ITQ8" s="137"/>
      <c r="ITR8" s="136"/>
      <c r="ITS8" s="344"/>
      <c r="ITT8" s="344"/>
      <c r="ITU8" s="344"/>
      <c r="ITV8" s="344"/>
      <c r="ITW8" s="136"/>
      <c r="ITX8" s="137"/>
      <c r="ITY8" s="137"/>
      <c r="ITZ8" s="136"/>
      <c r="IUA8" s="344"/>
      <c r="IUB8" s="344"/>
      <c r="IUC8" s="344"/>
      <c r="IUD8" s="344"/>
      <c r="IUE8" s="136"/>
      <c r="IUF8" s="137"/>
      <c r="IUG8" s="137"/>
      <c r="IUH8" s="136"/>
      <c r="IUI8" s="344"/>
      <c r="IUJ8" s="344"/>
      <c r="IUK8" s="344"/>
      <c r="IUL8" s="344"/>
      <c r="IUM8" s="136"/>
      <c r="IUN8" s="137"/>
      <c r="IUO8" s="137"/>
      <c r="IUP8" s="136"/>
      <c r="IUQ8" s="344"/>
      <c r="IUR8" s="344"/>
      <c r="IUS8" s="344"/>
      <c r="IUT8" s="344"/>
      <c r="IUU8" s="136"/>
      <c r="IUV8" s="137"/>
      <c r="IUW8" s="137"/>
      <c r="IUX8" s="136"/>
      <c r="IUY8" s="344"/>
      <c r="IUZ8" s="344"/>
      <c r="IVA8" s="344"/>
      <c r="IVB8" s="344"/>
      <c r="IVC8" s="136"/>
      <c r="IVD8" s="137"/>
      <c r="IVE8" s="137"/>
      <c r="IVF8" s="136"/>
      <c r="IVG8" s="344"/>
      <c r="IVH8" s="344"/>
      <c r="IVI8" s="344"/>
      <c r="IVJ8" s="344"/>
      <c r="IVK8" s="136"/>
      <c r="IVL8" s="137"/>
      <c r="IVM8" s="137"/>
      <c r="IVN8" s="136"/>
      <c r="IVO8" s="344"/>
      <c r="IVP8" s="344"/>
      <c r="IVQ8" s="344"/>
      <c r="IVR8" s="344"/>
      <c r="IVS8" s="136"/>
      <c r="IVT8" s="137"/>
      <c r="IVU8" s="137"/>
      <c r="IVV8" s="136"/>
      <c r="IVW8" s="344"/>
      <c r="IVX8" s="344"/>
      <c r="IVY8" s="344"/>
      <c r="IVZ8" s="344"/>
      <c r="IWA8" s="136"/>
      <c r="IWB8" s="137"/>
      <c r="IWC8" s="137"/>
      <c r="IWD8" s="136"/>
      <c r="IWE8" s="344"/>
      <c r="IWF8" s="344"/>
      <c r="IWG8" s="344"/>
      <c r="IWH8" s="344"/>
      <c r="IWI8" s="136"/>
      <c r="IWJ8" s="137"/>
      <c r="IWK8" s="137"/>
      <c r="IWL8" s="136"/>
      <c r="IWM8" s="344"/>
      <c r="IWN8" s="344"/>
      <c r="IWO8" s="344"/>
      <c r="IWP8" s="344"/>
      <c r="IWQ8" s="136"/>
      <c r="IWR8" s="137"/>
      <c r="IWS8" s="137"/>
      <c r="IWT8" s="136"/>
      <c r="IWU8" s="344"/>
      <c r="IWV8" s="344"/>
      <c r="IWW8" s="344"/>
      <c r="IWX8" s="344"/>
      <c r="IWY8" s="136"/>
      <c r="IWZ8" s="137"/>
      <c r="IXA8" s="137"/>
      <c r="IXB8" s="136"/>
      <c r="IXC8" s="344"/>
      <c r="IXD8" s="344"/>
      <c r="IXE8" s="344"/>
      <c r="IXF8" s="344"/>
      <c r="IXG8" s="136"/>
      <c r="IXH8" s="137"/>
      <c r="IXI8" s="137"/>
      <c r="IXJ8" s="136"/>
      <c r="IXK8" s="344"/>
      <c r="IXL8" s="344"/>
      <c r="IXM8" s="344"/>
      <c r="IXN8" s="344"/>
      <c r="IXO8" s="136"/>
      <c r="IXP8" s="137"/>
      <c r="IXQ8" s="137"/>
      <c r="IXR8" s="136"/>
      <c r="IXS8" s="344"/>
      <c r="IXT8" s="344"/>
      <c r="IXU8" s="344"/>
      <c r="IXV8" s="344"/>
      <c r="IXW8" s="136"/>
      <c r="IXX8" s="137"/>
      <c r="IXY8" s="137"/>
      <c r="IXZ8" s="136"/>
      <c r="IYA8" s="344"/>
      <c r="IYB8" s="344"/>
      <c r="IYC8" s="344"/>
      <c r="IYD8" s="344"/>
      <c r="IYE8" s="136"/>
      <c r="IYF8" s="137"/>
      <c r="IYG8" s="137"/>
      <c r="IYH8" s="136"/>
      <c r="IYI8" s="344"/>
      <c r="IYJ8" s="344"/>
      <c r="IYK8" s="344"/>
      <c r="IYL8" s="344"/>
      <c r="IYM8" s="136"/>
      <c r="IYN8" s="137"/>
      <c r="IYO8" s="137"/>
      <c r="IYP8" s="136"/>
      <c r="IYQ8" s="344"/>
      <c r="IYR8" s="344"/>
      <c r="IYS8" s="344"/>
      <c r="IYT8" s="344"/>
      <c r="IYU8" s="136"/>
      <c r="IYV8" s="137"/>
      <c r="IYW8" s="137"/>
      <c r="IYX8" s="136"/>
      <c r="IYY8" s="344"/>
      <c r="IYZ8" s="344"/>
      <c r="IZA8" s="344"/>
      <c r="IZB8" s="344"/>
      <c r="IZC8" s="136"/>
      <c r="IZD8" s="137"/>
      <c r="IZE8" s="137"/>
      <c r="IZF8" s="136"/>
      <c r="IZG8" s="344"/>
      <c r="IZH8" s="344"/>
      <c r="IZI8" s="344"/>
      <c r="IZJ8" s="344"/>
      <c r="IZK8" s="136"/>
      <c r="IZL8" s="137"/>
      <c r="IZM8" s="137"/>
      <c r="IZN8" s="136"/>
      <c r="IZO8" s="344"/>
      <c r="IZP8" s="344"/>
      <c r="IZQ8" s="344"/>
      <c r="IZR8" s="344"/>
      <c r="IZS8" s="136"/>
      <c r="IZT8" s="137"/>
      <c r="IZU8" s="137"/>
      <c r="IZV8" s="136"/>
      <c r="IZW8" s="344"/>
      <c r="IZX8" s="344"/>
      <c r="IZY8" s="344"/>
      <c r="IZZ8" s="344"/>
      <c r="JAA8" s="136"/>
      <c r="JAB8" s="137"/>
      <c r="JAC8" s="137"/>
      <c r="JAD8" s="136"/>
      <c r="JAE8" s="344"/>
      <c r="JAF8" s="344"/>
      <c r="JAG8" s="344"/>
      <c r="JAH8" s="344"/>
      <c r="JAI8" s="136"/>
      <c r="JAJ8" s="137"/>
      <c r="JAK8" s="137"/>
      <c r="JAL8" s="136"/>
      <c r="JAM8" s="344"/>
      <c r="JAN8" s="344"/>
      <c r="JAO8" s="344"/>
      <c r="JAP8" s="344"/>
      <c r="JAQ8" s="136"/>
      <c r="JAR8" s="137"/>
      <c r="JAS8" s="137"/>
      <c r="JAT8" s="136"/>
      <c r="JAU8" s="344"/>
      <c r="JAV8" s="344"/>
      <c r="JAW8" s="344"/>
      <c r="JAX8" s="344"/>
      <c r="JAY8" s="136"/>
      <c r="JAZ8" s="137"/>
      <c r="JBA8" s="137"/>
      <c r="JBB8" s="136"/>
      <c r="JBC8" s="344"/>
      <c r="JBD8" s="344"/>
      <c r="JBE8" s="344"/>
      <c r="JBF8" s="344"/>
      <c r="JBG8" s="136"/>
      <c r="JBH8" s="137"/>
      <c r="JBI8" s="137"/>
      <c r="JBJ8" s="136"/>
      <c r="JBK8" s="344"/>
      <c r="JBL8" s="344"/>
      <c r="JBM8" s="344"/>
      <c r="JBN8" s="344"/>
      <c r="JBO8" s="136"/>
      <c r="JBP8" s="137"/>
      <c r="JBQ8" s="137"/>
      <c r="JBR8" s="136"/>
      <c r="JBS8" s="344"/>
      <c r="JBT8" s="344"/>
      <c r="JBU8" s="344"/>
      <c r="JBV8" s="344"/>
      <c r="JBW8" s="136"/>
      <c r="JBX8" s="137"/>
      <c r="JBY8" s="137"/>
      <c r="JBZ8" s="136"/>
      <c r="JCA8" s="344"/>
      <c r="JCB8" s="344"/>
      <c r="JCC8" s="344"/>
      <c r="JCD8" s="344"/>
      <c r="JCE8" s="136"/>
      <c r="JCF8" s="137"/>
      <c r="JCG8" s="137"/>
      <c r="JCH8" s="136"/>
      <c r="JCI8" s="344"/>
      <c r="JCJ8" s="344"/>
      <c r="JCK8" s="344"/>
      <c r="JCL8" s="344"/>
      <c r="JCM8" s="136"/>
      <c r="JCN8" s="137"/>
      <c r="JCO8" s="137"/>
      <c r="JCP8" s="136"/>
      <c r="JCQ8" s="344"/>
      <c r="JCR8" s="344"/>
      <c r="JCS8" s="344"/>
      <c r="JCT8" s="344"/>
      <c r="JCU8" s="136"/>
      <c r="JCV8" s="137"/>
      <c r="JCW8" s="137"/>
      <c r="JCX8" s="136"/>
      <c r="JCY8" s="344"/>
      <c r="JCZ8" s="344"/>
      <c r="JDA8" s="344"/>
      <c r="JDB8" s="344"/>
      <c r="JDC8" s="136"/>
      <c r="JDD8" s="137"/>
      <c r="JDE8" s="137"/>
      <c r="JDF8" s="136"/>
      <c r="JDG8" s="344"/>
      <c r="JDH8" s="344"/>
      <c r="JDI8" s="344"/>
      <c r="JDJ8" s="344"/>
      <c r="JDK8" s="136"/>
      <c r="JDL8" s="137"/>
      <c r="JDM8" s="137"/>
      <c r="JDN8" s="136"/>
      <c r="JDO8" s="344"/>
      <c r="JDP8" s="344"/>
      <c r="JDQ8" s="344"/>
      <c r="JDR8" s="344"/>
      <c r="JDS8" s="136"/>
      <c r="JDT8" s="137"/>
      <c r="JDU8" s="137"/>
      <c r="JDV8" s="136"/>
      <c r="JDW8" s="344"/>
      <c r="JDX8" s="344"/>
      <c r="JDY8" s="344"/>
      <c r="JDZ8" s="344"/>
      <c r="JEA8" s="136"/>
      <c r="JEB8" s="137"/>
      <c r="JEC8" s="137"/>
      <c r="JED8" s="136"/>
      <c r="JEE8" s="344"/>
      <c r="JEF8" s="344"/>
      <c r="JEG8" s="344"/>
      <c r="JEH8" s="344"/>
      <c r="JEI8" s="136"/>
      <c r="JEJ8" s="137"/>
      <c r="JEK8" s="137"/>
      <c r="JEL8" s="136"/>
      <c r="JEM8" s="344"/>
      <c r="JEN8" s="344"/>
      <c r="JEO8" s="344"/>
      <c r="JEP8" s="344"/>
      <c r="JEQ8" s="136"/>
      <c r="JER8" s="137"/>
      <c r="JES8" s="137"/>
      <c r="JET8" s="136"/>
      <c r="JEU8" s="344"/>
      <c r="JEV8" s="344"/>
      <c r="JEW8" s="344"/>
      <c r="JEX8" s="344"/>
      <c r="JEY8" s="136"/>
      <c r="JEZ8" s="137"/>
      <c r="JFA8" s="137"/>
      <c r="JFB8" s="136"/>
      <c r="JFC8" s="344"/>
      <c r="JFD8" s="344"/>
      <c r="JFE8" s="344"/>
      <c r="JFF8" s="344"/>
      <c r="JFG8" s="136"/>
      <c r="JFH8" s="137"/>
      <c r="JFI8" s="137"/>
      <c r="JFJ8" s="136"/>
      <c r="JFK8" s="344"/>
      <c r="JFL8" s="344"/>
      <c r="JFM8" s="344"/>
      <c r="JFN8" s="344"/>
      <c r="JFO8" s="136"/>
      <c r="JFP8" s="137"/>
      <c r="JFQ8" s="137"/>
      <c r="JFR8" s="136"/>
      <c r="JFS8" s="344"/>
      <c r="JFT8" s="344"/>
      <c r="JFU8" s="344"/>
      <c r="JFV8" s="344"/>
      <c r="JFW8" s="136"/>
      <c r="JFX8" s="137"/>
      <c r="JFY8" s="137"/>
      <c r="JFZ8" s="136"/>
      <c r="JGA8" s="344"/>
      <c r="JGB8" s="344"/>
      <c r="JGC8" s="344"/>
      <c r="JGD8" s="344"/>
      <c r="JGE8" s="136"/>
      <c r="JGF8" s="137"/>
      <c r="JGG8" s="137"/>
      <c r="JGH8" s="136"/>
      <c r="JGI8" s="344"/>
      <c r="JGJ8" s="344"/>
      <c r="JGK8" s="344"/>
      <c r="JGL8" s="344"/>
      <c r="JGM8" s="136"/>
      <c r="JGN8" s="137"/>
      <c r="JGO8" s="137"/>
      <c r="JGP8" s="136"/>
      <c r="JGQ8" s="344"/>
      <c r="JGR8" s="344"/>
      <c r="JGS8" s="344"/>
      <c r="JGT8" s="344"/>
      <c r="JGU8" s="136"/>
      <c r="JGV8" s="137"/>
      <c r="JGW8" s="137"/>
      <c r="JGX8" s="136"/>
      <c r="JGY8" s="344"/>
      <c r="JGZ8" s="344"/>
      <c r="JHA8" s="344"/>
      <c r="JHB8" s="344"/>
      <c r="JHC8" s="136"/>
      <c r="JHD8" s="137"/>
      <c r="JHE8" s="137"/>
      <c r="JHF8" s="136"/>
      <c r="JHG8" s="344"/>
      <c r="JHH8" s="344"/>
      <c r="JHI8" s="344"/>
      <c r="JHJ8" s="344"/>
      <c r="JHK8" s="136"/>
      <c r="JHL8" s="137"/>
      <c r="JHM8" s="137"/>
      <c r="JHN8" s="136"/>
      <c r="JHO8" s="344"/>
      <c r="JHP8" s="344"/>
      <c r="JHQ8" s="344"/>
      <c r="JHR8" s="344"/>
      <c r="JHS8" s="136"/>
      <c r="JHT8" s="137"/>
      <c r="JHU8" s="137"/>
      <c r="JHV8" s="136"/>
      <c r="JHW8" s="344"/>
      <c r="JHX8" s="344"/>
      <c r="JHY8" s="344"/>
      <c r="JHZ8" s="344"/>
      <c r="JIA8" s="136"/>
      <c r="JIB8" s="137"/>
      <c r="JIC8" s="137"/>
      <c r="JID8" s="136"/>
      <c r="JIE8" s="344"/>
      <c r="JIF8" s="344"/>
      <c r="JIG8" s="344"/>
      <c r="JIH8" s="344"/>
      <c r="JII8" s="136"/>
      <c r="JIJ8" s="137"/>
      <c r="JIK8" s="137"/>
      <c r="JIL8" s="136"/>
      <c r="JIM8" s="344"/>
      <c r="JIN8" s="344"/>
      <c r="JIO8" s="344"/>
      <c r="JIP8" s="344"/>
      <c r="JIQ8" s="136"/>
      <c r="JIR8" s="137"/>
      <c r="JIS8" s="137"/>
      <c r="JIT8" s="136"/>
      <c r="JIU8" s="344"/>
      <c r="JIV8" s="344"/>
      <c r="JIW8" s="344"/>
      <c r="JIX8" s="344"/>
      <c r="JIY8" s="136"/>
      <c r="JIZ8" s="137"/>
      <c r="JJA8" s="137"/>
      <c r="JJB8" s="136"/>
      <c r="JJC8" s="344"/>
      <c r="JJD8" s="344"/>
      <c r="JJE8" s="344"/>
      <c r="JJF8" s="344"/>
      <c r="JJG8" s="136"/>
      <c r="JJH8" s="137"/>
      <c r="JJI8" s="137"/>
      <c r="JJJ8" s="136"/>
      <c r="JJK8" s="344"/>
      <c r="JJL8" s="344"/>
      <c r="JJM8" s="344"/>
      <c r="JJN8" s="344"/>
      <c r="JJO8" s="136"/>
      <c r="JJP8" s="137"/>
      <c r="JJQ8" s="137"/>
      <c r="JJR8" s="136"/>
      <c r="JJS8" s="344"/>
      <c r="JJT8" s="344"/>
      <c r="JJU8" s="344"/>
      <c r="JJV8" s="344"/>
      <c r="JJW8" s="136"/>
      <c r="JJX8" s="137"/>
      <c r="JJY8" s="137"/>
      <c r="JJZ8" s="136"/>
      <c r="JKA8" s="344"/>
      <c r="JKB8" s="344"/>
      <c r="JKC8" s="344"/>
      <c r="JKD8" s="344"/>
      <c r="JKE8" s="136"/>
      <c r="JKF8" s="137"/>
      <c r="JKG8" s="137"/>
      <c r="JKH8" s="136"/>
      <c r="JKI8" s="344"/>
      <c r="JKJ8" s="344"/>
      <c r="JKK8" s="344"/>
      <c r="JKL8" s="344"/>
      <c r="JKM8" s="136"/>
      <c r="JKN8" s="137"/>
      <c r="JKO8" s="137"/>
      <c r="JKP8" s="136"/>
      <c r="JKQ8" s="344"/>
      <c r="JKR8" s="344"/>
      <c r="JKS8" s="344"/>
      <c r="JKT8" s="344"/>
      <c r="JKU8" s="136"/>
      <c r="JKV8" s="137"/>
      <c r="JKW8" s="137"/>
      <c r="JKX8" s="136"/>
      <c r="JKY8" s="344"/>
      <c r="JKZ8" s="344"/>
      <c r="JLA8" s="344"/>
      <c r="JLB8" s="344"/>
      <c r="JLC8" s="136"/>
      <c r="JLD8" s="137"/>
      <c r="JLE8" s="137"/>
      <c r="JLF8" s="136"/>
      <c r="JLG8" s="344"/>
      <c r="JLH8" s="344"/>
      <c r="JLI8" s="344"/>
      <c r="JLJ8" s="344"/>
      <c r="JLK8" s="136"/>
      <c r="JLL8" s="137"/>
      <c r="JLM8" s="137"/>
      <c r="JLN8" s="136"/>
      <c r="JLO8" s="344"/>
      <c r="JLP8" s="344"/>
      <c r="JLQ8" s="344"/>
      <c r="JLR8" s="344"/>
      <c r="JLS8" s="136"/>
      <c r="JLT8" s="137"/>
      <c r="JLU8" s="137"/>
      <c r="JLV8" s="136"/>
      <c r="JLW8" s="344"/>
      <c r="JLX8" s="344"/>
      <c r="JLY8" s="344"/>
      <c r="JLZ8" s="344"/>
      <c r="JMA8" s="136"/>
      <c r="JMB8" s="137"/>
      <c r="JMC8" s="137"/>
      <c r="JMD8" s="136"/>
      <c r="JME8" s="344"/>
      <c r="JMF8" s="344"/>
      <c r="JMG8" s="344"/>
      <c r="JMH8" s="344"/>
      <c r="JMI8" s="136"/>
      <c r="JMJ8" s="137"/>
      <c r="JMK8" s="137"/>
      <c r="JML8" s="136"/>
      <c r="JMM8" s="344"/>
      <c r="JMN8" s="344"/>
      <c r="JMO8" s="344"/>
      <c r="JMP8" s="344"/>
      <c r="JMQ8" s="136"/>
      <c r="JMR8" s="137"/>
      <c r="JMS8" s="137"/>
      <c r="JMT8" s="136"/>
      <c r="JMU8" s="344"/>
      <c r="JMV8" s="344"/>
      <c r="JMW8" s="344"/>
      <c r="JMX8" s="344"/>
      <c r="JMY8" s="136"/>
      <c r="JMZ8" s="137"/>
      <c r="JNA8" s="137"/>
      <c r="JNB8" s="136"/>
      <c r="JNC8" s="344"/>
      <c r="JND8" s="344"/>
      <c r="JNE8" s="344"/>
      <c r="JNF8" s="344"/>
      <c r="JNG8" s="136"/>
      <c r="JNH8" s="137"/>
      <c r="JNI8" s="137"/>
      <c r="JNJ8" s="136"/>
      <c r="JNK8" s="344"/>
      <c r="JNL8" s="344"/>
      <c r="JNM8" s="344"/>
      <c r="JNN8" s="344"/>
      <c r="JNO8" s="136"/>
      <c r="JNP8" s="137"/>
      <c r="JNQ8" s="137"/>
      <c r="JNR8" s="136"/>
      <c r="JNS8" s="344"/>
      <c r="JNT8" s="344"/>
      <c r="JNU8" s="344"/>
      <c r="JNV8" s="344"/>
      <c r="JNW8" s="136"/>
      <c r="JNX8" s="137"/>
      <c r="JNY8" s="137"/>
      <c r="JNZ8" s="136"/>
      <c r="JOA8" s="344"/>
      <c r="JOB8" s="344"/>
      <c r="JOC8" s="344"/>
      <c r="JOD8" s="344"/>
      <c r="JOE8" s="136"/>
      <c r="JOF8" s="137"/>
      <c r="JOG8" s="137"/>
      <c r="JOH8" s="136"/>
      <c r="JOI8" s="344"/>
      <c r="JOJ8" s="344"/>
      <c r="JOK8" s="344"/>
      <c r="JOL8" s="344"/>
      <c r="JOM8" s="136"/>
      <c r="JON8" s="137"/>
      <c r="JOO8" s="137"/>
      <c r="JOP8" s="136"/>
      <c r="JOQ8" s="344"/>
      <c r="JOR8" s="344"/>
      <c r="JOS8" s="344"/>
      <c r="JOT8" s="344"/>
      <c r="JOU8" s="136"/>
      <c r="JOV8" s="137"/>
      <c r="JOW8" s="137"/>
      <c r="JOX8" s="136"/>
      <c r="JOY8" s="344"/>
      <c r="JOZ8" s="344"/>
      <c r="JPA8" s="344"/>
      <c r="JPB8" s="344"/>
      <c r="JPC8" s="136"/>
      <c r="JPD8" s="137"/>
      <c r="JPE8" s="137"/>
      <c r="JPF8" s="136"/>
      <c r="JPG8" s="344"/>
      <c r="JPH8" s="344"/>
      <c r="JPI8" s="344"/>
      <c r="JPJ8" s="344"/>
      <c r="JPK8" s="136"/>
      <c r="JPL8" s="137"/>
      <c r="JPM8" s="137"/>
      <c r="JPN8" s="136"/>
      <c r="JPO8" s="344"/>
      <c r="JPP8" s="344"/>
      <c r="JPQ8" s="344"/>
      <c r="JPR8" s="344"/>
      <c r="JPS8" s="136"/>
      <c r="JPT8" s="137"/>
      <c r="JPU8" s="137"/>
      <c r="JPV8" s="136"/>
      <c r="JPW8" s="344"/>
      <c r="JPX8" s="344"/>
      <c r="JPY8" s="344"/>
      <c r="JPZ8" s="344"/>
      <c r="JQA8" s="136"/>
      <c r="JQB8" s="137"/>
      <c r="JQC8" s="137"/>
      <c r="JQD8" s="136"/>
      <c r="JQE8" s="344"/>
      <c r="JQF8" s="344"/>
      <c r="JQG8" s="344"/>
      <c r="JQH8" s="344"/>
      <c r="JQI8" s="136"/>
      <c r="JQJ8" s="137"/>
      <c r="JQK8" s="137"/>
      <c r="JQL8" s="136"/>
      <c r="JQM8" s="344"/>
      <c r="JQN8" s="344"/>
      <c r="JQO8" s="344"/>
      <c r="JQP8" s="344"/>
      <c r="JQQ8" s="136"/>
      <c r="JQR8" s="137"/>
      <c r="JQS8" s="137"/>
      <c r="JQT8" s="136"/>
      <c r="JQU8" s="344"/>
      <c r="JQV8" s="344"/>
      <c r="JQW8" s="344"/>
      <c r="JQX8" s="344"/>
      <c r="JQY8" s="136"/>
      <c r="JQZ8" s="137"/>
      <c r="JRA8" s="137"/>
      <c r="JRB8" s="136"/>
      <c r="JRC8" s="344"/>
      <c r="JRD8" s="344"/>
      <c r="JRE8" s="344"/>
      <c r="JRF8" s="344"/>
      <c r="JRG8" s="136"/>
      <c r="JRH8" s="137"/>
      <c r="JRI8" s="137"/>
      <c r="JRJ8" s="136"/>
      <c r="JRK8" s="344"/>
      <c r="JRL8" s="344"/>
      <c r="JRM8" s="344"/>
      <c r="JRN8" s="344"/>
      <c r="JRO8" s="136"/>
      <c r="JRP8" s="137"/>
      <c r="JRQ8" s="137"/>
      <c r="JRR8" s="136"/>
      <c r="JRS8" s="344"/>
      <c r="JRT8" s="344"/>
      <c r="JRU8" s="344"/>
      <c r="JRV8" s="344"/>
      <c r="JRW8" s="136"/>
      <c r="JRX8" s="137"/>
      <c r="JRY8" s="137"/>
      <c r="JRZ8" s="136"/>
      <c r="JSA8" s="344"/>
      <c r="JSB8" s="344"/>
      <c r="JSC8" s="344"/>
      <c r="JSD8" s="344"/>
      <c r="JSE8" s="136"/>
      <c r="JSF8" s="137"/>
      <c r="JSG8" s="137"/>
      <c r="JSH8" s="136"/>
      <c r="JSI8" s="344"/>
      <c r="JSJ8" s="344"/>
      <c r="JSK8" s="344"/>
      <c r="JSL8" s="344"/>
      <c r="JSM8" s="136"/>
      <c r="JSN8" s="137"/>
      <c r="JSO8" s="137"/>
      <c r="JSP8" s="136"/>
      <c r="JSQ8" s="344"/>
      <c r="JSR8" s="344"/>
      <c r="JSS8" s="344"/>
      <c r="JST8" s="344"/>
      <c r="JSU8" s="136"/>
      <c r="JSV8" s="137"/>
      <c r="JSW8" s="137"/>
      <c r="JSX8" s="136"/>
      <c r="JSY8" s="344"/>
      <c r="JSZ8" s="344"/>
      <c r="JTA8" s="344"/>
      <c r="JTB8" s="344"/>
      <c r="JTC8" s="136"/>
      <c r="JTD8" s="137"/>
      <c r="JTE8" s="137"/>
      <c r="JTF8" s="136"/>
      <c r="JTG8" s="344"/>
      <c r="JTH8" s="344"/>
      <c r="JTI8" s="344"/>
      <c r="JTJ8" s="344"/>
      <c r="JTK8" s="136"/>
      <c r="JTL8" s="137"/>
      <c r="JTM8" s="137"/>
      <c r="JTN8" s="136"/>
      <c r="JTO8" s="344"/>
      <c r="JTP8" s="344"/>
      <c r="JTQ8" s="344"/>
      <c r="JTR8" s="344"/>
      <c r="JTS8" s="136"/>
      <c r="JTT8" s="137"/>
      <c r="JTU8" s="137"/>
      <c r="JTV8" s="136"/>
      <c r="JTW8" s="344"/>
      <c r="JTX8" s="344"/>
      <c r="JTY8" s="344"/>
      <c r="JTZ8" s="344"/>
      <c r="JUA8" s="136"/>
      <c r="JUB8" s="137"/>
      <c r="JUC8" s="137"/>
      <c r="JUD8" s="136"/>
      <c r="JUE8" s="344"/>
      <c r="JUF8" s="344"/>
      <c r="JUG8" s="344"/>
      <c r="JUH8" s="344"/>
      <c r="JUI8" s="136"/>
      <c r="JUJ8" s="137"/>
      <c r="JUK8" s="137"/>
      <c r="JUL8" s="136"/>
      <c r="JUM8" s="344"/>
      <c r="JUN8" s="344"/>
      <c r="JUO8" s="344"/>
      <c r="JUP8" s="344"/>
      <c r="JUQ8" s="136"/>
      <c r="JUR8" s="137"/>
      <c r="JUS8" s="137"/>
      <c r="JUT8" s="136"/>
      <c r="JUU8" s="344"/>
      <c r="JUV8" s="344"/>
      <c r="JUW8" s="344"/>
      <c r="JUX8" s="344"/>
      <c r="JUY8" s="136"/>
      <c r="JUZ8" s="137"/>
      <c r="JVA8" s="137"/>
      <c r="JVB8" s="136"/>
      <c r="JVC8" s="344"/>
      <c r="JVD8" s="344"/>
      <c r="JVE8" s="344"/>
      <c r="JVF8" s="344"/>
      <c r="JVG8" s="136"/>
      <c r="JVH8" s="137"/>
      <c r="JVI8" s="137"/>
      <c r="JVJ8" s="136"/>
      <c r="JVK8" s="344"/>
      <c r="JVL8" s="344"/>
      <c r="JVM8" s="344"/>
      <c r="JVN8" s="344"/>
      <c r="JVO8" s="136"/>
      <c r="JVP8" s="137"/>
      <c r="JVQ8" s="137"/>
      <c r="JVR8" s="136"/>
      <c r="JVS8" s="344"/>
      <c r="JVT8" s="344"/>
      <c r="JVU8" s="344"/>
      <c r="JVV8" s="344"/>
      <c r="JVW8" s="136"/>
      <c r="JVX8" s="137"/>
      <c r="JVY8" s="137"/>
      <c r="JVZ8" s="136"/>
      <c r="JWA8" s="344"/>
      <c r="JWB8" s="344"/>
      <c r="JWC8" s="344"/>
      <c r="JWD8" s="344"/>
      <c r="JWE8" s="136"/>
      <c r="JWF8" s="137"/>
      <c r="JWG8" s="137"/>
      <c r="JWH8" s="136"/>
      <c r="JWI8" s="344"/>
      <c r="JWJ8" s="344"/>
      <c r="JWK8" s="344"/>
      <c r="JWL8" s="344"/>
      <c r="JWM8" s="136"/>
      <c r="JWN8" s="137"/>
      <c r="JWO8" s="137"/>
      <c r="JWP8" s="136"/>
      <c r="JWQ8" s="344"/>
      <c r="JWR8" s="344"/>
      <c r="JWS8" s="344"/>
      <c r="JWT8" s="344"/>
      <c r="JWU8" s="136"/>
      <c r="JWV8" s="137"/>
      <c r="JWW8" s="137"/>
      <c r="JWX8" s="136"/>
      <c r="JWY8" s="344"/>
      <c r="JWZ8" s="344"/>
      <c r="JXA8" s="344"/>
      <c r="JXB8" s="344"/>
      <c r="JXC8" s="136"/>
      <c r="JXD8" s="137"/>
      <c r="JXE8" s="137"/>
      <c r="JXF8" s="136"/>
      <c r="JXG8" s="344"/>
      <c r="JXH8" s="344"/>
      <c r="JXI8" s="344"/>
      <c r="JXJ8" s="344"/>
      <c r="JXK8" s="136"/>
      <c r="JXL8" s="137"/>
      <c r="JXM8" s="137"/>
      <c r="JXN8" s="136"/>
      <c r="JXO8" s="344"/>
      <c r="JXP8" s="344"/>
      <c r="JXQ8" s="344"/>
      <c r="JXR8" s="344"/>
      <c r="JXS8" s="136"/>
      <c r="JXT8" s="137"/>
      <c r="JXU8" s="137"/>
      <c r="JXV8" s="136"/>
      <c r="JXW8" s="344"/>
      <c r="JXX8" s="344"/>
      <c r="JXY8" s="344"/>
      <c r="JXZ8" s="344"/>
      <c r="JYA8" s="136"/>
      <c r="JYB8" s="137"/>
      <c r="JYC8" s="137"/>
      <c r="JYD8" s="136"/>
      <c r="JYE8" s="344"/>
      <c r="JYF8" s="344"/>
      <c r="JYG8" s="344"/>
      <c r="JYH8" s="344"/>
      <c r="JYI8" s="136"/>
      <c r="JYJ8" s="137"/>
      <c r="JYK8" s="137"/>
      <c r="JYL8" s="136"/>
      <c r="JYM8" s="344"/>
      <c r="JYN8" s="344"/>
      <c r="JYO8" s="344"/>
      <c r="JYP8" s="344"/>
      <c r="JYQ8" s="136"/>
      <c r="JYR8" s="137"/>
      <c r="JYS8" s="137"/>
      <c r="JYT8" s="136"/>
      <c r="JYU8" s="344"/>
      <c r="JYV8" s="344"/>
      <c r="JYW8" s="344"/>
      <c r="JYX8" s="344"/>
      <c r="JYY8" s="136"/>
      <c r="JYZ8" s="137"/>
      <c r="JZA8" s="137"/>
      <c r="JZB8" s="136"/>
      <c r="JZC8" s="344"/>
      <c r="JZD8" s="344"/>
      <c r="JZE8" s="344"/>
      <c r="JZF8" s="344"/>
      <c r="JZG8" s="136"/>
      <c r="JZH8" s="137"/>
      <c r="JZI8" s="137"/>
      <c r="JZJ8" s="136"/>
      <c r="JZK8" s="344"/>
      <c r="JZL8" s="344"/>
      <c r="JZM8" s="344"/>
      <c r="JZN8" s="344"/>
      <c r="JZO8" s="136"/>
      <c r="JZP8" s="137"/>
      <c r="JZQ8" s="137"/>
      <c r="JZR8" s="136"/>
      <c r="JZS8" s="344"/>
      <c r="JZT8" s="344"/>
      <c r="JZU8" s="344"/>
      <c r="JZV8" s="344"/>
      <c r="JZW8" s="136"/>
      <c r="JZX8" s="137"/>
      <c r="JZY8" s="137"/>
      <c r="JZZ8" s="136"/>
      <c r="KAA8" s="344"/>
      <c r="KAB8" s="344"/>
      <c r="KAC8" s="344"/>
      <c r="KAD8" s="344"/>
      <c r="KAE8" s="136"/>
      <c r="KAF8" s="137"/>
      <c r="KAG8" s="137"/>
      <c r="KAH8" s="136"/>
      <c r="KAI8" s="344"/>
      <c r="KAJ8" s="344"/>
      <c r="KAK8" s="344"/>
      <c r="KAL8" s="344"/>
      <c r="KAM8" s="136"/>
      <c r="KAN8" s="137"/>
      <c r="KAO8" s="137"/>
      <c r="KAP8" s="136"/>
      <c r="KAQ8" s="344"/>
      <c r="KAR8" s="344"/>
      <c r="KAS8" s="344"/>
      <c r="KAT8" s="344"/>
      <c r="KAU8" s="136"/>
      <c r="KAV8" s="137"/>
      <c r="KAW8" s="137"/>
      <c r="KAX8" s="136"/>
      <c r="KAY8" s="344"/>
      <c r="KAZ8" s="344"/>
      <c r="KBA8" s="344"/>
      <c r="KBB8" s="344"/>
      <c r="KBC8" s="136"/>
      <c r="KBD8" s="137"/>
      <c r="KBE8" s="137"/>
      <c r="KBF8" s="136"/>
      <c r="KBG8" s="344"/>
      <c r="KBH8" s="344"/>
      <c r="KBI8" s="344"/>
      <c r="KBJ8" s="344"/>
      <c r="KBK8" s="136"/>
      <c r="KBL8" s="137"/>
      <c r="KBM8" s="137"/>
      <c r="KBN8" s="136"/>
      <c r="KBO8" s="344"/>
      <c r="KBP8" s="344"/>
      <c r="KBQ8" s="344"/>
      <c r="KBR8" s="344"/>
      <c r="KBS8" s="136"/>
      <c r="KBT8" s="137"/>
      <c r="KBU8" s="137"/>
      <c r="KBV8" s="136"/>
      <c r="KBW8" s="344"/>
      <c r="KBX8" s="344"/>
      <c r="KBY8" s="344"/>
      <c r="KBZ8" s="344"/>
      <c r="KCA8" s="136"/>
      <c r="KCB8" s="137"/>
      <c r="KCC8" s="137"/>
      <c r="KCD8" s="136"/>
      <c r="KCE8" s="344"/>
      <c r="KCF8" s="344"/>
      <c r="KCG8" s="344"/>
      <c r="KCH8" s="344"/>
      <c r="KCI8" s="136"/>
      <c r="KCJ8" s="137"/>
      <c r="KCK8" s="137"/>
      <c r="KCL8" s="136"/>
      <c r="KCM8" s="344"/>
      <c r="KCN8" s="344"/>
      <c r="KCO8" s="344"/>
      <c r="KCP8" s="344"/>
      <c r="KCQ8" s="136"/>
      <c r="KCR8" s="137"/>
      <c r="KCS8" s="137"/>
      <c r="KCT8" s="136"/>
      <c r="KCU8" s="344"/>
      <c r="KCV8" s="344"/>
      <c r="KCW8" s="344"/>
      <c r="KCX8" s="344"/>
      <c r="KCY8" s="136"/>
      <c r="KCZ8" s="137"/>
      <c r="KDA8" s="137"/>
      <c r="KDB8" s="136"/>
      <c r="KDC8" s="344"/>
      <c r="KDD8" s="344"/>
      <c r="KDE8" s="344"/>
      <c r="KDF8" s="344"/>
      <c r="KDG8" s="136"/>
      <c r="KDH8" s="137"/>
      <c r="KDI8" s="137"/>
      <c r="KDJ8" s="136"/>
      <c r="KDK8" s="344"/>
      <c r="KDL8" s="344"/>
      <c r="KDM8" s="344"/>
      <c r="KDN8" s="344"/>
      <c r="KDO8" s="136"/>
      <c r="KDP8" s="137"/>
      <c r="KDQ8" s="137"/>
      <c r="KDR8" s="136"/>
      <c r="KDS8" s="344"/>
      <c r="KDT8" s="344"/>
      <c r="KDU8" s="344"/>
      <c r="KDV8" s="344"/>
      <c r="KDW8" s="136"/>
      <c r="KDX8" s="137"/>
      <c r="KDY8" s="137"/>
      <c r="KDZ8" s="136"/>
      <c r="KEA8" s="344"/>
      <c r="KEB8" s="344"/>
      <c r="KEC8" s="344"/>
      <c r="KED8" s="344"/>
      <c r="KEE8" s="136"/>
      <c r="KEF8" s="137"/>
      <c r="KEG8" s="137"/>
      <c r="KEH8" s="136"/>
      <c r="KEI8" s="344"/>
      <c r="KEJ8" s="344"/>
      <c r="KEK8" s="344"/>
      <c r="KEL8" s="344"/>
      <c r="KEM8" s="136"/>
      <c r="KEN8" s="137"/>
      <c r="KEO8" s="137"/>
      <c r="KEP8" s="136"/>
      <c r="KEQ8" s="344"/>
      <c r="KER8" s="344"/>
      <c r="KES8" s="344"/>
      <c r="KET8" s="344"/>
      <c r="KEU8" s="136"/>
      <c r="KEV8" s="137"/>
      <c r="KEW8" s="137"/>
      <c r="KEX8" s="136"/>
      <c r="KEY8" s="344"/>
      <c r="KEZ8" s="344"/>
      <c r="KFA8" s="344"/>
      <c r="KFB8" s="344"/>
      <c r="KFC8" s="136"/>
      <c r="KFD8" s="137"/>
      <c r="KFE8" s="137"/>
      <c r="KFF8" s="136"/>
      <c r="KFG8" s="344"/>
      <c r="KFH8" s="344"/>
      <c r="KFI8" s="344"/>
      <c r="KFJ8" s="344"/>
      <c r="KFK8" s="136"/>
      <c r="KFL8" s="137"/>
      <c r="KFM8" s="137"/>
      <c r="KFN8" s="136"/>
      <c r="KFO8" s="344"/>
      <c r="KFP8" s="344"/>
      <c r="KFQ8" s="344"/>
      <c r="KFR8" s="344"/>
      <c r="KFS8" s="136"/>
      <c r="KFT8" s="137"/>
      <c r="KFU8" s="137"/>
      <c r="KFV8" s="136"/>
      <c r="KFW8" s="344"/>
      <c r="KFX8" s="344"/>
      <c r="KFY8" s="344"/>
      <c r="KFZ8" s="344"/>
      <c r="KGA8" s="136"/>
      <c r="KGB8" s="137"/>
      <c r="KGC8" s="137"/>
      <c r="KGD8" s="136"/>
      <c r="KGE8" s="344"/>
      <c r="KGF8" s="344"/>
      <c r="KGG8" s="344"/>
      <c r="KGH8" s="344"/>
      <c r="KGI8" s="136"/>
      <c r="KGJ8" s="137"/>
      <c r="KGK8" s="137"/>
      <c r="KGL8" s="136"/>
      <c r="KGM8" s="344"/>
      <c r="KGN8" s="344"/>
      <c r="KGO8" s="344"/>
      <c r="KGP8" s="344"/>
      <c r="KGQ8" s="136"/>
      <c r="KGR8" s="137"/>
      <c r="KGS8" s="137"/>
      <c r="KGT8" s="136"/>
      <c r="KGU8" s="344"/>
      <c r="KGV8" s="344"/>
      <c r="KGW8" s="344"/>
      <c r="KGX8" s="344"/>
      <c r="KGY8" s="136"/>
      <c r="KGZ8" s="137"/>
      <c r="KHA8" s="137"/>
      <c r="KHB8" s="136"/>
      <c r="KHC8" s="344"/>
      <c r="KHD8" s="344"/>
      <c r="KHE8" s="344"/>
      <c r="KHF8" s="344"/>
      <c r="KHG8" s="136"/>
      <c r="KHH8" s="137"/>
      <c r="KHI8" s="137"/>
      <c r="KHJ8" s="136"/>
      <c r="KHK8" s="344"/>
      <c r="KHL8" s="344"/>
      <c r="KHM8" s="344"/>
      <c r="KHN8" s="344"/>
      <c r="KHO8" s="136"/>
      <c r="KHP8" s="137"/>
      <c r="KHQ8" s="137"/>
      <c r="KHR8" s="136"/>
      <c r="KHS8" s="344"/>
      <c r="KHT8" s="344"/>
      <c r="KHU8" s="344"/>
      <c r="KHV8" s="344"/>
      <c r="KHW8" s="136"/>
      <c r="KHX8" s="137"/>
      <c r="KHY8" s="137"/>
      <c r="KHZ8" s="136"/>
      <c r="KIA8" s="344"/>
      <c r="KIB8" s="344"/>
      <c r="KIC8" s="344"/>
      <c r="KID8" s="344"/>
      <c r="KIE8" s="136"/>
      <c r="KIF8" s="137"/>
      <c r="KIG8" s="137"/>
      <c r="KIH8" s="136"/>
      <c r="KII8" s="344"/>
      <c r="KIJ8" s="344"/>
      <c r="KIK8" s="344"/>
      <c r="KIL8" s="344"/>
      <c r="KIM8" s="136"/>
      <c r="KIN8" s="137"/>
      <c r="KIO8" s="137"/>
      <c r="KIP8" s="136"/>
      <c r="KIQ8" s="344"/>
      <c r="KIR8" s="344"/>
      <c r="KIS8" s="344"/>
      <c r="KIT8" s="344"/>
      <c r="KIU8" s="136"/>
      <c r="KIV8" s="137"/>
      <c r="KIW8" s="137"/>
      <c r="KIX8" s="136"/>
      <c r="KIY8" s="344"/>
      <c r="KIZ8" s="344"/>
      <c r="KJA8" s="344"/>
      <c r="KJB8" s="344"/>
      <c r="KJC8" s="136"/>
      <c r="KJD8" s="137"/>
      <c r="KJE8" s="137"/>
      <c r="KJF8" s="136"/>
      <c r="KJG8" s="344"/>
      <c r="KJH8" s="344"/>
      <c r="KJI8" s="344"/>
      <c r="KJJ8" s="344"/>
      <c r="KJK8" s="136"/>
      <c r="KJL8" s="137"/>
      <c r="KJM8" s="137"/>
      <c r="KJN8" s="136"/>
      <c r="KJO8" s="344"/>
      <c r="KJP8" s="344"/>
      <c r="KJQ8" s="344"/>
      <c r="KJR8" s="344"/>
      <c r="KJS8" s="136"/>
      <c r="KJT8" s="137"/>
      <c r="KJU8" s="137"/>
      <c r="KJV8" s="136"/>
      <c r="KJW8" s="344"/>
      <c r="KJX8" s="344"/>
      <c r="KJY8" s="344"/>
      <c r="KJZ8" s="344"/>
      <c r="KKA8" s="136"/>
      <c r="KKB8" s="137"/>
      <c r="KKC8" s="137"/>
      <c r="KKD8" s="136"/>
      <c r="KKE8" s="344"/>
      <c r="KKF8" s="344"/>
      <c r="KKG8" s="344"/>
      <c r="KKH8" s="344"/>
      <c r="KKI8" s="136"/>
      <c r="KKJ8" s="137"/>
      <c r="KKK8" s="137"/>
      <c r="KKL8" s="136"/>
      <c r="KKM8" s="344"/>
      <c r="KKN8" s="344"/>
      <c r="KKO8" s="344"/>
      <c r="KKP8" s="344"/>
      <c r="KKQ8" s="136"/>
      <c r="KKR8" s="137"/>
      <c r="KKS8" s="137"/>
      <c r="KKT8" s="136"/>
      <c r="KKU8" s="344"/>
      <c r="KKV8" s="344"/>
      <c r="KKW8" s="344"/>
      <c r="KKX8" s="344"/>
      <c r="KKY8" s="136"/>
      <c r="KKZ8" s="137"/>
      <c r="KLA8" s="137"/>
      <c r="KLB8" s="136"/>
      <c r="KLC8" s="344"/>
      <c r="KLD8" s="344"/>
      <c r="KLE8" s="344"/>
      <c r="KLF8" s="344"/>
      <c r="KLG8" s="136"/>
      <c r="KLH8" s="137"/>
      <c r="KLI8" s="137"/>
      <c r="KLJ8" s="136"/>
      <c r="KLK8" s="344"/>
      <c r="KLL8" s="344"/>
      <c r="KLM8" s="344"/>
      <c r="KLN8" s="344"/>
      <c r="KLO8" s="136"/>
      <c r="KLP8" s="137"/>
      <c r="KLQ8" s="137"/>
      <c r="KLR8" s="136"/>
      <c r="KLS8" s="344"/>
      <c r="KLT8" s="344"/>
      <c r="KLU8" s="344"/>
      <c r="KLV8" s="344"/>
      <c r="KLW8" s="136"/>
      <c r="KLX8" s="137"/>
      <c r="KLY8" s="137"/>
      <c r="KLZ8" s="136"/>
      <c r="KMA8" s="344"/>
      <c r="KMB8" s="344"/>
      <c r="KMC8" s="344"/>
      <c r="KMD8" s="344"/>
      <c r="KME8" s="136"/>
      <c r="KMF8" s="137"/>
      <c r="KMG8" s="137"/>
      <c r="KMH8" s="136"/>
      <c r="KMI8" s="344"/>
      <c r="KMJ8" s="344"/>
      <c r="KMK8" s="344"/>
      <c r="KML8" s="344"/>
      <c r="KMM8" s="136"/>
      <c r="KMN8" s="137"/>
      <c r="KMO8" s="137"/>
      <c r="KMP8" s="136"/>
      <c r="KMQ8" s="344"/>
      <c r="KMR8" s="344"/>
      <c r="KMS8" s="344"/>
      <c r="KMT8" s="344"/>
      <c r="KMU8" s="136"/>
      <c r="KMV8" s="137"/>
      <c r="KMW8" s="137"/>
      <c r="KMX8" s="136"/>
      <c r="KMY8" s="344"/>
      <c r="KMZ8" s="344"/>
      <c r="KNA8" s="344"/>
      <c r="KNB8" s="344"/>
      <c r="KNC8" s="136"/>
      <c r="KND8" s="137"/>
      <c r="KNE8" s="137"/>
      <c r="KNF8" s="136"/>
      <c r="KNG8" s="344"/>
      <c r="KNH8" s="344"/>
      <c r="KNI8" s="344"/>
      <c r="KNJ8" s="344"/>
      <c r="KNK8" s="136"/>
      <c r="KNL8" s="137"/>
      <c r="KNM8" s="137"/>
      <c r="KNN8" s="136"/>
      <c r="KNO8" s="344"/>
      <c r="KNP8" s="344"/>
      <c r="KNQ8" s="344"/>
      <c r="KNR8" s="344"/>
      <c r="KNS8" s="136"/>
      <c r="KNT8" s="137"/>
      <c r="KNU8" s="137"/>
      <c r="KNV8" s="136"/>
      <c r="KNW8" s="344"/>
      <c r="KNX8" s="344"/>
      <c r="KNY8" s="344"/>
      <c r="KNZ8" s="344"/>
      <c r="KOA8" s="136"/>
      <c r="KOB8" s="137"/>
      <c r="KOC8" s="137"/>
      <c r="KOD8" s="136"/>
      <c r="KOE8" s="344"/>
      <c r="KOF8" s="344"/>
      <c r="KOG8" s="344"/>
      <c r="KOH8" s="344"/>
      <c r="KOI8" s="136"/>
      <c r="KOJ8" s="137"/>
      <c r="KOK8" s="137"/>
      <c r="KOL8" s="136"/>
      <c r="KOM8" s="344"/>
      <c r="KON8" s="344"/>
      <c r="KOO8" s="344"/>
      <c r="KOP8" s="344"/>
      <c r="KOQ8" s="136"/>
      <c r="KOR8" s="137"/>
      <c r="KOS8" s="137"/>
      <c r="KOT8" s="136"/>
      <c r="KOU8" s="344"/>
      <c r="KOV8" s="344"/>
      <c r="KOW8" s="344"/>
      <c r="KOX8" s="344"/>
      <c r="KOY8" s="136"/>
      <c r="KOZ8" s="137"/>
      <c r="KPA8" s="137"/>
      <c r="KPB8" s="136"/>
      <c r="KPC8" s="344"/>
      <c r="KPD8" s="344"/>
      <c r="KPE8" s="344"/>
      <c r="KPF8" s="344"/>
      <c r="KPG8" s="136"/>
      <c r="KPH8" s="137"/>
      <c r="KPI8" s="137"/>
      <c r="KPJ8" s="136"/>
      <c r="KPK8" s="344"/>
      <c r="KPL8" s="344"/>
      <c r="KPM8" s="344"/>
      <c r="KPN8" s="344"/>
      <c r="KPO8" s="136"/>
      <c r="KPP8" s="137"/>
      <c r="KPQ8" s="137"/>
      <c r="KPR8" s="136"/>
      <c r="KPS8" s="344"/>
      <c r="KPT8" s="344"/>
      <c r="KPU8" s="344"/>
      <c r="KPV8" s="344"/>
      <c r="KPW8" s="136"/>
      <c r="KPX8" s="137"/>
      <c r="KPY8" s="137"/>
      <c r="KPZ8" s="136"/>
      <c r="KQA8" s="344"/>
      <c r="KQB8" s="344"/>
      <c r="KQC8" s="344"/>
      <c r="KQD8" s="344"/>
      <c r="KQE8" s="136"/>
      <c r="KQF8" s="137"/>
      <c r="KQG8" s="137"/>
      <c r="KQH8" s="136"/>
      <c r="KQI8" s="344"/>
      <c r="KQJ8" s="344"/>
      <c r="KQK8" s="344"/>
      <c r="KQL8" s="344"/>
      <c r="KQM8" s="136"/>
      <c r="KQN8" s="137"/>
      <c r="KQO8" s="137"/>
      <c r="KQP8" s="136"/>
      <c r="KQQ8" s="344"/>
      <c r="KQR8" s="344"/>
      <c r="KQS8" s="344"/>
      <c r="KQT8" s="344"/>
      <c r="KQU8" s="136"/>
      <c r="KQV8" s="137"/>
      <c r="KQW8" s="137"/>
      <c r="KQX8" s="136"/>
      <c r="KQY8" s="344"/>
      <c r="KQZ8" s="344"/>
      <c r="KRA8" s="344"/>
      <c r="KRB8" s="344"/>
      <c r="KRC8" s="136"/>
      <c r="KRD8" s="137"/>
      <c r="KRE8" s="137"/>
      <c r="KRF8" s="136"/>
      <c r="KRG8" s="344"/>
      <c r="KRH8" s="344"/>
      <c r="KRI8" s="344"/>
      <c r="KRJ8" s="344"/>
      <c r="KRK8" s="136"/>
      <c r="KRL8" s="137"/>
      <c r="KRM8" s="137"/>
      <c r="KRN8" s="136"/>
      <c r="KRO8" s="344"/>
      <c r="KRP8" s="344"/>
      <c r="KRQ8" s="344"/>
      <c r="KRR8" s="344"/>
      <c r="KRS8" s="136"/>
      <c r="KRT8" s="137"/>
      <c r="KRU8" s="137"/>
      <c r="KRV8" s="136"/>
      <c r="KRW8" s="344"/>
      <c r="KRX8" s="344"/>
      <c r="KRY8" s="344"/>
      <c r="KRZ8" s="344"/>
      <c r="KSA8" s="136"/>
      <c r="KSB8" s="137"/>
      <c r="KSC8" s="137"/>
      <c r="KSD8" s="136"/>
      <c r="KSE8" s="344"/>
      <c r="KSF8" s="344"/>
      <c r="KSG8" s="344"/>
      <c r="KSH8" s="344"/>
      <c r="KSI8" s="136"/>
      <c r="KSJ8" s="137"/>
      <c r="KSK8" s="137"/>
      <c r="KSL8" s="136"/>
      <c r="KSM8" s="344"/>
      <c r="KSN8" s="344"/>
      <c r="KSO8" s="344"/>
      <c r="KSP8" s="344"/>
      <c r="KSQ8" s="136"/>
      <c r="KSR8" s="137"/>
      <c r="KSS8" s="137"/>
      <c r="KST8" s="136"/>
      <c r="KSU8" s="344"/>
      <c r="KSV8" s="344"/>
      <c r="KSW8" s="344"/>
      <c r="KSX8" s="344"/>
      <c r="KSY8" s="136"/>
      <c r="KSZ8" s="137"/>
      <c r="KTA8" s="137"/>
      <c r="KTB8" s="136"/>
      <c r="KTC8" s="344"/>
      <c r="KTD8" s="344"/>
      <c r="KTE8" s="344"/>
      <c r="KTF8" s="344"/>
      <c r="KTG8" s="136"/>
      <c r="KTH8" s="137"/>
      <c r="KTI8" s="137"/>
      <c r="KTJ8" s="136"/>
      <c r="KTK8" s="344"/>
      <c r="KTL8" s="344"/>
      <c r="KTM8" s="344"/>
      <c r="KTN8" s="344"/>
      <c r="KTO8" s="136"/>
      <c r="KTP8" s="137"/>
      <c r="KTQ8" s="137"/>
      <c r="KTR8" s="136"/>
      <c r="KTS8" s="344"/>
      <c r="KTT8" s="344"/>
      <c r="KTU8" s="344"/>
      <c r="KTV8" s="344"/>
      <c r="KTW8" s="136"/>
      <c r="KTX8" s="137"/>
      <c r="KTY8" s="137"/>
      <c r="KTZ8" s="136"/>
      <c r="KUA8" s="344"/>
      <c r="KUB8" s="344"/>
      <c r="KUC8" s="344"/>
      <c r="KUD8" s="344"/>
      <c r="KUE8" s="136"/>
      <c r="KUF8" s="137"/>
      <c r="KUG8" s="137"/>
      <c r="KUH8" s="136"/>
      <c r="KUI8" s="344"/>
      <c r="KUJ8" s="344"/>
      <c r="KUK8" s="344"/>
      <c r="KUL8" s="344"/>
      <c r="KUM8" s="136"/>
      <c r="KUN8" s="137"/>
      <c r="KUO8" s="137"/>
      <c r="KUP8" s="136"/>
      <c r="KUQ8" s="344"/>
      <c r="KUR8" s="344"/>
      <c r="KUS8" s="344"/>
      <c r="KUT8" s="344"/>
      <c r="KUU8" s="136"/>
      <c r="KUV8" s="137"/>
      <c r="KUW8" s="137"/>
      <c r="KUX8" s="136"/>
      <c r="KUY8" s="344"/>
      <c r="KUZ8" s="344"/>
      <c r="KVA8" s="344"/>
      <c r="KVB8" s="344"/>
      <c r="KVC8" s="136"/>
      <c r="KVD8" s="137"/>
      <c r="KVE8" s="137"/>
      <c r="KVF8" s="136"/>
      <c r="KVG8" s="344"/>
      <c r="KVH8" s="344"/>
      <c r="KVI8" s="344"/>
      <c r="KVJ8" s="344"/>
      <c r="KVK8" s="136"/>
      <c r="KVL8" s="137"/>
      <c r="KVM8" s="137"/>
      <c r="KVN8" s="136"/>
      <c r="KVO8" s="344"/>
      <c r="KVP8" s="344"/>
      <c r="KVQ8" s="344"/>
      <c r="KVR8" s="344"/>
      <c r="KVS8" s="136"/>
      <c r="KVT8" s="137"/>
      <c r="KVU8" s="137"/>
      <c r="KVV8" s="136"/>
      <c r="KVW8" s="344"/>
      <c r="KVX8" s="344"/>
      <c r="KVY8" s="344"/>
      <c r="KVZ8" s="344"/>
      <c r="KWA8" s="136"/>
      <c r="KWB8" s="137"/>
      <c r="KWC8" s="137"/>
      <c r="KWD8" s="136"/>
      <c r="KWE8" s="344"/>
      <c r="KWF8" s="344"/>
      <c r="KWG8" s="344"/>
      <c r="KWH8" s="344"/>
      <c r="KWI8" s="136"/>
      <c r="KWJ8" s="137"/>
      <c r="KWK8" s="137"/>
      <c r="KWL8" s="136"/>
      <c r="KWM8" s="344"/>
      <c r="KWN8" s="344"/>
      <c r="KWO8" s="344"/>
      <c r="KWP8" s="344"/>
      <c r="KWQ8" s="136"/>
      <c r="KWR8" s="137"/>
      <c r="KWS8" s="137"/>
      <c r="KWT8" s="136"/>
      <c r="KWU8" s="344"/>
      <c r="KWV8" s="344"/>
      <c r="KWW8" s="344"/>
      <c r="KWX8" s="344"/>
      <c r="KWY8" s="136"/>
      <c r="KWZ8" s="137"/>
      <c r="KXA8" s="137"/>
      <c r="KXB8" s="136"/>
      <c r="KXC8" s="344"/>
      <c r="KXD8" s="344"/>
      <c r="KXE8" s="344"/>
      <c r="KXF8" s="344"/>
      <c r="KXG8" s="136"/>
      <c r="KXH8" s="137"/>
      <c r="KXI8" s="137"/>
      <c r="KXJ8" s="136"/>
      <c r="KXK8" s="344"/>
      <c r="KXL8" s="344"/>
      <c r="KXM8" s="344"/>
      <c r="KXN8" s="344"/>
      <c r="KXO8" s="136"/>
      <c r="KXP8" s="137"/>
      <c r="KXQ8" s="137"/>
      <c r="KXR8" s="136"/>
      <c r="KXS8" s="344"/>
      <c r="KXT8" s="344"/>
      <c r="KXU8" s="344"/>
      <c r="KXV8" s="344"/>
      <c r="KXW8" s="136"/>
      <c r="KXX8" s="137"/>
      <c r="KXY8" s="137"/>
      <c r="KXZ8" s="136"/>
      <c r="KYA8" s="344"/>
      <c r="KYB8" s="344"/>
      <c r="KYC8" s="344"/>
      <c r="KYD8" s="344"/>
      <c r="KYE8" s="136"/>
      <c r="KYF8" s="137"/>
      <c r="KYG8" s="137"/>
      <c r="KYH8" s="136"/>
      <c r="KYI8" s="344"/>
      <c r="KYJ8" s="344"/>
      <c r="KYK8" s="344"/>
      <c r="KYL8" s="344"/>
      <c r="KYM8" s="136"/>
      <c r="KYN8" s="137"/>
      <c r="KYO8" s="137"/>
      <c r="KYP8" s="136"/>
      <c r="KYQ8" s="344"/>
      <c r="KYR8" s="344"/>
      <c r="KYS8" s="344"/>
      <c r="KYT8" s="344"/>
      <c r="KYU8" s="136"/>
      <c r="KYV8" s="137"/>
      <c r="KYW8" s="137"/>
      <c r="KYX8" s="136"/>
      <c r="KYY8" s="344"/>
      <c r="KYZ8" s="344"/>
      <c r="KZA8" s="344"/>
      <c r="KZB8" s="344"/>
      <c r="KZC8" s="136"/>
      <c r="KZD8" s="137"/>
      <c r="KZE8" s="137"/>
      <c r="KZF8" s="136"/>
      <c r="KZG8" s="344"/>
      <c r="KZH8" s="344"/>
      <c r="KZI8" s="344"/>
      <c r="KZJ8" s="344"/>
      <c r="KZK8" s="136"/>
      <c r="KZL8" s="137"/>
      <c r="KZM8" s="137"/>
      <c r="KZN8" s="136"/>
      <c r="KZO8" s="344"/>
      <c r="KZP8" s="344"/>
      <c r="KZQ8" s="344"/>
      <c r="KZR8" s="344"/>
      <c r="KZS8" s="136"/>
      <c r="KZT8" s="137"/>
      <c r="KZU8" s="137"/>
      <c r="KZV8" s="136"/>
      <c r="KZW8" s="344"/>
      <c r="KZX8" s="344"/>
      <c r="KZY8" s="344"/>
      <c r="KZZ8" s="344"/>
      <c r="LAA8" s="136"/>
      <c r="LAB8" s="137"/>
      <c r="LAC8" s="137"/>
      <c r="LAD8" s="136"/>
      <c r="LAE8" s="344"/>
      <c r="LAF8" s="344"/>
      <c r="LAG8" s="344"/>
      <c r="LAH8" s="344"/>
      <c r="LAI8" s="136"/>
      <c r="LAJ8" s="137"/>
      <c r="LAK8" s="137"/>
      <c r="LAL8" s="136"/>
      <c r="LAM8" s="344"/>
      <c r="LAN8" s="344"/>
      <c r="LAO8" s="344"/>
      <c r="LAP8" s="344"/>
      <c r="LAQ8" s="136"/>
      <c r="LAR8" s="137"/>
      <c r="LAS8" s="137"/>
      <c r="LAT8" s="136"/>
      <c r="LAU8" s="344"/>
      <c r="LAV8" s="344"/>
      <c r="LAW8" s="344"/>
      <c r="LAX8" s="344"/>
      <c r="LAY8" s="136"/>
      <c r="LAZ8" s="137"/>
      <c r="LBA8" s="137"/>
      <c r="LBB8" s="136"/>
      <c r="LBC8" s="344"/>
      <c r="LBD8" s="344"/>
      <c r="LBE8" s="344"/>
      <c r="LBF8" s="344"/>
      <c r="LBG8" s="136"/>
      <c r="LBH8" s="137"/>
      <c r="LBI8" s="137"/>
      <c r="LBJ8" s="136"/>
      <c r="LBK8" s="344"/>
      <c r="LBL8" s="344"/>
      <c r="LBM8" s="344"/>
      <c r="LBN8" s="344"/>
      <c r="LBO8" s="136"/>
      <c r="LBP8" s="137"/>
      <c r="LBQ8" s="137"/>
      <c r="LBR8" s="136"/>
      <c r="LBS8" s="344"/>
      <c r="LBT8" s="344"/>
      <c r="LBU8" s="344"/>
      <c r="LBV8" s="344"/>
      <c r="LBW8" s="136"/>
      <c r="LBX8" s="137"/>
      <c r="LBY8" s="137"/>
      <c r="LBZ8" s="136"/>
      <c r="LCA8" s="344"/>
      <c r="LCB8" s="344"/>
      <c r="LCC8" s="344"/>
      <c r="LCD8" s="344"/>
      <c r="LCE8" s="136"/>
      <c r="LCF8" s="137"/>
      <c r="LCG8" s="137"/>
      <c r="LCH8" s="136"/>
      <c r="LCI8" s="344"/>
      <c r="LCJ8" s="344"/>
      <c r="LCK8" s="344"/>
      <c r="LCL8" s="344"/>
      <c r="LCM8" s="136"/>
      <c r="LCN8" s="137"/>
      <c r="LCO8" s="137"/>
      <c r="LCP8" s="136"/>
      <c r="LCQ8" s="344"/>
      <c r="LCR8" s="344"/>
      <c r="LCS8" s="344"/>
      <c r="LCT8" s="344"/>
      <c r="LCU8" s="136"/>
      <c r="LCV8" s="137"/>
      <c r="LCW8" s="137"/>
      <c r="LCX8" s="136"/>
      <c r="LCY8" s="344"/>
      <c r="LCZ8" s="344"/>
      <c r="LDA8" s="344"/>
      <c r="LDB8" s="344"/>
      <c r="LDC8" s="136"/>
      <c r="LDD8" s="137"/>
      <c r="LDE8" s="137"/>
      <c r="LDF8" s="136"/>
      <c r="LDG8" s="344"/>
      <c r="LDH8" s="344"/>
      <c r="LDI8" s="344"/>
      <c r="LDJ8" s="344"/>
      <c r="LDK8" s="136"/>
      <c r="LDL8" s="137"/>
      <c r="LDM8" s="137"/>
      <c r="LDN8" s="136"/>
      <c r="LDO8" s="344"/>
      <c r="LDP8" s="344"/>
      <c r="LDQ8" s="344"/>
      <c r="LDR8" s="344"/>
      <c r="LDS8" s="136"/>
      <c r="LDT8" s="137"/>
      <c r="LDU8" s="137"/>
      <c r="LDV8" s="136"/>
      <c r="LDW8" s="344"/>
      <c r="LDX8" s="344"/>
      <c r="LDY8" s="344"/>
      <c r="LDZ8" s="344"/>
      <c r="LEA8" s="136"/>
      <c r="LEB8" s="137"/>
      <c r="LEC8" s="137"/>
      <c r="LED8" s="136"/>
      <c r="LEE8" s="344"/>
      <c r="LEF8" s="344"/>
      <c r="LEG8" s="344"/>
      <c r="LEH8" s="344"/>
      <c r="LEI8" s="136"/>
      <c r="LEJ8" s="137"/>
      <c r="LEK8" s="137"/>
      <c r="LEL8" s="136"/>
      <c r="LEM8" s="344"/>
      <c r="LEN8" s="344"/>
      <c r="LEO8" s="344"/>
      <c r="LEP8" s="344"/>
      <c r="LEQ8" s="136"/>
      <c r="LER8" s="137"/>
      <c r="LES8" s="137"/>
      <c r="LET8" s="136"/>
      <c r="LEU8" s="344"/>
      <c r="LEV8" s="344"/>
      <c r="LEW8" s="344"/>
      <c r="LEX8" s="344"/>
      <c r="LEY8" s="136"/>
      <c r="LEZ8" s="137"/>
      <c r="LFA8" s="137"/>
      <c r="LFB8" s="136"/>
      <c r="LFC8" s="344"/>
      <c r="LFD8" s="344"/>
      <c r="LFE8" s="344"/>
      <c r="LFF8" s="344"/>
      <c r="LFG8" s="136"/>
      <c r="LFH8" s="137"/>
      <c r="LFI8" s="137"/>
      <c r="LFJ8" s="136"/>
      <c r="LFK8" s="344"/>
      <c r="LFL8" s="344"/>
      <c r="LFM8" s="344"/>
      <c r="LFN8" s="344"/>
      <c r="LFO8" s="136"/>
      <c r="LFP8" s="137"/>
      <c r="LFQ8" s="137"/>
      <c r="LFR8" s="136"/>
      <c r="LFS8" s="344"/>
      <c r="LFT8" s="344"/>
      <c r="LFU8" s="344"/>
      <c r="LFV8" s="344"/>
      <c r="LFW8" s="136"/>
      <c r="LFX8" s="137"/>
      <c r="LFY8" s="137"/>
      <c r="LFZ8" s="136"/>
      <c r="LGA8" s="344"/>
      <c r="LGB8" s="344"/>
      <c r="LGC8" s="344"/>
      <c r="LGD8" s="344"/>
      <c r="LGE8" s="136"/>
      <c r="LGF8" s="137"/>
      <c r="LGG8" s="137"/>
      <c r="LGH8" s="136"/>
      <c r="LGI8" s="344"/>
      <c r="LGJ8" s="344"/>
      <c r="LGK8" s="344"/>
      <c r="LGL8" s="344"/>
      <c r="LGM8" s="136"/>
      <c r="LGN8" s="137"/>
      <c r="LGO8" s="137"/>
      <c r="LGP8" s="136"/>
      <c r="LGQ8" s="344"/>
      <c r="LGR8" s="344"/>
      <c r="LGS8" s="344"/>
      <c r="LGT8" s="344"/>
      <c r="LGU8" s="136"/>
      <c r="LGV8" s="137"/>
      <c r="LGW8" s="137"/>
      <c r="LGX8" s="136"/>
      <c r="LGY8" s="344"/>
      <c r="LGZ8" s="344"/>
      <c r="LHA8" s="344"/>
      <c r="LHB8" s="344"/>
      <c r="LHC8" s="136"/>
      <c r="LHD8" s="137"/>
      <c r="LHE8" s="137"/>
      <c r="LHF8" s="136"/>
      <c r="LHG8" s="344"/>
      <c r="LHH8" s="344"/>
      <c r="LHI8" s="344"/>
      <c r="LHJ8" s="344"/>
      <c r="LHK8" s="136"/>
      <c r="LHL8" s="137"/>
      <c r="LHM8" s="137"/>
      <c r="LHN8" s="136"/>
      <c r="LHO8" s="344"/>
      <c r="LHP8" s="344"/>
      <c r="LHQ8" s="344"/>
      <c r="LHR8" s="344"/>
      <c r="LHS8" s="136"/>
      <c r="LHT8" s="137"/>
      <c r="LHU8" s="137"/>
      <c r="LHV8" s="136"/>
      <c r="LHW8" s="344"/>
      <c r="LHX8" s="344"/>
      <c r="LHY8" s="344"/>
      <c r="LHZ8" s="344"/>
      <c r="LIA8" s="136"/>
      <c r="LIB8" s="137"/>
      <c r="LIC8" s="137"/>
      <c r="LID8" s="136"/>
      <c r="LIE8" s="344"/>
      <c r="LIF8" s="344"/>
      <c r="LIG8" s="344"/>
      <c r="LIH8" s="344"/>
      <c r="LII8" s="136"/>
      <c r="LIJ8" s="137"/>
      <c r="LIK8" s="137"/>
      <c r="LIL8" s="136"/>
      <c r="LIM8" s="344"/>
      <c r="LIN8" s="344"/>
      <c r="LIO8" s="344"/>
      <c r="LIP8" s="344"/>
      <c r="LIQ8" s="136"/>
      <c r="LIR8" s="137"/>
      <c r="LIS8" s="137"/>
      <c r="LIT8" s="136"/>
      <c r="LIU8" s="344"/>
      <c r="LIV8" s="344"/>
      <c r="LIW8" s="344"/>
      <c r="LIX8" s="344"/>
      <c r="LIY8" s="136"/>
      <c r="LIZ8" s="137"/>
      <c r="LJA8" s="137"/>
      <c r="LJB8" s="136"/>
      <c r="LJC8" s="344"/>
      <c r="LJD8" s="344"/>
      <c r="LJE8" s="344"/>
      <c r="LJF8" s="344"/>
      <c r="LJG8" s="136"/>
      <c r="LJH8" s="137"/>
      <c r="LJI8" s="137"/>
      <c r="LJJ8" s="136"/>
      <c r="LJK8" s="344"/>
      <c r="LJL8" s="344"/>
      <c r="LJM8" s="344"/>
      <c r="LJN8" s="344"/>
      <c r="LJO8" s="136"/>
      <c r="LJP8" s="137"/>
      <c r="LJQ8" s="137"/>
      <c r="LJR8" s="136"/>
      <c r="LJS8" s="344"/>
      <c r="LJT8" s="344"/>
      <c r="LJU8" s="344"/>
      <c r="LJV8" s="344"/>
      <c r="LJW8" s="136"/>
      <c r="LJX8" s="137"/>
      <c r="LJY8" s="137"/>
      <c r="LJZ8" s="136"/>
      <c r="LKA8" s="344"/>
      <c r="LKB8" s="344"/>
      <c r="LKC8" s="344"/>
      <c r="LKD8" s="344"/>
      <c r="LKE8" s="136"/>
      <c r="LKF8" s="137"/>
      <c r="LKG8" s="137"/>
      <c r="LKH8" s="136"/>
      <c r="LKI8" s="344"/>
      <c r="LKJ8" s="344"/>
      <c r="LKK8" s="344"/>
      <c r="LKL8" s="344"/>
      <c r="LKM8" s="136"/>
      <c r="LKN8" s="137"/>
      <c r="LKO8" s="137"/>
      <c r="LKP8" s="136"/>
      <c r="LKQ8" s="344"/>
      <c r="LKR8" s="344"/>
      <c r="LKS8" s="344"/>
      <c r="LKT8" s="344"/>
      <c r="LKU8" s="136"/>
      <c r="LKV8" s="137"/>
      <c r="LKW8" s="137"/>
      <c r="LKX8" s="136"/>
      <c r="LKY8" s="344"/>
      <c r="LKZ8" s="344"/>
      <c r="LLA8" s="344"/>
      <c r="LLB8" s="344"/>
      <c r="LLC8" s="136"/>
      <c r="LLD8" s="137"/>
      <c r="LLE8" s="137"/>
      <c r="LLF8" s="136"/>
      <c r="LLG8" s="344"/>
      <c r="LLH8" s="344"/>
      <c r="LLI8" s="344"/>
      <c r="LLJ8" s="344"/>
      <c r="LLK8" s="136"/>
      <c r="LLL8" s="137"/>
      <c r="LLM8" s="137"/>
      <c r="LLN8" s="136"/>
      <c r="LLO8" s="344"/>
      <c r="LLP8" s="344"/>
      <c r="LLQ8" s="344"/>
      <c r="LLR8" s="344"/>
      <c r="LLS8" s="136"/>
      <c r="LLT8" s="137"/>
      <c r="LLU8" s="137"/>
      <c r="LLV8" s="136"/>
      <c r="LLW8" s="344"/>
      <c r="LLX8" s="344"/>
      <c r="LLY8" s="344"/>
      <c r="LLZ8" s="344"/>
      <c r="LMA8" s="136"/>
      <c r="LMB8" s="137"/>
      <c r="LMC8" s="137"/>
      <c r="LMD8" s="136"/>
      <c r="LME8" s="344"/>
      <c r="LMF8" s="344"/>
      <c r="LMG8" s="344"/>
      <c r="LMH8" s="344"/>
      <c r="LMI8" s="136"/>
      <c r="LMJ8" s="137"/>
      <c r="LMK8" s="137"/>
      <c r="LML8" s="136"/>
      <c r="LMM8" s="344"/>
      <c r="LMN8" s="344"/>
      <c r="LMO8" s="344"/>
      <c r="LMP8" s="344"/>
      <c r="LMQ8" s="136"/>
      <c r="LMR8" s="137"/>
      <c r="LMS8" s="137"/>
      <c r="LMT8" s="136"/>
      <c r="LMU8" s="344"/>
      <c r="LMV8" s="344"/>
      <c r="LMW8" s="344"/>
      <c r="LMX8" s="344"/>
      <c r="LMY8" s="136"/>
      <c r="LMZ8" s="137"/>
      <c r="LNA8" s="137"/>
      <c r="LNB8" s="136"/>
      <c r="LNC8" s="344"/>
      <c r="LND8" s="344"/>
      <c r="LNE8" s="344"/>
      <c r="LNF8" s="344"/>
      <c r="LNG8" s="136"/>
      <c r="LNH8" s="137"/>
      <c r="LNI8" s="137"/>
      <c r="LNJ8" s="136"/>
      <c r="LNK8" s="344"/>
      <c r="LNL8" s="344"/>
      <c r="LNM8" s="344"/>
      <c r="LNN8" s="344"/>
      <c r="LNO8" s="136"/>
      <c r="LNP8" s="137"/>
      <c r="LNQ8" s="137"/>
      <c r="LNR8" s="136"/>
      <c r="LNS8" s="344"/>
      <c r="LNT8" s="344"/>
      <c r="LNU8" s="344"/>
      <c r="LNV8" s="344"/>
      <c r="LNW8" s="136"/>
      <c r="LNX8" s="137"/>
      <c r="LNY8" s="137"/>
      <c r="LNZ8" s="136"/>
      <c r="LOA8" s="344"/>
      <c r="LOB8" s="344"/>
      <c r="LOC8" s="344"/>
      <c r="LOD8" s="344"/>
      <c r="LOE8" s="136"/>
      <c r="LOF8" s="137"/>
      <c r="LOG8" s="137"/>
      <c r="LOH8" s="136"/>
      <c r="LOI8" s="344"/>
      <c r="LOJ8" s="344"/>
      <c r="LOK8" s="344"/>
      <c r="LOL8" s="344"/>
      <c r="LOM8" s="136"/>
      <c r="LON8" s="137"/>
      <c r="LOO8" s="137"/>
      <c r="LOP8" s="136"/>
      <c r="LOQ8" s="344"/>
      <c r="LOR8" s="344"/>
      <c r="LOS8" s="344"/>
      <c r="LOT8" s="344"/>
      <c r="LOU8" s="136"/>
      <c r="LOV8" s="137"/>
      <c r="LOW8" s="137"/>
      <c r="LOX8" s="136"/>
      <c r="LOY8" s="344"/>
      <c r="LOZ8" s="344"/>
      <c r="LPA8" s="344"/>
      <c r="LPB8" s="344"/>
      <c r="LPC8" s="136"/>
      <c r="LPD8" s="137"/>
      <c r="LPE8" s="137"/>
      <c r="LPF8" s="136"/>
      <c r="LPG8" s="344"/>
      <c r="LPH8" s="344"/>
      <c r="LPI8" s="344"/>
      <c r="LPJ8" s="344"/>
      <c r="LPK8" s="136"/>
      <c r="LPL8" s="137"/>
      <c r="LPM8" s="137"/>
      <c r="LPN8" s="136"/>
      <c r="LPO8" s="344"/>
      <c r="LPP8" s="344"/>
      <c r="LPQ8" s="344"/>
      <c r="LPR8" s="344"/>
      <c r="LPS8" s="136"/>
      <c r="LPT8" s="137"/>
      <c r="LPU8" s="137"/>
      <c r="LPV8" s="136"/>
      <c r="LPW8" s="344"/>
      <c r="LPX8" s="344"/>
      <c r="LPY8" s="344"/>
      <c r="LPZ8" s="344"/>
      <c r="LQA8" s="136"/>
      <c r="LQB8" s="137"/>
      <c r="LQC8" s="137"/>
      <c r="LQD8" s="136"/>
      <c r="LQE8" s="344"/>
      <c r="LQF8" s="344"/>
      <c r="LQG8" s="344"/>
      <c r="LQH8" s="344"/>
      <c r="LQI8" s="136"/>
      <c r="LQJ8" s="137"/>
      <c r="LQK8" s="137"/>
      <c r="LQL8" s="136"/>
      <c r="LQM8" s="344"/>
      <c r="LQN8" s="344"/>
      <c r="LQO8" s="344"/>
      <c r="LQP8" s="344"/>
      <c r="LQQ8" s="136"/>
      <c r="LQR8" s="137"/>
      <c r="LQS8" s="137"/>
      <c r="LQT8" s="136"/>
      <c r="LQU8" s="344"/>
      <c r="LQV8" s="344"/>
      <c r="LQW8" s="344"/>
      <c r="LQX8" s="344"/>
      <c r="LQY8" s="136"/>
      <c r="LQZ8" s="137"/>
      <c r="LRA8" s="137"/>
      <c r="LRB8" s="136"/>
      <c r="LRC8" s="344"/>
      <c r="LRD8" s="344"/>
      <c r="LRE8" s="344"/>
      <c r="LRF8" s="344"/>
      <c r="LRG8" s="136"/>
      <c r="LRH8" s="137"/>
      <c r="LRI8" s="137"/>
      <c r="LRJ8" s="136"/>
      <c r="LRK8" s="344"/>
      <c r="LRL8" s="344"/>
      <c r="LRM8" s="344"/>
      <c r="LRN8" s="344"/>
      <c r="LRO8" s="136"/>
      <c r="LRP8" s="137"/>
      <c r="LRQ8" s="137"/>
      <c r="LRR8" s="136"/>
      <c r="LRS8" s="344"/>
      <c r="LRT8" s="344"/>
      <c r="LRU8" s="344"/>
      <c r="LRV8" s="344"/>
      <c r="LRW8" s="136"/>
      <c r="LRX8" s="137"/>
      <c r="LRY8" s="137"/>
      <c r="LRZ8" s="136"/>
      <c r="LSA8" s="344"/>
      <c r="LSB8" s="344"/>
      <c r="LSC8" s="344"/>
      <c r="LSD8" s="344"/>
      <c r="LSE8" s="136"/>
      <c r="LSF8" s="137"/>
      <c r="LSG8" s="137"/>
      <c r="LSH8" s="136"/>
      <c r="LSI8" s="344"/>
      <c r="LSJ8" s="344"/>
      <c r="LSK8" s="344"/>
      <c r="LSL8" s="344"/>
      <c r="LSM8" s="136"/>
      <c r="LSN8" s="137"/>
      <c r="LSO8" s="137"/>
      <c r="LSP8" s="136"/>
      <c r="LSQ8" s="344"/>
      <c r="LSR8" s="344"/>
      <c r="LSS8" s="344"/>
      <c r="LST8" s="344"/>
      <c r="LSU8" s="136"/>
      <c r="LSV8" s="137"/>
      <c r="LSW8" s="137"/>
      <c r="LSX8" s="136"/>
      <c r="LSY8" s="344"/>
      <c r="LSZ8" s="344"/>
      <c r="LTA8" s="344"/>
      <c r="LTB8" s="344"/>
      <c r="LTC8" s="136"/>
      <c r="LTD8" s="137"/>
      <c r="LTE8" s="137"/>
      <c r="LTF8" s="136"/>
      <c r="LTG8" s="344"/>
      <c r="LTH8" s="344"/>
      <c r="LTI8" s="344"/>
      <c r="LTJ8" s="344"/>
      <c r="LTK8" s="136"/>
      <c r="LTL8" s="137"/>
      <c r="LTM8" s="137"/>
      <c r="LTN8" s="136"/>
      <c r="LTO8" s="344"/>
      <c r="LTP8" s="344"/>
      <c r="LTQ8" s="344"/>
      <c r="LTR8" s="344"/>
      <c r="LTS8" s="136"/>
      <c r="LTT8" s="137"/>
      <c r="LTU8" s="137"/>
      <c r="LTV8" s="136"/>
      <c r="LTW8" s="344"/>
      <c r="LTX8" s="344"/>
      <c r="LTY8" s="344"/>
      <c r="LTZ8" s="344"/>
      <c r="LUA8" s="136"/>
      <c r="LUB8" s="137"/>
      <c r="LUC8" s="137"/>
      <c r="LUD8" s="136"/>
      <c r="LUE8" s="344"/>
      <c r="LUF8" s="344"/>
      <c r="LUG8" s="344"/>
      <c r="LUH8" s="344"/>
      <c r="LUI8" s="136"/>
      <c r="LUJ8" s="137"/>
      <c r="LUK8" s="137"/>
      <c r="LUL8" s="136"/>
      <c r="LUM8" s="344"/>
      <c r="LUN8" s="344"/>
      <c r="LUO8" s="344"/>
      <c r="LUP8" s="344"/>
      <c r="LUQ8" s="136"/>
      <c r="LUR8" s="137"/>
      <c r="LUS8" s="137"/>
      <c r="LUT8" s="136"/>
      <c r="LUU8" s="344"/>
      <c r="LUV8" s="344"/>
      <c r="LUW8" s="344"/>
      <c r="LUX8" s="344"/>
      <c r="LUY8" s="136"/>
      <c r="LUZ8" s="137"/>
      <c r="LVA8" s="137"/>
      <c r="LVB8" s="136"/>
      <c r="LVC8" s="344"/>
      <c r="LVD8" s="344"/>
      <c r="LVE8" s="344"/>
      <c r="LVF8" s="344"/>
      <c r="LVG8" s="136"/>
      <c r="LVH8" s="137"/>
      <c r="LVI8" s="137"/>
      <c r="LVJ8" s="136"/>
      <c r="LVK8" s="344"/>
      <c r="LVL8" s="344"/>
      <c r="LVM8" s="344"/>
      <c r="LVN8" s="344"/>
      <c r="LVO8" s="136"/>
      <c r="LVP8" s="137"/>
      <c r="LVQ8" s="137"/>
      <c r="LVR8" s="136"/>
      <c r="LVS8" s="344"/>
      <c r="LVT8" s="344"/>
      <c r="LVU8" s="344"/>
      <c r="LVV8" s="344"/>
      <c r="LVW8" s="136"/>
      <c r="LVX8" s="137"/>
      <c r="LVY8" s="137"/>
      <c r="LVZ8" s="136"/>
      <c r="LWA8" s="344"/>
      <c r="LWB8" s="344"/>
      <c r="LWC8" s="344"/>
      <c r="LWD8" s="344"/>
      <c r="LWE8" s="136"/>
      <c r="LWF8" s="137"/>
      <c r="LWG8" s="137"/>
      <c r="LWH8" s="136"/>
      <c r="LWI8" s="344"/>
      <c r="LWJ8" s="344"/>
      <c r="LWK8" s="344"/>
      <c r="LWL8" s="344"/>
      <c r="LWM8" s="136"/>
      <c r="LWN8" s="137"/>
      <c r="LWO8" s="137"/>
      <c r="LWP8" s="136"/>
      <c r="LWQ8" s="344"/>
      <c r="LWR8" s="344"/>
      <c r="LWS8" s="344"/>
      <c r="LWT8" s="344"/>
      <c r="LWU8" s="136"/>
      <c r="LWV8" s="137"/>
      <c r="LWW8" s="137"/>
      <c r="LWX8" s="136"/>
      <c r="LWY8" s="344"/>
      <c r="LWZ8" s="344"/>
      <c r="LXA8" s="344"/>
      <c r="LXB8" s="344"/>
      <c r="LXC8" s="136"/>
      <c r="LXD8" s="137"/>
      <c r="LXE8" s="137"/>
      <c r="LXF8" s="136"/>
      <c r="LXG8" s="344"/>
      <c r="LXH8" s="344"/>
      <c r="LXI8" s="344"/>
      <c r="LXJ8" s="344"/>
      <c r="LXK8" s="136"/>
      <c r="LXL8" s="137"/>
      <c r="LXM8" s="137"/>
      <c r="LXN8" s="136"/>
      <c r="LXO8" s="344"/>
      <c r="LXP8" s="344"/>
      <c r="LXQ8" s="344"/>
      <c r="LXR8" s="344"/>
      <c r="LXS8" s="136"/>
      <c r="LXT8" s="137"/>
      <c r="LXU8" s="137"/>
      <c r="LXV8" s="136"/>
      <c r="LXW8" s="344"/>
      <c r="LXX8" s="344"/>
      <c r="LXY8" s="344"/>
      <c r="LXZ8" s="344"/>
      <c r="LYA8" s="136"/>
      <c r="LYB8" s="137"/>
      <c r="LYC8" s="137"/>
      <c r="LYD8" s="136"/>
      <c r="LYE8" s="344"/>
      <c r="LYF8" s="344"/>
      <c r="LYG8" s="344"/>
      <c r="LYH8" s="344"/>
      <c r="LYI8" s="136"/>
      <c r="LYJ8" s="137"/>
      <c r="LYK8" s="137"/>
      <c r="LYL8" s="136"/>
      <c r="LYM8" s="344"/>
      <c r="LYN8" s="344"/>
      <c r="LYO8" s="344"/>
      <c r="LYP8" s="344"/>
      <c r="LYQ8" s="136"/>
      <c r="LYR8" s="137"/>
      <c r="LYS8" s="137"/>
      <c r="LYT8" s="136"/>
      <c r="LYU8" s="344"/>
      <c r="LYV8" s="344"/>
      <c r="LYW8" s="344"/>
      <c r="LYX8" s="344"/>
      <c r="LYY8" s="136"/>
      <c r="LYZ8" s="137"/>
      <c r="LZA8" s="137"/>
      <c r="LZB8" s="136"/>
      <c r="LZC8" s="344"/>
      <c r="LZD8" s="344"/>
      <c r="LZE8" s="344"/>
      <c r="LZF8" s="344"/>
      <c r="LZG8" s="136"/>
      <c r="LZH8" s="137"/>
      <c r="LZI8" s="137"/>
      <c r="LZJ8" s="136"/>
      <c r="LZK8" s="344"/>
      <c r="LZL8" s="344"/>
      <c r="LZM8" s="344"/>
      <c r="LZN8" s="344"/>
      <c r="LZO8" s="136"/>
      <c r="LZP8" s="137"/>
      <c r="LZQ8" s="137"/>
      <c r="LZR8" s="136"/>
      <c r="LZS8" s="344"/>
      <c r="LZT8" s="344"/>
      <c r="LZU8" s="344"/>
      <c r="LZV8" s="344"/>
      <c r="LZW8" s="136"/>
      <c r="LZX8" s="137"/>
      <c r="LZY8" s="137"/>
      <c r="LZZ8" s="136"/>
      <c r="MAA8" s="344"/>
      <c r="MAB8" s="344"/>
      <c r="MAC8" s="344"/>
      <c r="MAD8" s="344"/>
      <c r="MAE8" s="136"/>
      <c r="MAF8" s="137"/>
      <c r="MAG8" s="137"/>
      <c r="MAH8" s="136"/>
      <c r="MAI8" s="344"/>
      <c r="MAJ8" s="344"/>
      <c r="MAK8" s="344"/>
      <c r="MAL8" s="344"/>
      <c r="MAM8" s="136"/>
      <c r="MAN8" s="137"/>
      <c r="MAO8" s="137"/>
      <c r="MAP8" s="136"/>
      <c r="MAQ8" s="344"/>
      <c r="MAR8" s="344"/>
      <c r="MAS8" s="344"/>
      <c r="MAT8" s="344"/>
      <c r="MAU8" s="136"/>
      <c r="MAV8" s="137"/>
      <c r="MAW8" s="137"/>
      <c r="MAX8" s="136"/>
      <c r="MAY8" s="344"/>
      <c r="MAZ8" s="344"/>
      <c r="MBA8" s="344"/>
      <c r="MBB8" s="344"/>
      <c r="MBC8" s="136"/>
      <c r="MBD8" s="137"/>
      <c r="MBE8" s="137"/>
      <c r="MBF8" s="136"/>
      <c r="MBG8" s="344"/>
      <c r="MBH8" s="344"/>
      <c r="MBI8" s="344"/>
      <c r="MBJ8" s="344"/>
      <c r="MBK8" s="136"/>
      <c r="MBL8" s="137"/>
      <c r="MBM8" s="137"/>
      <c r="MBN8" s="136"/>
      <c r="MBO8" s="344"/>
      <c r="MBP8" s="344"/>
      <c r="MBQ8" s="344"/>
      <c r="MBR8" s="344"/>
      <c r="MBS8" s="136"/>
      <c r="MBT8" s="137"/>
      <c r="MBU8" s="137"/>
      <c r="MBV8" s="136"/>
      <c r="MBW8" s="344"/>
      <c r="MBX8" s="344"/>
      <c r="MBY8" s="344"/>
      <c r="MBZ8" s="344"/>
      <c r="MCA8" s="136"/>
      <c r="MCB8" s="137"/>
      <c r="MCC8" s="137"/>
      <c r="MCD8" s="136"/>
      <c r="MCE8" s="344"/>
      <c r="MCF8" s="344"/>
      <c r="MCG8" s="344"/>
      <c r="MCH8" s="344"/>
      <c r="MCI8" s="136"/>
      <c r="MCJ8" s="137"/>
      <c r="MCK8" s="137"/>
      <c r="MCL8" s="136"/>
      <c r="MCM8" s="344"/>
      <c r="MCN8" s="344"/>
      <c r="MCO8" s="344"/>
      <c r="MCP8" s="344"/>
      <c r="MCQ8" s="136"/>
      <c r="MCR8" s="137"/>
      <c r="MCS8" s="137"/>
      <c r="MCT8" s="136"/>
      <c r="MCU8" s="344"/>
      <c r="MCV8" s="344"/>
      <c r="MCW8" s="344"/>
      <c r="MCX8" s="344"/>
      <c r="MCY8" s="136"/>
      <c r="MCZ8" s="137"/>
      <c r="MDA8" s="137"/>
      <c r="MDB8" s="136"/>
      <c r="MDC8" s="344"/>
      <c r="MDD8" s="344"/>
      <c r="MDE8" s="344"/>
      <c r="MDF8" s="344"/>
      <c r="MDG8" s="136"/>
      <c r="MDH8" s="137"/>
      <c r="MDI8" s="137"/>
      <c r="MDJ8" s="136"/>
      <c r="MDK8" s="344"/>
      <c r="MDL8" s="344"/>
      <c r="MDM8" s="344"/>
      <c r="MDN8" s="344"/>
      <c r="MDO8" s="136"/>
      <c r="MDP8" s="137"/>
      <c r="MDQ8" s="137"/>
      <c r="MDR8" s="136"/>
      <c r="MDS8" s="344"/>
      <c r="MDT8" s="344"/>
      <c r="MDU8" s="344"/>
      <c r="MDV8" s="344"/>
      <c r="MDW8" s="136"/>
      <c r="MDX8" s="137"/>
      <c r="MDY8" s="137"/>
      <c r="MDZ8" s="136"/>
      <c r="MEA8" s="344"/>
      <c r="MEB8" s="344"/>
      <c r="MEC8" s="344"/>
      <c r="MED8" s="344"/>
      <c r="MEE8" s="136"/>
      <c r="MEF8" s="137"/>
      <c r="MEG8" s="137"/>
      <c r="MEH8" s="136"/>
      <c r="MEI8" s="344"/>
      <c r="MEJ8" s="344"/>
      <c r="MEK8" s="344"/>
      <c r="MEL8" s="344"/>
      <c r="MEM8" s="136"/>
      <c r="MEN8" s="137"/>
      <c r="MEO8" s="137"/>
      <c r="MEP8" s="136"/>
      <c r="MEQ8" s="344"/>
      <c r="MER8" s="344"/>
      <c r="MES8" s="344"/>
      <c r="MET8" s="344"/>
      <c r="MEU8" s="136"/>
      <c r="MEV8" s="137"/>
      <c r="MEW8" s="137"/>
      <c r="MEX8" s="136"/>
      <c r="MEY8" s="344"/>
      <c r="MEZ8" s="344"/>
      <c r="MFA8" s="344"/>
      <c r="MFB8" s="344"/>
      <c r="MFC8" s="136"/>
      <c r="MFD8" s="137"/>
      <c r="MFE8" s="137"/>
      <c r="MFF8" s="136"/>
      <c r="MFG8" s="344"/>
      <c r="MFH8" s="344"/>
      <c r="MFI8" s="344"/>
      <c r="MFJ8" s="344"/>
      <c r="MFK8" s="136"/>
      <c r="MFL8" s="137"/>
      <c r="MFM8" s="137"/>
      <c r="MFN8" s="136"/>
      <c r="MFO8" s="344"/>
      <c r="MFP8" s="344"/>
      <c r="MFQ8" s="344"/>
      <c r="MFR8" s="344"/>
      <c r="MFS8" s="136"/>
      <c r="MFT8" s="137"/>
      <c r="MFU8" s="137"/>
      <c r="MFV8" s="136"/>
      <c r="MFW8" s="344"/>
      <c r="MFX8" s="344"/>
      <c r="MFY8" s="344"/>
      <c r="MFZ8" s="344"/>
      <c r="MGA8" s="136"/>
      <c r="MGB8" s="137"/>
      <c r="MGC8" s="137"/>
      <c r="MGD8" s="136"/>
      <c r="MGE8" s="344"/>
      <c r="MGF8" s="344"/>
      <c r="MGG8" s="344"/>
      <c r="MGH8" s="344"/>
      <c r="MGI8" s="136"/>
      <c r="MGJ8" s="137"/>
      <c r="MGK8" s="137"/>
      <c r="MGL8" s="136"/>
      <c r="MGM8" s="344"/>
      <c r="MGN8" s="344"/>
      <c r="MGO8" s="344"/>
      <c r="MGP8" s="344"/>
      <c r="MGQ8" s="136"/>
      <c r="MGR8" s="137"/>
      <c r="MGS8" s="137"/>
      <c r="MGT8" s="136"/>
      <c r="MGU8" s="344"/>
      <c r="MGV8" s="344"/>
      <c r="MGW8" s="344"/>
      <c r="MGX8" s="344"/>
      <c r="MGY8" s="136"/>
      <c r="MGZ8" s="137"/>
      <c r="MHA8" s="137"/>
      <c r="MHB8" s="136"/>
      <c r="MHC8" s="344"/>
      <c r="MHD8" s="344"/>
      <c r="MHE8" s="344"/>
      <c r="MHF8" s="344"/>
      <c r="MHG8" s="136"/>
      <c r="MHH8" s="137"/>
      <c r="MHI8" s="137"/>
      <c r="MHJ8" s="136"/>
      <c r="MHK8" s="344"/>
      <c r="MHL8" s="344"/>
      <c r="MHM8" s="344"/>
      <c r="MHN8" s="344"/>
      <c r="MHO8" s="136"/>
      <c r="MHP8" s="137"/>
      <c r="MHQ8" s="137"/>
      <c r="MHR8" s="136"/>
      <c r="MHS8" s="344"/>
      <c r="MHT8" s="344"/>
      <c r="MHU8" s="344"/>
      <c r="MHV8" s="344"/>
      <c r="MHW8" s="136"/>
      <c r="MHX8" s="137"/>
      <c r="MHY8" s="137"/>
      <c r="MHZ8" s="136"/>
      <c r="MIA8" s="344"/>
      <c r="MIB8" s="344"/>
      <c r="MIC8" s="344"/>
      <c r="MID8" s="344"/>
      <c r="MIE8" s="136"/>
      <c r="MIF8" s="137"/>
      <c r="MIG8" s="137"/>
      <c r="MIH8" s="136"/>
      <c r="MII8" s="344"/>
      <c r="MIJ8" s="344"/>
      <c r="MIK8" s="344"/>
      <c r="MIL8" s="344"/>
      <c r="MIM8" s="136"/>
      <c r="MIN8" s="137"/>
      <c r="MIO8" s="137"/>
      <c r="MIP8" s="136"/>
      <c r="MIQ8" s="344"/>
      <c r="MIR8" s="344"/>
      <c r="MIS8" s="344"/>
      <c r="MIT8" s="344"/>
      <c r="MIU8" s="136"/>
      <c r="MIV8" s="137"/>
      <c r="MIW8" s="137"/>
      <c r="MIX8" s="136"/>
      <c r="MIY8" s="344"/>
      <c r="MIZ8" s="344"/>
      <c r="MJA8" s="344"/>
      <c r="MJB8" s="344"/>
      <c r="MJC8" s="136"/>
      <c r="MJD8" s="137"/>
      <c r="MJE8" s="137"/>
      <c r="MJF8" s="136"/>
      <c r="MJG8" s="344"/>
      <c r="MJH8" s="344"/>
      <c r="MJI8" s="344"/>
      <c r="MJJ8" s="344"/>
      <c r="MJK8" s="136"/>
      <c r="MJL8" s="137"/>
      <c r="MJM8" s="137"/>
      <c r="MJN8" s="136"/>
      <c r="MJO8" s="344"/>
      <c r="MJP8" s="344"/>
      <c r="MJQ8" s="344"/>
      <c r="MJR8" s="344"/>
      <c r="MJS8" s="136"/>
      <c r="MJT8" s="137"/>
      <c r="MJU8" s="137"/>
      <c r="MJV8" s="136"/>
      <c r="MJW8" s="344"/>
      <c r="MJX8" s="344"/>
      <c r="MJY8" s="344"/>
      <c r="MJZ8" s="344"/>
      <c r="MKA8" s="136"/>
      <c r="MKB8" s="137"/>
      <c r="MKC8" s="137"/>
      <c r="MKD8" s="136"/>
      <c r="MKE8" s="344"/>
      <c r="MKF8" s="344"/>
      <c r="MKG8" s="344"/>
      <c r="MKH8" s="344"/>
      <c r="MKI8" s="136"/>
      <c r="MKJ8" s="137"/>
      <c r="MKK8" s="137"/>
      <c r="MKL8" s="136"/>
      <c r="MKM8" s="344"/>
      <c r="MKN8" s="344"/>
      <c r="MKO8" s="344"/>
      <c r="MKP8" s="344"/>
      <c r="MKQ8" s="136"/>
      <c r="MKR8" s="137"/>
      <c r="MKS8" s="137"/>
      <c r="MKT8" s="136"/>
      <c r="MKU8" s="344"/>
      <c r="MKV8" s="344"/>
      <c r="MKW8" s="344"/>
      <c r="MKX8" s="344"/>
      <c r="MKY8" s="136"/>
      <c r="MKZ8" s="137"/>
      <c r="MLA8" s="137"/>
      <c r="MLB8" s="136"/>
      <c r="MLC8" s="344"/>
      <c r="MLD8" s="344"/>
      <c r="MLE8" s="344"/>
      <c r="MLF8" s="344"/>
      <c r="MLG8" s="136"/>
      <c r="MLH8" s="137"/>
      <c r="MLI8" s="137"/>
      <c r="MLJ8" s="136"/>
      <c r="MLK8" s="344"/>
      <c r="MLL8" s="344"/>
      <c r="MLM8" s="344"/>
      <c r="MLN8" s="344"/>
      <c r="MLO8" s="136"/>
      <c r="MLP8" s="137"/>
      <c r="MLQ8" s="137"/>
      <c r="MLR8" s="136"/>
      <c r="MLS8" s="344"/>
      <c r="MLT8" s="344"/>
      <c r="MLU8" s="344"/>
      <c r="MLV8" s="344"/>
      <c r="MLW8" s="136"/>
      <c r="MLX8" s="137"/>
      <c r="MLY8" s="137"/>
      <c r="MLZ8" s="136"/>
      <c r="MMA8" s="344"/>
      <c r="MMB8" s="344"/>
      <c r="MMC8" s="344"/>
      <c r="MMD8" s="344"/>
      <c r="MME8" s="136"/>
      <c r="MMF8" s="137"/>
      <c r="MMG8" s="137"/>
      <c r="MMH8" s="136"/>
      <c r="MMI8" s="344"/>
      <c r="MMJ8" s="344"/>
      <c r="MMK8" s="344"/>
      <c r="MML8" s="344"/>
      <c r="MMM8" s="136"/>
      <c r="MMN8" s="137"/>
      <c r="MMO8" s="137"/>
      <c r="MMP8" s="136"/>
      <c r="MMQ8" s="344"/>
      <c r="MMR8" s="344"/>
      <c r="MMS8" s="344"/>
      <c r="MMT8" s="344"/>
      <c r="MMU8" s="136"/>
      <c r="MMV8" s="137"/>
      <c r="MMW8" s="137"/>
      <c r="MMX8" s="136"/>
      <c r="MMY8" s="344"/>
      <c r="MMZ8" s="344"/>
      <c r="MNA8" s="344"/>
      <c r="MNB8" s="344"/>
      <c r="MNC8" s="136"/>
      <c r="MND8" s="137"/>
      <c r="MNE8" s="137"/>
      <c r="MNF8" s="136"/>
      <c r="MNG8" s="344"/>
      <c r="MNH8" s="344"/>
      <c r="MNI8" s="344"/>
      <c r="MNJ8" s="344"/>
      <c r="MNK8" s="136"/>
      <c r="MNL8" s="137"/>
      <c r="MNM8" s="137"/>
      <c r="MNN8" s="136"/>
      <c r="MNO8" s="344"/>
      <c r="MNP8" s="344"/>
      <c r="MNQ8" s="344"/>
      <c r="MNR8" s="344"/>
      <c r="MNS8" s="136"/>
      <c r="MNT8" s="137"/>
      <c r="MNU8" s="137"/>
      <c r="MNV8" s="136"/>
      <c r="MNW8" s="344"/>
      <c r="MNX8" s="344"/>
      <c r="MNY8" s="344"/>
      <c r="MNZ8" s="344"/>
      <c r="MOA8" s="136"/>
      <c r="MOB8" s="137"/>
      <c r="MOC8" s="137"/>
      <c r="MOD8" s="136"/>
      <c r="MOE8" s="344"/>
      <c r="MOF8" s="344"/>
      <c r="MOG8" s="344"/>
      <c r="MOH8" s="344"/>
      <c r="MOI8" s="136"/>
      <c r="MOJ8" s="137"/>
      <c r="MOK8" s="137"/>
      <c r="MOL8" s="136"/>
      <c r="MOM8" s="344"/>
      <c r="MON8" s="344"/>
      <c r="MOO8" s="344"/>
      <c r="MOP8" s="344"/>
      <c r="MOQ8" s="136"/>
      <c r="MOR8" s="137"/>
      <c r="MOS8" s="137"/>
      <c r="MOT8" s="136"/>
      <c r="MOU8" s="344"/>
      <c r="MOV8" s="344"/>
      <c r="MOW8" s="344"/>
      <c r="MOX8" s="344"/>
      <c r="MOY8" s="136"/>
      <c r="MOZ8" s="137"/>
      <c r="MPA8" s="137"/>
      <c r="MPB8" s="136"/>
      <c r="MPC8" s="344"/>
      <c r="MPD8" s="344"/>
      <c r="MPE8" s="344"/>
      <c r="MPF8" s="344"/>
      <c r="MPG8" s="136"/>
      <c r="MPH8" s="137"/>
      <c r="MPI8" s="137"/>
      <c r="MPJ8" s="136"/>
      <c r="MPK8" s="344"/>
      <c r="MPL8" s="344"/>
      <c r="MPM8" s="344"/>
      <c r="MPN8" s="344"/>
      <c r="MPO8" s="136"/>
      <c r="MPP8" s="137"/>
      <c r="MPQ8" s="137"/>
      <c r="MPR8" s="136"/>
      <c r="MPS8" s="344"/>
      <c r="MPT8" s="344"/>
      <c r="MPU8" s="344"/>
      <c r="MPV8" s="344"/>
      <c r="MPW8" s="136"/>
      <c r="MPX8" s="137"/>
      <c r="MPY8" s="137"/>
      <c r="MPZ8" s="136"/>
      <c r="MQA8" s="344"/>
      <c r="MQB8" s="344"/>
      <c r="MQC8" s="344"/>
      <c r="MQD8" s="344"/>
      <c r="MQE8" s="136"/>
      <c r="MQF8" s="137"/>
      <c r="MQG8" s="137"/>
      <c r="MQH8" s="136"/>
      <c r="MQI8" s="344"/>
      <c r="MQJ8" s="344"/>
      <c r="MQK8" s="344"/>
      <c r="MQL8" s="344"/>
      <c r="MQM8" s="136"/>
      <c r="MQN8" s="137"/>
      <c r="MQO8" s="137"/>
      <c r="MQP8" s="136"/>
      <c r="MQQ8" s="344"/>
      <c r="MQR8" s="344"/>
      <c r="MQS8" s="344"/>
      <c r="MQT8" s="344"/>
      <c r="MQU8" s="136"/>
      <c r="MQV8" s="137"/>
      <c r="MQW8" s="137"/>
      <c r="MQX8" s="136"/>
      <c r="MQY8" s="344"/>
      <c r="MQZ8" s="344"/>
      <c r="MRA8" s="344"/>
      <c r="MRB8" s="344"/>
      <c r="MRC8" s="136"/>
      <c r="MRD8" s="137"/>
      <c r="MRE8" s="137"/>
      <c r="MRF8" s="136"/>
      <c r="MRG8" s="344"/>
      <c r="MRH8" s="344"/>
      <c r="MRI8" s="344"/>
      <c r="MRJ8" s="344"/>
      <c r="MRK8" s="136"/>
      <c r="MRL8" s="137"/>
      <c r="MRM8" s="137"/>
      <c r="MRN8" s="136"/>
      <c r="MRO8" s="344"/>
      <c r="MRP8" s="344"/>
      <c r="MRQ8" s="344"/>
      <c r="MRR8" s="344"/>
      <c r="MRS8" s="136"/>
      <c r="MRT8" s="137"/>
      <c r="MRU8" s="137"/>
      <c r="MRV8" s="136"/>
      <c r="MRW8" s="344"/>
      <c r="MRX8" s="344"/>
      <c r="MRY8" s="344"/>
      <c r="MRZ8" s="344"/>
      <c r="MSA8" s="136"/>
      <c r="MSB8" s="137"/>
      <c r="MSC8" s="137"/>
      <c r="MSD8" s="136"/>
      <c r="MSE8" s="344"/>
      <c r="MSF8" s="344"/>
      <c r="MSG8" s="344"/>
      <c r="MSH8" s="344"/>
      <c r="MSI8" s="136"/>
      <c r="MSJ8" s="137"/>
      <c r="MSK8" s="137"/>
      <c r="MSL8" s="136"/>
      <c r="MSM8" s="344"/>
      <c r="MSN8" s="344"/>
      <c r="MSO8" s="344"/>
      <c r="MSP8" s="344"/>
      <c r="MSQ8" s="136"/>
      <c r="MSR8" s="137"/>
      <c r="MSS8" s="137"/>
      <c r="MST8" s="136"/>
      <c r="MSU8" s="344"/>
      <c r="MSV8" s="344"/>
      <c r="MSW8" s="344"/>
      <c r="MSX8" s="344"/>
      <c r="MSY8" s="136"/>
      <c r="MSZ8" s="137"/>
      <c r="MTA8" s="137"/>
      <c r="MTB8" s="136"/>
      <c r="MTC8" s="344"/>
      <c r="MTD8" s="344"/>
      <c r="MTE8" s="344"/>
      <c r="MTF8" s="344"/>
      <c r="MTG8" s="136"/>
      <c r="MTH8" s="137"/>
      <c r="MTI8" s="137"/>
      <c r="MTJ8" s="136"/>
      <c r="MTK8" s="344"/>
      <c r="MTL8" s="344"/>
      <c r="MTM8" s="344"/>
      <c r="MTN8" s="344"/>
      <c r="MTO8" s="136"/>
      <c r="MTP8" s="137"/>
      <c r="MTQ8" s="137"/>
      <c r="MTR8" s="136"/>
      <c r="MTS8" s="344"/>
      <c r="MTT8" s="344"/>
      <c r="MTU8" s="344"/>
      <c r="MTV8" s="344"/>
      <c r="MTW8" s="136"/>
      <c r="MTX8" s="137"/>
      <c r="MTY8" s="137"/>
      <c r="MTZ8" s="136"/>
      <c r="MUA8" s="344"/>
      <c r="MUB8" s="344"/>
      <c r="MUC8" s="344"/>
      <c r="MUD8" s="344"/>
      <c r="MUE8" s="136"/>
      <c r="MUF8" s="137"/>
      <c r="MUG8" s="137"/>
      <c r="MUH8" s="136"/>
      <c r="MUI8" s="344"/>
      <c r="MUJ8" s="344"/>
      <c r="MUK8" s="344"/>
      <c r="MUL8" s="344"/>
      <c r="MUM8" s="136"/>
      <c r="MUN8" s="137"/>
      <c r="MUO8" s="137"/>
      <c r="MUP8" s="136"/>
      <c r="MUQ8" s="344"/>
      <c r="MUR8" s="344"/>
      <c r="MUS8" s="344"/>
      <c r="MUT8" s="344"/>
      <c r="MUU8" s="136"/>
      <c r="MUV8" s="137"/>
      <c r="MUW8" s="137"/>
      <c r="MUX8" s="136"/>
      <c r="MUY8" s="344"/>
      <c r="MUZ8" s="344"/>
      <c r="MVA8" s="344"/>
      <c r="MVB8" s="344"/>
      <c r="MVC8" s="136"/>
      <c r="MVD8" s="137"/>
      <c r="MVE8" s="137"/>
      <c r="MVF8" s="136"/>
      <c r="MVG8" s="344"/>
      <c r="MVH8" s="344"/>
      <c r="MVI8" s="344"/>
      <c r="MVJ8" s="344"/>
      <c r="MVK8" s="136"/>
      <c r="MVL8" s="137"/>
      <c r="MVM8" s="137"/>
      <c r="MVN8" s="136"/>
      <c r="MVO8" s="344"/>
      <c r="MVP8" s="344"/>
      <c r="MVQ8" s="344"/>
      <c r="MVR8" s="344"/>
      <c r="MVS8" s="136"/>
      <c r="MVT8" s="137"/>
      <c r="MVU8" s="137"/>
      <c r="MVV8" s="136"/>
      <c r="MVW8" s="344"/>
      <c r="MVX8" s="344"/>
      <c r="MVY8" s="344"/>
      <c r="MVZ8" s="344"/>
      <c r="MWA8" s="136"/>
      <c r="MWB8" s="137"/>
      <c r="MWC8" s="137"/>
      <c r="MWD8" s="136"/>
      <c r="MWE8" s="344"/>
      <c r="MWF8" s="344"/>
      <c r="MWG8" s="344"/>
      <c r="MWH8" s="344"/>
      <c r="MWI8" s="136"/>
      <c r="MWJ8" s="137"/>
      <c r="MWK8" s="137"/>
      <c r="MWL8" s="136"/>
      <c r="MWM8" s="344"/>
      <c r="MWN8" s="344"/>
      <c r="MWO8" s="344"/>
      <c r="MWP8" s="344"/>
      <c r="MWQ8" s="136"/>
      <c r="MWR8" s="137"/>
      <c r="MWS8" s="137"/>
      <c r="MWT8" s="136"/>
      <c r="MWU8" s="344"/>
      <c r="MWV8" s="344"/>
      <c r="MWW8" s="344"/>
      <c r="MWX8" s="344"/>
      <c r="MWY8" s="136"/>
      <c r="MWZ8" s="137"/>
      <c r="MXA8" s="137"/>
      <c r="MXB8" s="136"/>
      <c r="MXC8" s="344"/>
      <c r="MXD8" s="344"/>
      <c r="MXE8" s="344"/>
      <c r="MXF8" s="344"/>
      <c r="MXG8" s="136"/>
      <c r="MXH8" s="137"/>
      <c r="MXI8" s="137"/>
      <c r="MXJ8" s="136"/>
      <c r="MXK8" s="344"/>
      <c r="MXL8" s="344"/>
      <c r="MXM8" s="344"/>
      <c r="MXN8" s="344"/>
      <c r="MXO8" s="136"/>
      <c r="MXP8" s="137"/>
      <c r="MXQ8" s="137"/>
      <c r="MXR8" s="136"/>
      <c r="MXS8" s="344"/>
      <c r="MXT8" s="344"/>
      <c r="MXU8" s="344"/>
      <c r="MXV8" s="344"/>
      <c r="MXW8" s="136"/>
      <c r="MXX8" s="137"/>
      <c r="MXY8" s="137"/>
      <c r="MXZ8" s="136"/>
      <c r="MYA8" s="344"/>
      <c r="MYB8" s="344"/>
      <c r="MYC8" s="344"/>
      <c r="MYD8" s="344"/>
      <c r="MYE8" s="136"/>
      <c r="MYF8" s="137"/>
      <c r="MYG8" s="137"/>
      <c r="MYH8" s="136"/>
      <c r="MYI8" s="344"/>
      <c r="MYJ8" s="344"/>
      <c r="MYK8" s="344"/>
      <c r="MYL8" s="344"/>
      <c r="MYM8" s="136"/>
      <c r="MYN8" s="137"/>
      <c r="MYO8" s="137"/>
      <c r="MYP8" s="136"/>
      <c r="MYQ8" s="344"/>
      <c r="MYR8" s="344"/>
      <c r="MYS8" s="344"/>
      <c r="MYT8" s="344"/>
      <c r="MYU8" s="136"/>
      <c r="MYV8" s="137"/>
      <c r="MYW8" s="137"/>
      <c r="MYX8" s="136"/>
      <c r="MYY8" s="344"/>
      <c r="MYZ8" s="344"/>
      <c r="MZA8" s="344"/>
      <c r="MZB8" s="344"/>
      <c r="MZC8" s="136"/>
      <c r="MZD8" s="137"/>
      <c r="MZE8" s="137"/>
      <c r="MZF8" s="136"/>
      <c r="MZG8" s="344"/>
      <c r="MZH8" s="344"/>
      <c r="MZI8" s="344"/>
      <c r="MZJ8" s="344"/>
      <c r="MZK8" s="136"/>
      <c r="MZL8" s="137"/>
      <c r="MZM8" s="137"/>
      <c r="MZN8" s="136"/>
      <c r="MZO8" s="344"/>
      <c r="MZP8" s="344"/>
      <c r="MZQ8" s="344"/>
      <c r="MZR8" s="344"/>
      <c r="MZS8" s="136"/>
      <c r="MZT8" s="137"/>
      <c r="MZU8" s="137"/>
      <c r="MZV8" s="136"/>
      <c r="MZW8" s="344"/>
      <c r="MZX8" s="344"/>
      <c r="MZY8" s="344"/>
      <c r="MZZ8" s="344"/>
      <c r="NAA8" s="136"/>
      <c r="NAB8" s="137"/>
      <c r="NAC8" s="137"/>
      <c r="NAD8" s="136"/>
      <c r="NAE8" s="344"/>
      <c r="NAF8" s="344"/>
      <c r="NAG8" s="344"/>
      <c r="NAH8" s="344"/>
      <c r="NAI8" s="136"/>
      <c r="NAJ8" s="137"/>
      <c r="NAK8" s="137"/>
      <c r="NAL8" s="136"/>
      <c r="NAM8" s="344"/>
      <c r="NAN8" s="344"/>
      <c r="NAO8" s="344"/>
      <c r="NAP8" s="344"/>
      <c r="NAQ8" s="136"/>
      <c r="NAR8" s="137"/>
      <c r="NAS8" s="137"/>
      <c r="NAT8" s="136"/>
      <c r="NAU8" s="344"/>
      <c r="NAV8" s="344"/>
      <c r="NAW8" s="344"/>
      <c r="NAX8" s="344"/>
      <c r="NAY8" s="136"/>
      <c r="NAZ8" s="137"/>
      <c r="NBA8" s="137"/>
      <c r="NBB8" s="136"/>
      <c r="NBC8" s="344"/>
      <c r="NBD8" s="344"/>
      <c r="NBE8" s="344"/>
      <c r="NBF8" s="344"/>
      <c r="NBG8" s="136"/>
      <c r="NBH8" s="137"/>
      <c r="NBI8" s="137"/>
      <c r="NBJ8" s="136"/>
      <c r="NBK8" s="344"/>
      <c r="NBL8" s="344"/>
      <c r="NBM8" s="344"/>
      <c r="NBN8" s="344"/>
      <c r="NBO8" s="136"/>
      <c r="NBP8" s="137"/>
      <c r="NBQ8" s="137"/>
      <c r="NBR8" s="136"/>
      <c r="NBS8" s="344"/>
      <c r="NBT8" s="344"/>
      <c r="NBU8" s="344"/>
      <c r="NBV8" s="344"/>
      <c r="NBW8" s="136"/>
      <c r="NBX8" s="137"/>
      <c r="NBY8" s="137"/>
      <c r="NBZ8" s="136"/>
      <c r="NCA8" s="344"/>
      <c r="NCB8" s="344"/>
      <c r="NCC8" s="344"/>
      <c r="NCD8" s="344"/>
      <c r="NCE8" s="136"/>
      <c r="NCF8" s="137"/>
      <c r="NCG8" s="137"/>
      <c r="NCH8" s="136"/>
      <c r="NCI8" s="344"/>
      <c r="NCJ8" s="344"/>
      <c r="NCK8" s="344"/>
      <c r="NCL8" s="344"/>
      <c r="NCM8" s="136"/>
      <c r="NCN8" s="137"/>
      <c r="NCO8" s="137"/>
      <c r="NCP8" s="136"/>
      <c r="NCQ8" s="344"/>
      <c r="NCR8" s="344"/>
      <c r="NCS8" s="344"/>
      <c r="NCT8" s="344"/>
      <c r="NCU8" s="136"/>
      <c r="NCV8" s="137"/>
      <c r="NCW8" s="137"/>
      <c r="NCX8" s="136"/>
      <c r="NCY8" s="344"/>
      <c r="NCZ8" s="344"/>
      <c r="NDA8" s="344"/>
      <c r="NDB8" s="344"/>
      <c r="NDC8" s="136"/>
      <c r="NDD8" s="137"/>
      <c r="NDE8" s="137"/>
      <c r="NDF8" s="136"/>
      <c r="NDG8" s="344"/>
      <c r="NDH8" s="344"/>
      <c r="NDI8" s="344"/>
      <c r="NDJ8" s="344"/>
      <c r="NDK8" s="136"/>
      <c r="NDL8" s="137"/>
      <c r="NDM8" s="137"/>
      <c r="NDN8" s="136"/>
      <c r="NDO8" s="344"/>
      <c r="NDP8" s="344"/>
      <c r="NDQ8" s="344"/>
      <c r="NDR8" s="344"/>
      <c r="NDS8" s="136"/>
      <c r="NDT8" s="137"/>
      <c r="NDU8" s="137"/>
      <c r="NDV8" s="136"/>
      <c r="NDW8" s="344"/>
      <c r="NDX8" s="344"/>
      <c r="NDY8" s="344"/>
      <c r="NDZ8" s="344"/>
      <c r="NEA8" s="136"/>
      <c r="NEB8" s="137"/>
      <c r="NEC8" s="137"/>
      <c r="NED8" s="136"/>
      <c r="NEE8" s="344"/>
      <c r="NEF8" s="344"/>
      <c r="NEG8" s="344"/>
      <c r="NEH8" s="344"/>
      <c r="NEI8" s="136"/>
      <c r="NEJ8" s="137"/>
      <c r="NEK8" s="137"/>
      <c r="NEL8" s="136"/>
      <c r="NEM8" s="344"/>
      <c r="NEN8" s="344"/>
      <c r="NEO8" s="344"/>
      <c r="NEP8" s="344"/>
      <c r="NEQ8" s="136"/>
      <c r="NER8" s="137"/>
      <c r="NES8" s="137"/>
      <c r="NET8" s="136"/>
      <c r="NEU8" s="344"/>
      <c r="NEV8" s="344"/>
      <c r="NEW8" s="344"/>
      <c r="NEX8" s="344"/>
      <c r="NEY8" s="136"/>
      <c r="NEZ8" s="137"/>
      <c r="NFA8" s="137"/>
      <c r="NFB8" s="136"/>
      <c r="NFC8" s="344"/>
      <c r="NFD8" s="344"/>
      <c r="NFE8" s="344"/>
      <c r="NFF8" s="344"/>
      <c r="NFG8" s="136"/>
      <c r="NFH8" s="137"/>
      <c r="NFI8" s="137"/>
      <c r="NFJ8" s="136"/>
      <c r="NFK8" s="344"/>
      <c r="NFL8" s="344"/>
      <c r="NFM8" s="344"/>
      <c r="NFN8" s="344"/>
      <c r="NFO8" s="136"/>
      <c r="NFP8" s="137"/>
      <c r="NFQ8" s="137"/>
      <c r="NFR8" s="136"/>
      <c r="NFS8" s="344"/>
      <c r="NFT8" s="344"/>
      <c r="NFU8" s="344"/>
      <c r="NFV8" s="344"/>
      <c r="NFW8" s="136"/>
      <c r="NFX8" s="137"/>
      <c r="NFY8" s="137"/>
      <c r="NFZ8" s="136"/>
      <c r="NGA8" s="344"/>
      <c r="NGB8" s="344"/>
      <c r="NGC8" s="344"/>
      <c r="NGD8" s="344"/>
      <c r="NGE8" s="136"/>
      <c r="NGF8" s="137"/>
      <c r="NGG8" s="137"/>
      <c r="NGH8" s="136"/>
      <c r="NGI8" s="344"/>
      <c r="NGJ8" s="344"/>
      <c r="NGK8" s="344"/>
      <c r="NGL8" s="344"/>
      <c r="NGM8" s="136"/>
      <c r="NGN8" s="137"/>
      <c r="NGO8" s="137"/>
      <c r="NGP8" s="136"/>
      <c r="NGQ8" s="344"/>
      <c r="NGR8" s="344"/>
      <c r="NGS8" s="344"/>
      <c r="NGT8" s="344"/>
      <c r="NGU8" s="136"/>
      <c r="NGV8" s="137"/>
      <c r="NGW8" s="137"/>
      <c r="NGX8" s="136"/>
      <c r="NGY8" s="344"/>
      <c r="NGZ8" s="344"/>
      <c r="NHA8" s="344"/>
      <c r="NHB8" s="344"/>
      <c r="NHC8" s="136"/>
      <c r="NHD8" s="137"/>
      <c r="NHE8" s="137"/>
      <c r="NHF8" s="136"/>
      <c r="NHG8" s="344"/>
      <c r="NHH8" s="344"/>
      <c r="NHI8" s="344"/>
      <c r="NHJ8" s="344"/>
      <c r="NHK8" s="136"/>
      <c r="NHL8" s="137"/>
      <c r="NHM8" s="137"/>
      <c r="NHN8" s="136"/>
      <c r="NHO8" s="344"/>
      <c r="NHP8" s="344"/>
      <c r="NHQ8" s="344"/>
      <c r="NHR8" s="344"/>
      <c r="NHS8" s="136"/>
      <c r="NHT8" s="137"/>
      <c r="NHU8" s="137"/>
      <c r="NHV8" s="136"/>
      <c r="NHW8" s="344"/>
      <c r="NHX8" s="344"/>
      <c r="NHY8" s="344"/>
      <c r="NHZ8" s="344"/>
      <c r="NIA8" s="136"/>
      <c r="NIB8" s="137"/>
      <c r="NIC8" s="137"/>
      <c r="NID8" s="136"/>
      <c r="NIE8" s="344"/>
      <c r="NIF8" s="344"/>
      <c r="NIG8" s="344"/>
      <c r="NIH8" s="344"/>
      <c r="NII8" s="136"/>
      <c r="NIJ8" s="137"/>
      <c r="NIK8" s="137"/>
      <c r="NIL8" s="136"/>
      <c r="NIM8" s="344"/>
      <c r="NIN8" s="344"/>
      <c r="NIO8" s="344"/>
      <c r="NIP8" s="344"/>
      <c r="NIQ8" s="136"/>
      <c r="NIR8" s="137"/>
      <c r="NIS8" s="137"/>
      <c r="NIT8" s="136"/>
      <c r="NIU8" s="344"/>
      <c r="NIV8" s="344"/>
      <c r="NIW8" s="344"/>
      <c r="NIX8" s="344"/>
      <c r="NIY8" s="136"/>
      <c r="NIZ8" s="137"/>
      <c r="NJA8" s="137"/>
      <c r="NJB8" s="136"/>
      <c r="NJC8" s="344"/>
      <c r="NJD8" s="344"/>
      <c r="NJE8" s="344"/>
      <c r="NJF8" s="344"/>
      <c r="NJG8" s="136"/>
      <c r="NJH8" s="137"/>
      <c r="NJI8" s="137"/>
      <c r="NJJ8" s="136"/>
      <c r="NJK8" s="344"/>
      <c r="NJL8" s="344"/>
      <c r="NJM8" s="344"/>
      <c r="NJN8" s="344"/>
      <c r="NJO8" s="136"/>
      <c r="NJP8" s="137"/>
      <c r="NJQ8" s="137"/>
      <c r="NJR8" s="136"/>
      <c r="NJS8" s="344"/>
      <c r="NJT8" s="344"/>
      <c r="NJU8" s="344"/>
      <c r="NJV8" s="344"/>
      <c r="NJW8" s="136"/>
      <c r="NJX8" s="137"/>
      <c r="NJY8" s="137"/>
      <c r="NJZ8" s="136"/>
      <c r="NKA8" s="344"/>
      <c r="NKB8" s="344"/>
      <c r="NKC8" s="344"/>
      <c r="NKD8" s="344"/>
      <c r="NKE8" s="136"/>
      <c r="NKF8" s="137"/>
      <c r="NKG8" s="137"/>
      <c r="NKH8" s="136"/>
      <c r="NKI8" s="344"/>
      <c r="NKJ8" s="344"/>
      <c r="NKK8" s="344"/>
      <c r="NKL8" s="344"/>
      <c r="NKM8" s="136"/>
      <c r="NKN8" s="137"/>
      <c r="NKO8" s="137"/>
      <c r="NKP8" s="136"/>
      <c r="NKQ8" s="344"/>
      <c r="NKR8" s="344"/>
      <c r="NKS8" s="344"/>
      <c r="NKT8" s="344"/>
      <c r="NKU8" s="136"/>
      <c r="NKV8" s="137"/>
      <c r="NKW8" s="137"/>
      <c r="NKX8" s="136"/>
      <c r="NKY8" s="344"/>
      <c r="NKZ8" s="344"/>
      <c r="NLA8" s="344"/>
      <c r="NLB8" s="344"/>
      <c r="NLC8" s="136"/>
      <c r="NLD8" s="137"/>
      <c r="NLE8" s="137"/>
      <c r="NLF8" s="136"/>
      <c r="NLG8" s="344"/>
      <c r="NLH8" s="344"/>
      <c r="NLI8" s="344"/>
      <c r="NLJ8" s="344"/>
      <c r="NLK8" s="136"/>
      <c r="NLL8" s="137"/>
      <c r="NLM8" s="137"/>
      <c r="NLN8" s="136"/>
      <c r="NLO8" s="344"/>
      <c r="NLP8" s="344"/>
      <c r="NLQ8" s="344"/>
      <c r="NLR8" s="344"/>
      <c r="NLS8" s="136"/>
      <c r="NLT8" s="137"/>
      <c r="NLU8" s="137"/>
      <c r="NLV8" s="136"/>
      <c r="NLW8" s="344"/>
      <c r="NLX8" s="344"/>
      <c r="NLY8" s="344"/>
      <c r="NLZ8" s="344"/>
      <c r="NMA8" s="136"/>
      <c r="NMB8" s="137"/>
      <c r="NMC8" s="137"/>
      <c r="NMD8" s="136"/>
      <c r="NME8" s="344"/>
      <c r="NMF8" s="344"/>
      <c r="NMG8" s="344"/>
      <c r="NMH8" s="344"/>
      <c r="NMI8" s="136"/>
      <c r="NMJ8" s="137"/>
      <c r="NMK8" s="137"/>
      <c r="NML8" s="136"/>
      <c r="NMM8" s="344"/>
      <c r="NMN8" s="344"/>
      <c r="NMO8" s="344"/>
      <c r="NMP8" s="344"/>
      <c r="NMQ8" s="136"/>
      <c r="NMR8" s="137"/>
      <c r="NMS8" s="137"/>
      <c r="NMT8" s="136"/>
      <c r="NMU8" s="344"/>
      <c r="NMV8" s="344"/>
      <c r="NMW8" s="344"/>
      <c r="NMX8" s="344"/>
      <c r="NMY8" s="136"/>
      <c r="NMZ8" s="137"/>
      <c r="NNA8" s="137"/>
      <c r="NNB8" s="136"/>
      <c r="NNC8" s="344"/>
      <c r="NND8" s="344"/>
      <c r="NNE8" s="344"/>
      <c r="NNF8" s="344"/>
      <c r="NNG8" s="136"/>
      <c r="NNH8" s="137"/>
      <c r="NNI8" s="137"/>
      <c r="NNJ8" s="136"/>
      <c r="NNK8" s="344"/>
      <c r="NNL8" s="344"/>
      <c r="NNM8" s="344"/>
      <c r="NNN8" s="344"/>
      <c r="NNO8" s="136"/>
      <c r="NNP8" s="137"/>
      <c r="NNQ8" s="137"/>
      <c r="NNR8" s="136"/>
      <c r="NNS8" s="344"/>
      <c r="NNT8" s="344"/>
      <c r="NNU8" s="344"/>
      <c r="NNV8" s="344"/>
      <c r="NNW8" s="136"/>
      <c r="NNX8" s="137"/>
      <c r="NNY8" s="137"/>
      <c r="NNZ8" s="136"/>
      <c r="NOA8" s="344"/>
      <c r="NOB8" s="344"/>
      <c r="NOC8" s="344"/>
      <c r="NOD8" s="344"/>
      <c r="NOE8" s="136"/>
      <c r="NOF8" s="137"/>
      <c r="NOG8" s="137"/>
      <c r="NOH8" s="136"/>
      <c r="NOI8" s="344"/>
      <c r="NOJ8" s="344"/>
      <c r="NOK8" s="344"/>
      <c r="NOL8" s="344"/>
      <c r="NOM8" s="136"/>
      <c r="NON8" s="137"/>
      <c r="NOO8" s="137"/>
      <c r="NOP8" s="136"/>
      <c r="NOQ8" s="344"/>
      <c r="NOR8" s="344"/>
      <c r="NOS8" s="344"/>
      <c r="NOT8" s="344"/>
      <c r="NOU8" s="136"/>
      <c r="NOV8" s="137"/>
      <c r="NOW8" s="137"/>
      <c r="NOX8" s="136"/>
      <c r="NOY8" s="344"/>
      <c r="NOZ8" s="344"/>
      <c r="NPA8" s="344"/>
      <c r="NPB8" s="344"/>
      <c r="NPC8" s="136"/>
      <c r="NPD8" s="137"/>
      <c r="NPE8" s="137"/>
      <c r="NPF8" s="136"/>
      <c r="NPG8" s="344"/>
      <c r="NPH8" s="344"/>
      <c r="NPI8" s="344"/>
      <c r="NPJ8" s="344"/>
      <c r="NPK8" s="136"/>
      <c r="NPL8" s="137"/>
      <c r="NPM8" s="137"/>
      <c r="NPN8" s="136"/>
      <c r="NPO8" s="344"/>
      <c r="NPP8" s="344"/>
      <c r="NPQ8" s="344"/>
      <c r="NPR8" s="344"/>
      <c r="NPS8" s="136"/>
      <c r="NPT8" s="137"/>
      <c r="NPU8" s="137"/>
      <c r="NPV8" s="136"/>
      <c r="NPW8" s="344"/>
      <c r="NPX8" s="344"/>
      <c r="NPY8" s="344"/>
      <c r="NPZ8" s="344"/>
      <c r="NQA8" s="136"/>
      <c r="NQB8" s="137"/>
      <c r="NQC8" s="137"/>
      <c r="NQD8" s="136"/>
      <c r="NQE8" s="344"/>
      <c r="NQF8" s="344"/>
      <c r="NQG8" s="344"/>
      <c r="NQH8" s="344"/>
      <c r="NQI8" s="136"/>
      <c r="NQJ8" s="137"/>
      <c r="NQK8" s="137"/>
      <c r="NQL8" s="136"/>
      <c r="NQM8" s="344"/>
      <c r="NQN8" s="344"/>
      <c r="NQO8" s="344"/>
      <c r="NQP8" s="344"/>
      <c r="NQQ8" s="136"/>
      <c r="NQR8" s="137"/>
      <c r="NQS8" s="137"/>
      <c r="NQT8" s="136"/>
      <c r="NQU8" s="344"/>
      <c r="NQV8" s="344"/>
      <c r="NQW8" s="344"/>
      <c r="NQX8" s="344"/>
      <c r="NQY8" s="136"/>
      <c r="NQZ8" s="137"/>
      <c r="NRA8" s="137"/>
      <c r="NRB8" s="136"/>
      <c r="NRC8" s="344"/>
      <c r="NRD8" s="344"/>
      <c r="NRE8" s="344"/>
      <c r="NRF8" s="344"/>
      <c r="NRG8" s="136"/>
      <c r="NRH8" s="137"/>
      <c r="NRI8" s="137"/>
      <c r="NRJ8" s="136"/>
      <c r="NRK8" s="344"/>
      <c r="NRL8" s="344"/>
      <c r="NRM8" s="344"/>
      <c r="NRN8" s="344"/>
      <c r="NRO8" s="136"/>
      <c r="NRP8" s="137"/>
      <c r="NRQ8" s="137"/>
      <c r="NRR8" s="136"/>
      <c r="NRS8" s="344"/>
      <c r="NRT8" s="344"/>
      <c r="NRU8" s="344"/>
      <c r="NRV8" s="344"/>
      <c r="NRW8" s="136"/>
      <c r="NRX8" s="137"/>
      <c r="NRY8" s="137"/>
      <c r="NRZ8" s="136"/>
      <c r="NSA8" s="344"/>
      <c r="NSB8" s="344"/>
      <c r="NSC8" s="344"/>
      <c r="NSD8" s="344"/>
      <c r="NSE8" s="136"/>
      <c r="NSF8" s="137"/>
      <c r="NSG8" s="137"/>
      <c r="NSH8" s="136"/>
      <c r="NSI8" s="344"/>
      <c r="NSJ8" s="344"/>
      <c r="NSK8" s="344"/>
      <c r="NSL8" s="344"/>
      <c r="NSM8" s="136"/>
      <c r="NSN8" s="137"/>
      <c r="NSO8" s="137"/>
      <c r="NSP8" s="136"/>
      <c r="NSQ8" s="344"/>
      <c r="NSR8" s="344"/>
      <c r="NSS8" s="344"/>
      <c r="NST8" s="344"/>
      <c r="NSU8" s="136"/>
      <c r="NSV8" s="137"/>
      <c r="NSW8" s="137"/>
      <c r="NSX8" s="136"/>
      <c r="NSY8" s="344"/>
      <c r="NSZ8" s="344"/>
      <c r="NTA8" s="344"/>
      <c r="NTB8" s="344"/>
      <c r="NTC8" s="136"/>
      <c r="NTD8" s="137"/>
      <c r="NTE8" s="137"/>
      <c r="NTF8" s="136"/>
      <c r="NTG8" s="344"/>
      <c r="NTH8" s="344"/>
      <c r="NTI8" s="344"/>
      <c r="NTJ8" s="344"/>
      <c r="NTK8" s="136"/>
      <c r="NTL8" s="137"/>
      <c r="NTM8" s="137"/>
      <c r="NTN8" s="136"/>
      <c r="NTO8" s="344"/>
      <c r="NTP8" s="344"/>
      <c r="NTQ8" s="344"/>
      <c r="NTR8" s="344"/>
      <c r="NTS8" s="136"/>
      <c r="NTT8" s="137"/>
      <c r="NTU8" s="137"/>
      <c r="NTV8" s="136"/>
      <c r="NTW8" s="344"/>
      <c r="NTX8" s="344"/>
      <c r="NTY8" s="344"/>
      <c r="NTZ8" s="344"/>
      <c r="NUA8" s="136"/>
      <c r="NUB8" s="137"/>
      <c r="NUC8" s="137"/>
      <c r="NUD8" s="136"/>
      <c r="NUE8" s="344"/>
      <c r="NUF8" s="344"/>
      <c r="NUG8" s="344"/>
      <c r="NUH8" s="344"/>
      <c r="NUI8" s="136"/>
      <c r="NUJ8" s="137"/>
      <c r="NUK8" s="137"/>
      <c r="NUL8" s="136"/>
      <c r="NUM8" s="344"/>
      <c r="NUN8" s="344"/>
      <c r="NUO8" s="344"/>
      <c r="NUP8" s="344"/>
      <c r="NUQ8" s="136"/>
      <c r="NUR8" s="137"/>
      <c r="NUS8" s="137"/>
      <c r="NUT8" s="136"/>
      <c r="NUU8" s="344"/>
      <c r="NUV8" s="344"/>
      <c r="NUW8" s="344"/>
      <c r="NUX8" s="344"/>
      <c r="NUY8" s="136"/>
      <c r="NUZ8" s="137"/>
      <c r="NVA8" s="137"/>
      <c r="NVB8" s="136"/>
      <c r="NVC8" s="344"/>
      <c r="NVD8" s="344"/>
      <c r="NVE8" s="344"/>
      <c r="NVF8" s="344"/>
      <c r="NVG8" s="136"/>
      <c r="NVH8" s="137"/>
      <c r="NVI8" s="137"/>
      <c r="NVJ8" s="136"/>
      <c r="NVK8" s="344"/>
      <c r="NVL8" s="344"/>
      <c r="NVM8" s="344"/>
      <c r="NVN8" s="344"/>
      <c r="NVO8" s="136"/>
      <c r="NVP8" s="137"/>
      <c r="NVQ8" s="137"/>
      <c r="NVR8" s="136"/>
      <c r="NVS8" s="344"/>
      <c r="NVT8" s="344"/>
      <c r="NVU8" s="344"/>
      <c r="NVV8" s="344"/>
      <c r="NVW8" s="136"/>
      <c r="NVX8" s="137"/>
      <c r="NVY8" s="137"/>
      <c r="NVZ8" s="136"/>
      <c r="NWA8" s="344"/>
      <c r="NWB8" s="344"/>
      <c r="NWC8" s="344"/>
      <c r="NWD8" s="344"/>
      <c r="NWE8" s="136"/>
      <c r="NWF8" s="137"/>
      <c r="NWG8" s="137"/>
      <c r="NWH8" s="136"/>
      <c r="NWI8" s="344"/>
      <c r="NWJ8" s="344"/>
      <c r="NWK8" s="344"/>
      <c r="NWL8" s="344"/>
      <c r="NWM8" s="136"/>
      <c r="NWN8" s="137"/>
      <c r="NWO8" s="137"/>
      <c r="NWP8" s="136"/>
      <c r="NWQ8" s="344"/>
      <c r="NWR8" s="344"/>
      <c r="NWS8" s="344"/>
      <c r="NWT8" s="344"/>
      <c r="NWU8" s="136"/>
      <c r="NWV8" s="137"/>
      <c r="NWW8" s="137"/>
      <c r="NWX8" s="136"/>
      <c r="NWY8" s="344"/>
      <c r="NWZ8" s="344"/>
      <c r="NXA8" s="344"/>
      <c r="NXB8" s="344"/>
      <c r="NXC8" s="136"/>
      <c r="NXD8" s="137"/>
      <c r="NXE8" s="137"/>
      <c r="NXF8" s="136"/>
      <c r="NXG8" s="344"/>
      <c r="NXH8" s="344"/>
      <c r="NXI8" s="344"/>
      <c r="NXJ8" s="344"/>
      <c r="NXK8" s="136"/>
      <c r="NXL8" s="137"/>
      <c r="NXM8" s="137"/>
      <c r="NXN8" s="136"/>
      <c r="NXO8" s="344"/>
      <c r="NXP8" s="344"/>
      <c r="NXQ8" s="344"/>
      <c r="NXR8" s="344"/>
      <c r="NXS8" s="136"/>
      <c r="NXT8" s="137"/>
      <c r="NXU8" s="137"/>
      <c r="NXV8" s="136"/>
      <c r="NXW8" s="344"/>
      <c r="NXX8" s="344"/>
      <c r="NXY8" s="344"/>
      <c r="NXZ8" s="344"/>
      <c r="NYA8" s="136"/>
      <c r="NYB8" s="137"/>
      <c r="NYC8" s="137"/>
      <c r="NYD8" s="136"/>
      <c r="NYE8" s="344"/>
      <c r="NYF8" s="344"/>
      <c r="NYG8" s="344"/>
      <c r="NYH8" s="344"/>
      <c r="NYI8" s="136"/>
      <c r="NYJ8" s="137"/>
      <c r="NYK8" s="137"/>
      <c r="NYL8" s="136"/>
      <c r="NYM8" s="344"/>
      <c r="NYN8" s="344"/>
      <c r="NYO8" s="344"/>
      <c r="NYP8" s="344"/>
      <c r="NYQ8" s="136"/>
      <c r="NYR8" s="137"/>
      <c r="NYS8" s="137"/>
      <c r="NYT8" s="136"/>
      <c r="NYU8" s="344"/>
      <c r="NYV8" s="344"/>
      <c r="NYW8" s="344"/>
      <c r="NYX8" s="344"/>
      <c r="NYY8" s="136"/>
      <c r="NYZ8" s="137"/>
      <c r="NZA8" s="137"/>
      <c r="NZB8" s="136"/>
      <c r="NZC8" s="344"/>
      <c r="NZD8" s="344"/>
      <c r="NZE8" s="344"/>
      <c r="NZF8" s="344"/>
      <c r="NZG8" s="136"/>
      <c r="NZH8" s="137"/>
      <c r="NZI8" s="137"/>
      <c r="NZJ8" s="136"/>
      <c r="NZK8" s="344"/>
      <c r="NZL8" s="344"/>
      <c r="NZM8" s="344"/>
      <c r="NZN8" s="344"/>
      <c r="NZO8" s="136"/>
      <c r="NZP8" s="137"/>
      <c r="NZQ8" s="137"/>
      <c r="NZR8" s="136"/>
      <c r="NZS8" s="344"/>
      <c r="NZT8" s="344"/>
      <c r="NZU8" s="344"/>
      <c r="NZV8" s="344"/>
      <c r="NZW8" s="136"/>
      <c r="NZX8" s="137"/>
      <c r="NZY8" s="137"/>
      <c r="NZZ8" s="136"/>
      <c r="OAA8" s="344"/>
      <c r="OAB8" s="344"/>
      <c r="OAC8" s="344"/>
      <c r="OAD8" s="344"/>
      <c r="OAE8" s="136"/>
      <c r="OAF8" s="137"/>
      <c r="OAG8" s="137"/>
      <c r="OAH8" s="136"/>
      <c r="OAI8" s="344"/>
      <c r="OAJ8" s="344"/>
      <c r="OAK8" s="344"/>
      <c r="OAL8" s="344"/>
      <c r="OAM8" s="136"/>
      <c r="OAN8" s="137"/>
      <c r="OAO8" s="137"/>
      <c r="OAP8" s="136"/>
      <c r="OAQ8" s="344"/>
      <c r="OAR8" s="344"/>
      <c r="OAS8" s="344"/>
      <c r="OAT8" s="344"/>
      <c r="OAU8" s="136"/>
      <c r="OAV8" s="137"/>
      <c r="OAW8" s="137"/>
      <c r="OAX8" s="136"/>
      <c r="OAY8" s="344"/>
      <c r="OAZ8" s="344"/>
      <c r="OBA8" s="344"/>
      <c r="OBB8" s="344"/>
      <c r="OBC8" s="136"/>
      <c r="OBD8" s="137"/>
      <c r="OBE8" s="137"/>
      <c r="OBF8" s="136"/>
      <c r="OBG8" s="344"/>
      <c r="OBH8" s="344"/>
      <c r="OBI8" s="344"/>
      <c r="OBJ8" s="344"/>
      <c r="OBK8" s="136"/>
      <c r="OBL8" s="137"/>
      <c r="OBM8" s="137"/>
      <c r="OBN8" s="136"/>
      <c r="OBO8" s="344"/>
      <c r="OBP8" s="344"/>
      <c r="OBQ8" s="344"/>
      <c r="OBR8" s="344"/>
      <c r="OBS8" s="136"/>
      <c r="OBT8" s="137"/>
      <c r="OBU8" s="137"/>
      <c r="OBV8" s="136"/>
      <c r="OBW8" s="344"/>
      <c r="OBX8" s="344"/>
      <c r="OBY8" s="344"/>
      <c r="OBZ8" s="344"/>
      <c r="OCA8" s="136"/>
      <c r="OCB8" s="137"/>
      <c r="OCC8" s="137"/>
      <c r="OCD8" s="136"/>
      <c r="OCE8" s="344"/>
      <c r="OCF8" s="344"/>
      <c r="OCG8" s="344"/>
      <c r="OCH8" s="344"/>
      <c r="OCI8" s="136"/>
      <c r="OCJ8" s="137"/>
      <c r="OCK8" s="137"/>
      <c r="OCL8" s="136"/>
      <c r="OCM8" s="344"/>
      <c r="OCN8" s="344"/>
      <c r="OCO8" s="344"/>
      <c r="OCP8" s="344"/>
      <c r="OCQ8" s="136"/>
      <c r="OCR8" s="137"/>
      <c r="OCS8" s="137"/>
      <c r="OCT8" s="136"/>
      <c r="OCU8" s="344"/>
      <c r="OCV8" s="344"/>
      <c r="OCW8" s="344"/>
      <c r="OCX8" s="344"/>
      <c r="OCY8" s="136"/>
      <c r="OCZ8" s="137"/>
      <c r="ODA8" s="137"/>
      <c r="ODB8" s="136"/>
      <c r="ODC8" s="344"/>
      <c r="ODD8" s="344"/>
      <c r="ODE8" s="344"/>
      <c r="ODF8" s="344"/>
      <c r="ODG8" s="136"/>
      <c r="ODH8" s="137"/>
      <c r="ODI8" s="137"/>
      <c r="ODJ8" s="136"/>
      <c r="ODK8" s="344"/>
      <c r="ODL8" s="344"/>
      <c r="ODM8" s="344"/>
      <c r="ODN8" s="344"/>
      <c r="ODO8" s="136"/>
      <c r="ODP8" s="137"/>
      <c r="ODQ8" s="137"/>
      <c r="ODR8" s="136"/>
      <c r="ODS8" s="344"/>
      <c r="ODT8" s="344"/>
      <c r="ODU8" s="344"/>
      <c r="ODV8" s="344"/>
      <c r="ODW8" s="136"/>
      <c r="ODX8" s="137"/>
      <c r="ODY8" s="137"/>
      <c r="ODZ8" s="136"/>
      <c r="OEA8" s="344"/>
      <c r="OEB8" s="344"/>
      <c r="OEC8" s="344"/>
      <c r="OED8" s="344"/>
      <c r="OEE8" s="136"/>
      <c r="OEF8" s="137"/>
      <c r="OEG8" s="137"/>
      <c r="OEH8" s="136"/>
      <c r="OEI8" s="344"/>
      <c r="OEJ8" s="344"/>
      <c r="OEK8" s="344"/>
      <c r="OEL8" s="344"/>
      <c r="OEM8" s="136"/>
      <c r="OEN8" s="137"/>
      <c r="OEO8" s="137"/>
      <c r="OEP8" s="136"/>
      <c r="OEQ8" s="344"/>
      <c r="OER8" s="344"/>
      <c r="OES8" s="344"/>
      <c r="OET8" s="344"/>
      <c r="OEU8" s="136"/>
      <c r="OEV8" s="137"/>
      <c r="OEW8" s="137"/>
      <c r="OEX8" s="136"/>
      <c r="OEY8" s="344"/>
      <c r="OEZ8" s="344"/>
      <c r="OFA8" s="344"/>
      <c r="OFB8" s="344"/>
      <c r="OFC8" s="136"/>
      <c r="OFD8" s="137"/>
      <c r="OFE8" s="137"/>
      <c r="OFF8" s="136"/>
      <c r="OFG8" s="344"/>
      <c r="OFH8" s="344"/>
      <c r="OFI8" s="344"/>
      <c r="OFJ8" s="344"/>
      <c r="OFK8" s="136"/>
      <c r="OFL8" s="137"/>
      <c r="OFM8" s="137"/>
      <c r="OFN8" s="136"/>
      <c r="OFO8" s="344"/>
      <c r="OFP8" s="344"/>
      <c r="OFQ8" s="344"/>
      <c r="OFR8" s="344"/>
      <c r="OFS8" s="136"/>
      <c r="OFT8" s="137"/>
      <c r="OFU8" s="137"/>
      <c r="OFV8" s="136"/>
      <c r="OFW8" s="344"/>
      <c r="OFX8" s="344"/>
      <c r="OFY8" s="344"/>
      <c r="OFZ8" s="344"/>
      <c r="OGA8" s="136"/>
      <c r="OGB8" s="137"/>
      <c r="OGC8" s="137"/>
      <c r="OGD8" s="136"/>
      <c r="OGE8" s="344"/>
      <c r="OGF8" s="344"/>
      <c r="OGG8" s="344"/>
      <c r="OGH8" s="344"/>
      <c r="OGI8" s="136"/>
      <c r="OGJ8" s="137"/>
      <c r="OGK8" s="137"/>
      <c r="OGL8" s="136"/>
      <c r="OGM8" s="344"/>
      <c r="OGN8" s="344"/>
      <c r="OGO8" s="344"/>
      <c r="OGP8" s="344"/>
      <c r="OGQ8" s="136"/>
      <c r="OGR8" s="137"/>
      <c r="OGS8" s="137"/>
      <c r="OGT8" s="136"/>
      <c r="OGU8" s="344"/>
      <c r="OGV8" s="344"/>
      <c r="OGW8" s="344"/>
      <c r="OGX8" s="344"/>
      <c r="OGY8" s="136"/>
      <c r="OGZ8" s="137"/>
      <c r="OHA8" s="137"/>
      <c r="OHB8" s="136"/>
      <c r="OHC8" s="344"/>
      <c r="OHD8" s="344"/>
      <c r="OHE8" s="344"/>
      <c r="OHF8" s="344"/>
      <c r="OHG8" s="136"/>
      <c r="OHH8" s="137"/>
      <c r="OHI8" s="137"/>
      <c r="OHJ8" s="136"/>
      <c r="OHK8" s="344"/>
      <c r="OHL8" s="344"/>
      <c r="OHM8" s="344"/>
      <c r="OHN8" s="344"/>
      <c r="OHO8" s="136"/>
      <c r="OHP8" s="137"/>
      <c r="OHQ8" s="137"/>
      <c r="OHR8" s="136"/>
      <c r="OHS8" s="344"/>
      <c r="OHT8" s="344"/>
      <c r="OHU8" s="344"/>
      <c r="OHV8" s="344"/>
      <c r="OHW8" s="136"/>
      <c r="OHX8" s="137"/>
      <c r="OHY8" s="137"/>
      <c r="OHZ8" s="136"/>
      <c r="OIA8" s="344"/>
      <c r="OIB8" s="344"/>
      <c r="OIC8" s="344"/>
      <c r="OID8" s="344"/>
      <c r="OIE8" s="136"/>
      <c r="OIF8" s="137"/>
      <c r="OIG8" s="137"/>
      <c r="OIH8" s="136"/>
      <c r="OII8" s="344"/>
      <c r="OIJ8" s="344"/>
      <c r="OIK8" s="344"/>
      <c r="OIL8" s="344"/>
      <c r="OIM8" s="136"/>
      <c r="OIN8" s="137"/>
      <c r="OIO8" s="137"/>
      <c r="OIP8" s="136"/>
      <c r="OIQ8" s="344"/>
      <c r="OIR8" s="344"/>
      <c r="OIS8" s="344"/>
      <c r="OIT8" s="344"/>
      <c r="OIU8" s="136"/>
      <c r="OIV8" s="137"/>
      <c r="OIW8" s="137"/>
      <c r="OIX8" s="136"/>
      <c r="OIY8" s="344"/>
      <c r="OIZ8" s="344"/>
      <c r="OJA8" s="344"/>
      <c r="OJB8" s="344"/>
      <c r="OJC8" s="136"/>
      <c r="OJD8" s="137"/>
      <c r="OJE8" s="137"/>
      <c r="OJF8" s="136"/>
      <c r="OJG8" s="344"/>
      <c r="OJH8" s="344"/>
      <c r="OJI8" s="344"/>
      <c r="OJJ8" s="344"/>
      <c r="OJK8" s="136"/>
      <c r="OJL8" s="137"/>
      <c r="OJM8" s="137"/>
      <c r="OJN8" s="136"/>
      <c r="OJO8" s="344"/>
      <c r="OJP8" s="344"/>
      <c r="OJQ8" s="344"/>
      <c r="OJR8" s="344"/>
      <c r="OJS8" s="136"/>
      <c r="OJT8" s="137"/>
      <c r="OJU8" s="137"/>
      <c r="OJV8" s="136"/>
      <c r="OJW8" s="344"/>
      <c r="OJX8" s="344"/>
      <c r="OJY8" s="344"/>
      <c r="OJZ8" s="344"/>
      <c r="OKA8" s="136"/>
      <c r="OKB8" s="137"/>
      <c r="OKC8" s="137"/>
      <c r="OKD8" s="136"/>
      <c r="OKE8" s="344"/>
      <c r="OKF8" s="344"/>
      <c r="OKG8" s="344"/>
      <c r="OKH8" s="344"/>
      <c r="OKI8" s="136"/>
      <c r="OKJ8" s="137"/>
      <c r="OKK8" s="137"/>
      <c r="OKL8" s="136"/>
      <c r="OKM8" s="344"/>
      <c r="OKN8" s="344"/>
      <c r="OKO8" s="344"/>
      <c r="OKP8" s="344"/>
      <c r="OKQ8" s="136"/>
      <c r="OKR8" s="137"/>
      <c r="OKS8" s="137"/>
      <c r="OKT8" s="136"/>
      <c r="OKU8" s="344"/>
      <c r="OKV8" s="344"/>
      <c r="OKW8" s="344"/>
      <c r="OKX8" s="344"/>
      <c r="OKY8" s="136"/>
      <c r="OKZ8" s="137"/>
      <c r="OLA8" s="137"/>
      <c r="OLB8" s="136"/>
      <c r="OLC8" s="344"/>
      <c r="OLD8" s="344"/>
      <c r="OLE8" s="344"/>
      <c r="OLF8" s="344"/>
      <c r="OLG8" s="136"/>
      <c r="OLH8" s="137"/>
      <c r="OLI8" s="137"/>
      <c r="OLJ8" s="136"/>
      <c r="OLK8" s="344"/>
      <c r="OLL8" s="344"/>
      <c r="OLM8" s="344"/>
      <c r="OLN8" s="344"/>
      <c r="OLO8" s="136"/>
      <c r="OLP8" s="137"/>
      <c r="OLQ8" s="137"/>
      <c r="OLR8" s="136"/>
      <c r="OLS8" s="344"/>
      <c r="OLT8" s="344"/>
      <c r="OLU8" s="344"/>
      <c r="OLV8" s="344"/>
      <c r="OLW8" s="136"/>
      <c r="OLX8" s="137"/>
      <c r="OLY8" s="137"/>
      <c r="OLZ8" s="136"/>
      <c r="OMA8" s="344"/>
      <c r="OMB8" s="344"/>
      <c r="OMC8" s="344"/>
      <c r="OMD8" s="344"/>
      <c r="OME8" s="136"/>
      <c r="OMF8" s="137"/>
      <c r="OMG8" s="137"/>
      <c r="OMH8" s="136"/>
      <c r="OMI8" s="344"/>
      <c r="OMJ8" s="344"/>
      <c r="OMK8" s="344"/>
      <c r="OML8" s="344"/>
      <c r="OMM8" s="136"/>
      <c r="OMN8" s="137"/>
      <c r="OMO8" s="137"/>
      <c r="OMP8" s="136"/>
      <c r="OMQ8" s="344"/>
      <c r="OMR8" s="344"/>
      <c r="OMS8" s="344"/>
      <c r="OMT8" s="344"/>
      <c r="OMU8" s="136"/>
      <c r="OMV8" s="137"/>
      <c r="OMW8" s="137"/>
      <c r="OMX8" s="136"/>
      <c r="OMY8" s="344"/>
      <c r="OMZ8" s="344"/>
      <c r="ONA8" s="344"/>
      <c r="ONB8" s="344"/>
      <c r="ONC8" s="136"/>
      <c r="OND8" s="137"/>
      <c r="ONE8" s="137"/>
      <c r="ONF8" s="136"/>
      <c r="ONG8" s="344"/>
      <c r="ONH8" s="344"/>
      <c r="ONI8" s="344"/>
      <c r="ONJ8" s="344"/>
      <c r="ONK8" s="136"/>
      <c r="ONL8" s="137"/>
      <c r="ONM8" s="137"/>
      <c r="ONN8" s="136"/>
      <c r="ONO8" s="344"/>
      <c r="ONP8" s="344"/>
      <c r="ONQ8" s="344"/>
      <c r="ONR8" s="344"/>
      <c r="ONS8" s="136"/>
      <c r="ONT8" s="137"/>
      <c r="ONU8" s="137"/>
      <c r="ONV8" s="136"/>
      <c r="ONW8" s="344"/>
      <c r="ONX8" s="344"/>
      <c r="ONY8" s="344"/>
      <c r="ONZ8" s="344"/>
      <c r="OOA8" s="136"/>
      <c r="OOB8" s="137"/>
      <c r="OOC8" s="137"/>
      <c r="OOD8" s="136"/>
      <c r="OOE8" s="344"/>
      <c r="OOF8" s="344"/>
      <c r="OOG8" s="344"/>
      <c r="OOH8" s="344"/>
      <c r="OOI8" s="136"/>
      <c r="OOJ8" s="137"/>
      <c r="OOK8" s="137"/>
      <c r="OOL8" s="136"/>
      <c r="OOM8" s="344"/>
      <c r="OON8" s="344"/>
      <c r="OOO8" s="344"/>
      <c r="OOP8" s="344"/>
      <c r="OOQ8" s="136"/>
      <c r="OOR8" s="137"/>
      <c r="OOS8" s="137"/>
      <c r="OOT8" s="136"/>
      <c r="OOU8" s="344"/>
      <c r="OOV8" s="344"/>
      <c r="OOW8" s="344"/>
      <c r="OOX8" s="344"/>
      <c r="OOY8" s="136"/>
      <c r="OOZ8" s="137"/>
      <c r="OPA8" s="137"/>
      <c r="OPB8" s="136"/>
      <c r="OPC8" s="344"/>
      <c r="OPD8" s="344"/>
      <c r="OPE8" s="344"/>
      <c r="OPF8" s="344"/>
      <c r="OPG8" s="136"/>
      <c r="OPH8" s="137"/>
      <c r="OPI8" s="137"/>
      <c r="OPJ8" s="136"/>
      <c r="OPK8" s="344"/>
      <c r="OPL8" s="344"/>
      <c r="OPM8" s="344"/>
      <c r="OPN8" s="344"/>
      <c r="OPO8" s="136"/>
      <c r="OPP8" s="137"/>
      <c r="OPQ8" s="137"/>
      <c r="OPR8" s="136"/>
      <c r="OPS8" s="344"/>
      <c r="OPT8" s="344"/>
      <c r="OPU8" s="344"/>
      <c r="OPV8" s="344"/>
      <c r="OPW8" s="136"/>
      <c r="OPX8" s="137"/>
      <c r="OPY8" s="137"/>
      <c r="OPZ8" s="136"/>
      <c r="OQA8" s="344"/>
      <c r="OQB8" s="344"/>
      <c r="OQC8" s="344"/>
      <c r="OQD8" s="344"/>
      <c r="OQE8" s="136"/>
      <c r="OQF8" s="137"/>
      <c r="OQG8" s="137"/>
      <c r="OQH8" s="136"/>
      <c r="OQI8" s="344"/>
      <c r="OQJ8" s="344"/>
      <c r="OQK8" s="344"/>
      <c r="OQL8" s="344"/>
      <c r="OQM8" s="136"/>
      <c r="OQN8" s="137"/>
      <c r="OQO8" s="137"/>
      <c r="OQP8" s="136"/>
      <c r="OQQ8" s="344"/>
      <c r="OQR8" s="344"/>
      <c r="OQS8" s="344"/>
      <c r="OQT8" s="344"/>
      <c r="OQU8" s="136"/>
      <c r="OQV8" s="137"/>
      <c r="OQW8" s="137"/>
      <c r="OQX8" s="136"/>
      <c r="OQY8" s="344"/>
      <c r="OQZ8" s="344"/>
      <c r="ORA8" s="344"/>
      <c r="ORB8" s="344"/>
      <c r="ORC8" s="136"/>
      <c r="ORD8" s="137"/>
      <c r="ORE8" s="137"/>
      <c r="ORF8" s="136"/>
      <c r="ORG8" s="344"/>
      <c r="ORH8" s="344"/>
      <c r="ORI8" s="344"/>
      <c r="ORJ8" s="344"/>
      <c r="ORK8" s="136"/>
      <c r="ORL8" s="137"/>
      <c r="ORM8" s="137"/>
      <c r="ORN8" s="136"/>
      <c r="ORO8" s="344"/>
      <c r="ORP8" s="344"/>
      <c r="ORQ8" s="344"/>
      <c r="ORR8" s="344"/>
      <c r="ORS8" s="136"/>
      <c r="ORT8" s="137"/>
      <c r="ORU8" s="137"/>
      <c r="ORV8" s="136"/>
      <c r="ORW8" s="344"/>
      <c r="ORX8" s="344"/>
      <c r="ORY8" s="344"/>
      <c r="ORZ8" s="344"/>
      <c r="OSA8" s="136"/>
      <c r="OSB8" s="137"/>
      <c r="OSC8" s="137"/>
      <c r="OSD8" s="136"/>
      <c r="OSE8" s="344"/>
      <c r="OSF8" s="344"/>
      <c r="OSG8" s="344"/>
      <c r="OSH8" s="344"/>
      <c r="OSI8" s="136"/>
      <c r="OSJ8" s="137"/>
      <c r="OSK8" s="137"/>
      <c r="OSL8" s="136"/>
      <c r="OSM8" s="344"/>
      <c r="OSN8" s="344"/>
      <c r="OSO8" s="344"/>
      <c r="OSP8" s="344"/>
      <c r="OSQ8" s="136"/>
      <c r="OSR8" s="137"/>
      <c r="OSS8" s="137"/>
      <c r="OST8" s="136"/>
      <c r="OSU8" s="344"/>
      <c r="OSV8" s="344"/>
      <c r="OSW8" s="344"/>
      <c r="OSX8" s="344"/>
      <c r="OSY8" s="136"/>
      <c r="OSZ8" s="137"/>
      <c r="OTA8" s="137"/>
      <c r="OTB8" s="136"/>
      <c r="OTC8" s="344"/>
      <c r="OTD8" s="344"/>
      <c r="OTE8" s="344"/>
      <c r="OTF8" s="344"/>
      <c r="OTG8" s="136"/>
      <c r="OTH8" s="137"/>
      <c r="OTI8" s="137"/>
      <c r="OTJ8" s="136"/>
      <c r="OTK8" s="344"/>
      <c r="OTL8" s="344"/>
      <c r="OTM8" s="344"/>
      <c r="OTN8" s="344"/>
      <c r="OTO8" s="136"/>
      <c r="OTP8" s="137"/>
      <c r="OTQ8" s="137"/>
      <c r="OTR8" s="136"/>
      <c r="OTS8" s="344"/>
      <c r="OTT8" s="344"/>
      <c r="OTU8" s="344"/>
      <c r="OTV8" s="344"/>
      <c r="OTW8" s="136"/>
      <c r="OTX8" s="137"/>
      <c r="OTY8" s="137"/>
      <c r="OTZ8" s="136"/>
      <c r="OUA8" s="344"/>
      <c r="OUB8" s="344"/>
      <c r="OUC8" s="344"/>
      <c r="OUD8" s="344"/>
      <c r="OUE8" s="136"/>
      <c r="OUF8" s="137"/>
      <c r="OUG8" s="137"/>
      <c r="OUH8" s="136"/>
      <c r="OUI8" s="344"/>
      <c r="OUJ8" s="344"/>
      <c r="OUK8" s="344"/>
      <c r="OUL8" s="344"/>
      <c r="OUM8" s="136"/>
      <c r="OUN8" s="137"/>
      <c r="OUO8" s="137"/>
      <c r="OUP8" s="136"/>
      <c r="OUQ8" s="344"/>
      <c r="OUR8" s="344"/>
      <c r="OUS8" s="344"/>
      <c r="OUT8" s="344"/>
      <c r="OUU8" s="136"/>
      <c r="OUV8" s="137"/>
      <c r="OUW8" s="137"/>
      <c r="OUX8" s="136"/>
      <c r="OUY8" s="344"/>
      <c r="OUZ8" s="344"/>
      <c r="OVA8" s="344"/>
      <c r="OVB8" s="344"/>
      <c r="OVC8" s="136"/>
      <c r="OVD8" s="137"/>
      <c r="OVE8" s="137"/>
      <c r="OVF8" s="136"/>
      <c r="OVG8" s="344"/>
      <c r="OVH8" s="344"/>
      <c r="OVI8" s="344"/>
      <c r="OVJ8" s="344"/>
      <c r="OVK8" s="136"/>
      <c r="OVL8" s="137"/>
      <c r="OVM8" s="137"/>
      <c r="OVN8" s="136"/>
      <c r="OVO8" s="344"/>
      <c r="OVP8" s="344"/>
      <c r="OVQ8" s="344"/>
      <c r="OVR8" s="344"/>
      <c r="OVS8" s="136"/>
      <c r="OVT8" s="137"/>
      <c r="OVU8" s="137"/>
      <c r="OVV8" s="136"/>
      <c r="OVW8" s="344"/>
      <c r="OVX8" s="344"/>
      <c r="OVY8" s="344"/>
      <c r="OVZ8" s="344"/>
      <c r="OWA8" s="136"/>
      <c r="OWB8" s="137"/>
      <c r="OWC8" s="137"/>
      <c r="OWD8" s="136"/>
      <c r="OWE8" s="344"/>
      <c r="OWF8" s="344"/>
      <c r="OWG8" s="344"/>
      <c r="OWH8" s="344"/>
      <c r="OWI8" s="136"/>
      <c r="OWJ8" s="137"/>
      <c r="OWK8" s="137"/>
      <c r="OWL8" s="136"/>
      <c r="OWM8" s="344"/>
      <c r="OWN8" s="344"/>
      <c r="OWO8" s="344"/>
      <c r="OWP8" s="344"/>
      <c r="OWQ8" s="136"/>
      <c r="OWR8" s="137"/>
      <c r="OWS8" s="137"/>
      <c r="OWT8" s="136"/>
      <c r="OWU8" s="344"/>
      <c r="OWV8" s="344"/>
      <c r="OWW8" s="344"/>
      <c r="OWX8" s="344"/>
      <c r="OWY8" s="136"/>
      <c r="OWZ8" s="137"/>
      <c r="OXA8" s="137"/>
      <c r="OXB8" s="136"/>
      <c r="OXC8" s="344"/>
      <c r="OXD8" s="344"/>
      <c r="OXE8" s="344"/>
      <c r="OXF8" s="344"/>
      <c r="OXG8" s="136"/>
      <c r="OXH8" s="137"/>
      <c r="OXI8" s="137"/>
      <c r="OXJ8" s="136"/>
      <c r="OXK8" s="344"/>
      <c r="OXL8" s="344"/>
      <c r="OXM8" s="344"/>
      <c r="OXN8" s="344"/>
      <c r="OXO8" s="136"/>
      <c r="OXP8" s="137"/>
      <c r="OXQ8" s="137"/>
      <c r="OXR8" s="136"/>
      <c r="OXS8" s="344"/>
      <c r="OXT8" s="344"/>
      <c r="OXU8" s="344"/>
      <c r="OXV8" s="344"/>
      <c r="OXW8" s="136"/>
      <c r="OXX8" s="137"/>
      <c r="OXY8" s="137"/>
      <c r="OXZ8" s="136"/>
      <c r="OYA8" s="344"/>
      <c r="OYB8" s="344"/>
      <c r="OYC8" s="344"/>
      <c r="OYD8" s="344"/>
      <c r="OYE8" s="136"/>
      <c r="OYF8" s="137"/>
      <c r="OYG8" s="137"/>
      <c r="OYH8" s="136"/>
      <c r="OYI8" s="344"/>
      <c r="OYJ8" s="344"/>
      <c r="OYK8" s="344"/>
      <c r="OYL8" s="344"/>
      <c r="OYM8" s="136"/>
      <c r="OYN8" s="137"/>
      <c r="OYO8" s="137"/>
      <c r="OYP8" s="136"/>
      <c r="OYQ8" s="344"/>
      <c r="OYR8" s="344"/>
      <c r="OYS8" s="344"/>
      <c r="OYT8" s="344"/>
      <c r="OYU8" s="136"/>
      <c r="OYV8" s="137"/>
      <c r="OYW8" s="137"/>
      <c r="OYX8" s="136"/>
      <c r="OYY8" s="344"/>
      <c r="OYZ8" s="344"/>
      <c r="OZA8" s="344"/>
      <c r="OZB8" s="344"/>
      <c r="OZC8" s="136"/>
      <c r="OZD8" s="137"/>
      <c r="OZE8" s="137"/>
      <c r="OZF8" s="136"/>
      <c r="OZG8" s="344"/>
      <c r="OZH8" s="344"/>
      <c r="OZI8" s="344"/>
      <c r="OZJ8" s="344"/>
      <c r="OZK8" s="136"/>
      <c r="OZL8" s="137"/>
      <c r="OZM8" s="137"/>
      <c r="OZN8" s="136"/>
      <c r="OZO8" s="344"/>
      <c r="OZP8" s="344"/>
      <c r="OZQ8" s="344"/>
      <c r="OZR8" s="344"/>
      <c r="OZS8" s="136"/>
      <c r="OZT8" s="137"/>
      <c r="OZU8" s="137"/>
      <c r="OZV8" s="136"/>
      <c r="OZW8" s="344"/>
      <c r="OZX8" s="344"/>
      <c r="OZY8" s="344"/>
      <c r="OZZ8" s="344"/>
      <c r="PAA8" s="136"/>
      <c r="PAB8" s="137"/>
      <c r="PAC8" s="137"/>
      <c r="PAD8" s="136"/>
      <c r="PAE8" s="344"/>
      <c r="PAF8" s="344"/>
      <c r="PAG8" s="344"/>
      <c r="PAH8" s="344"/>
      <c r="PAI8" s="136"/>
      <c r="PAJ8" s="137"/>
      <c r="PAK8" s="137"/>
      <c r="PAL8" s="136"/>
      <c r="PAM8" s="344"/>
      <c r="PAN8" s="344"/>
      <c r="PAO8" s="344"/>
      <c r="PAP8" s="344"/>
      <c r="PAQ8" s="136"/>
      <c r="PAR8" s="137"/>
      <c r="PAS8" s="137"/>
      <c r="PAT8" s="136"/>
      <c r="PAU8" s="344"/>
      <c r="PAV8" s="344"/>
      <c r="PAW8" s="344"/>
      <c r="PAX8" s="344"/>
      <c r="PAY8" s="136"/>
      <c r="PAZ8" s="137"/>
      <c r="PBA8" s="137"/>
      <c r="PBB8" s="136"/>
      <c r="PBC8" s="344"/>
      <c r="PBD8" s="344"/>
      <c r="PBE8" s="344"/>
      <c r="PBF8" s="344"/>
      <c r="PBG8" s="136"/>
      <c r="PBH8" s="137"/>
      <c r="PBI8" s="137"/>
      <c r="PBJ8" s="136"/>
      <c r="PBK8" s="344"/>
      <c r="PBL8" s="344"/>
      <c r="PBM8" s="344"/>
      <c r="PBN8" s="344"/>
      <c r="PBO8" s="136"/>
      <c r="PBP8" s="137"/>
      <c r="PBQ8" s="137"/>
      <c r="PBR8" s="136"/>
      <c r="PBS8" s="344"/>
      <c r="PBT8" s="344"/>
      <c r="PBU8" s="344"/>
      <c r="PBV8" s="344"/>
      <c r="PBW8" s="136"/>
      <c r="PBX8" s="137"/>
      <c r="PBY8" s="137"/>
      <c r="PBZ8" s="136"/>
      <c r="PCA8" s="344"/>
      <c r="PCB8" s="344"/>
      <c r="PCC8" s="344"/>
      <c r="PCD8" s="344"/>
      <c r="PCE8" s="136"/>
      <c r="PCF8" s="137"/>
      <c r="PCG8" s="137"/>
      <c r="PCH8" s="136"/>
      <c r="PCI8" s="344"/>
      <c r="PCJ8" s="344"/>
      <c r="PCK8" s="344"/>
      <c r="PCL8" s="344"/>
      <c r="PCM8" s="136"/>
      <c r="PCN8" s="137"/>
      <c r="PCO8" s="137"/>
      <c r="PCP8" s="136"/>
      <c r="PCQ8" s="344"/>
      <c r="PCR8" s="344"/>
      <c r="PCS8" s="344"/>
      <c r="PCT8" s="344"/>
      <c r="PCU8" s="136"/>
      <c r="PCV8" s="137"/>
      <c r="PCW8" s="137"/>
      <c r="PCX8" s="136"/>
      <c r="PCY8" s="344"/>
      <c r="PCZ8" s="344"/>
      <c r="PDA8" s="344"/>
      <c r="PDB8" s="344"/>
      <c r="PDC8" s="136"/>
      <c r="PDD8" s="137"/>
      <c r="PDE8" s="137"/>
      <c r="PDF8" s="136"/>
      <c r="PDG8" s="344"/>
      <c r="PDH8" s="344"/>
      <c r="PDI8" s="344"/>
      <c r="PDJ8" s="344"/>
      <c r="PDK8" s="136"/>
      <c r="PDL8" s="137"/>
      <c r="PDM8" s="137"/>
      <c r="PDN8" s="136"/>
      <c r="PDO8" s="344"/>
      <c r="PDP8" s="344"/>
      <c r="PDQ8" s="344"/>
      <c r="PDR8" s="344"/>
      <c r="PDS8" s="136"/>
      <c r="PDT8" s="137"/>
      <c r="PDU8" s="137"/>
      <c r="PDV8" s="136"/>
      <c r="PDW8" s="344"/>
      <c r="PDX8" s="344"/>
      <c r="PDY8" s="344"/>
      <c r="PDZ8" s="344"/>
      <c r="PEA8" s="136"/>
      <c r="PEB8" s="137"/>
      <c r="PEC8" s="137"/>
      <c r="PED8" s="136"/>
      <c r="PEE8" s="344"/>
      <c r="PEF8" s="344"/>
      <c r="PEG8" s="344"/>
      <c r="PEH8" s="344"/>
      <c r="PEI8" s="136"/>
      <c r="PEJ8" s="137"/>
      <c r="PEK8" s="137"/>
      <c r="PEL8" s="136"/>
      <c r="PEM8" s="344"/>
      <c r="PEN8" s="344"/>
      <c r="PEO8" s="344"/>
      <c r="PEP8" s="344"/>
      <c r="PEQ8" s="136"/>
      <c r="PER8" s="137"/>
      <c r="PES8" s="137"/>
      <c r="PET8" s="136"/>
      <c r="PEU8" s="344"/>
      <c r="PEV8" s="344"/>
      <c r="PEW8" s="344"/>
      <c r="PEX8" s="344"/>
      <c r="PEY8" s="136"/>
      <c r="PEZ8" s="137"/>
      <c r="PFA8" s="137"/>
      <c r="PFB8" s="136"/>
      <c r="PFC8" s="344"/>
      <c r="PFD8" s="344"/>
      <c r="PFE8" s="344"/>
      <c r="PFF8" s="344"/>
      <c r="PFG8" s="136"/>
      <c r="PFH8" s="137"/>
      <c r="PFI8" s="137"/>
      <c r="PFJ8" s="136"/>
      <c r="PFK8" s="344"/>
      <c r="PFL8" s="344"/>
      <c r="PFM8" s="344"/>
      <c r="PFN8" s="344"/>
      <c r="PFO8" s="136"/>
      <c r="PFP8" s="137"/>
      <c r="PFQ8" s="137"/>
      <c r="PFR8" s="136"/>
      <c r="PFS8" s="344"/>
      <c r="PFT8" s="344"/>
      <c r="PFU8" s="344"/>
      <c r="PFV8" s="344"/>
      <c r="PFW8" s="136"/>
      <c r="PFX8" s="137"/>
      <c r="PFY8" s="137"/>
      <c r="PFZ8" s="136"/>
      <c r="PGA8" s="344"/>
      <c r="PGB8" s="344"/>
      <c r="PGC8" s="344"/>
      <c r="PGD8" s="344"/>
      <c r="PGE8" s="136"/>
      <c r="PGF8" s="137"/>
      <c r="PGG8" s="137"/>
      <c r="PGH8" s="136"/>
      <c r="PGI8" s="344"/>
      <c r="PGJ8" s="344"/>
      <c r="PGK8" s="344"/>
      <c r="PGL8" s="344"/>
      <c r="PGM8" s="136"/>
      <c r="PGN8" s="137"/>
      <c r="PGO8" s="137"/>
      <c r="PGP8" s="136"/>
      <c r="PGQ8" s="344"/>
      <c r="PGR8" s="344"/>
      <c r="PGS8" s="344"/>
      <c r="PGT8" s="344"/>
      <c r="PGU8" s="136"/>
      <c r="PGV8" s="137"/>
      <c r="PGW8" s="137"/>
      <c r="PGX8" s="136"/>
      <c r="PGY8" s="344"/>
      <c r="PGZ8" s="344"/>
      <c r="PHA8" s="344"/>
      <c r="PHB8" s="344"/>
      <c r="PHC8" s="136"/>
      <c r="PHD8" s="137"/>
      <c r="PHE8" s="137"/>
      <c r="PHF8" s="136"/>
      <c r="PHG8" s="344"/>
      <c r="PHH8" s="344"/>
      <c r="PHI8" s="344"/>
      <c r="PHJ8" s="344"/>
      <c r="PHK8" s="136"/>
      <c r="PHL8" s="137"/>
      <c r="PHM8" s="137"/>
      <c r="PHN8" s="136"/>
      <c r="PHO8" s="344"/>
      <c r="PHP8" s="344"/>
      <c r="PHQ8" s="344"/>
      <c r="PHR8" s="344"/>
      <c r="PHS8" s="136"/>
      <c r="PHT8" s="137"/>
      <c r="PHU8" s="137"/>
      <c r="PHV8" s="136"/>
      <c r="PHW8" s="344"/>
      <c r="PHX8" s="344"/>
      <c r="PHY8" s="344"/>
      <c r="PHZ8" s="344"/>
      <c r="PIA8" s="136"/>
      <c r="PIB8" s="137"/>
      <c r="PIC8" s="137"/>
      <c r="PID8" s="136"/>
      <c r="PIE8" s="344"/>
      <c r="PIF8" s="344"/>
      <c r="PIG8" s="344"/>
      <c r="PIH8" s="344"/>
      <c r="PII8" s="136"/>
      <c r="PIJ8" s="137"/>
      <c r="PIK8" s="137"/>
      <c r="PIL8" s="136"/>
      <c r="PIM8" s="344"/>
      <c r="PIN8" s="344"/>
      <c r="PIO8" s="344"/>
      <c r="PIP8" s="344"/>
      <c r="PIQ8" s="136"/>
      <c r="PIR8" s="137"/>
      <c r="PIS8" s="137"/>
      <c r="PIT8" s="136"/>
      <c r="PIU8" s="344"/>
      <c r="PIV8" s="344"/>
      <c r="PIW8" s="344"/>
      <c r="PIX8" s="344"/>
      <c r="PIY8" s="136"/>
      <c r="PIZ8" s="137"/>
      <c r="PJA8" s="137"/>
      <c r="PJB8" s="136"/>
      <c r="PJC8" s="344"/>
      <c r="PJD8" s="344"/>
      <c r="PJE8" s="344"/>
      <c r="PJF8" s="344"/>
      <c r="PJG8" s="136"/>
      <c r="PJH8" s="137"/>
      <c r="PJI8" s="137"/>
      <c r="PJJ8" s="136"/>
      <c r="PJK8" s="344"/>
      <c r="PJL8" s="344"/>
      <c r="PJM8" s="344"/>
      <c r="PJN8" s="344"/>
      <c r="PJO8" s="136"/>
      <c r="PJP8" s="137"/>
      <c r="PJQ8" s="137"/>
      <c r="PJR8" s="136"/>
      <c r="PJS8" s="344"/>
      <c r="PJT8" s="344"/>
      <c r="PJU8" s="344"/>
      <c r="PJV8" s="344"/>
      <c r="PJW8" s="136"/>
      <c r="PJX8" s="137"/>
      <c r="PJY8" s="137"/>
      <c r="PJZ8" s="136"/>
      <c r="PKA8" s="344"/>
      <c r="PKB8" s="344"/>
      <c r="PKC8" s="344"/>
      <c r="PKD8" s="344"/>
      <c r="PKE8" s="136"/>
      <c r="PKF8" s="137"/>
      <c r="PKG8" s="137"/>
      <c r="PKH8" s="136"/>
      <c r="PKI8" s="344"/>
      <c r="PKJ8" s="344"/>
      <c r="PKK8" s="344"/>
      <c r="PKL8" s="344"/>
      <c r="PKM8" s="136"/>
      <c r="PKN8" s="137"/>
      <c r="PKO8" s="137"/>
      <c r="PKP8" s="136"/>
      <c r="PKQ8" s="344"/>
      <c r="PKR8" s="344"/>
      <c r="PKS8" s="344"/>
      <c r="PKT8" s="344"/>
      <c r="PKU8" s="136"/>
      <c r="PKV8" s="137"/>
      <c r="PKW8" s="137"/>
      <c r="PKX8" s="136"/>
      <c r="PKY8" s="344"/>
      <c r="PKZ8" s="344"/>
      <c r="PLA8" s="344"/>
      <c r="PLB8" s="344"/>
      <c r="PLC8" s="136"/>
      <c r="PLD8" s="137"/>
      <c r="PLE8" s="137"/>
      <c r="PLF8" s="136"/>
      <c r="PLG8" s="344"/>
      <c r="PLH8" s="344"/>
      <c r="PLI8" s="344"/>
      <c r="PLJ8" s="344"/>
      <c r="PLK8" s="136"/>
      <c r="PLL8" s="137"/>
      <c r="PLM8" s="137"/>
      <c r="PLN8" s="136"/>
      <c r="PLO8" s="344"/>
      <c r="PLP8" s="344"/>
      <c r="PLQ8" s="344"/>
      <c r="PLR8" s="344"/>
      <c r="PLS8" s="136"/>
      <c r="PLT8" s="137"/>
      <c r="PLU8" s="137"/>
      <c r="PLV8" s="136"/>
      <c r="PLW8" s="344"/>
      <c r="PLX8" s="344"/>
      <c r="PLY8" s="344"/>
      <c r="PLZ8" s="344"/>
      <c r="PMA8" s="136"/>
      <c r="PMB8" s="137"/>
      <c r="PMC8" s="137"/>
      <c r="PMD8" s="136"/>
      <c r="PME8" s="344"/>
      <c r="PMF8" s="344"/>
      <c r="PMG8" s="344"/>
      <c r="PMH8" s="344"/>
      <c r="PMI8" s="136"/>
      <c r="PMJ8" s="137"/>
      <c r="PMK8" s="137"/>
      <c r="PML8" s="136"/>
      <c r="PMM8" s="344"/>
      <c r="PMN8" s="344"/>
      <c r="PMO8" s="344"/>
      <c r="PMP8" s="344"/>
      <c r="PMQ8" s="136"/>
      <c r="PMR8" s="137"/>
      <c r="PMS8" s="137"/>
      <c r="PMT8" s="136"/>
      <c r="PMU8" s="344"/>
      <c r="PMV8" s="344"/>
      <c r="PMW8" s="344"/>
      <c r="PMX8" s="344"/>
      <c r="PMY8" s="136"/>
      <c r="PMZ8" s="137"/>
      <c r="PNA8" s="137"/>
      <c r="PNB8" s="136"/>
      <c r="PNC8" s="344"/>
      <c r="PND8" s="344"/>
      <c r="PNE8" s="344"/>
      <c r="PNF8" s="344"/>
      <c r="PNG8" s="136"/>
      <c r="PNH8" s="137"/>
      <c r="PNI8" s="137"/>
      <c r="PNJ8" s="136"/>
      <c r="PNK8" s="344"/>
      <c r="PNL8" s="344"/>
      <c r="PNM8" s="344"/>
      <c r="PNN8" s="344"/>
      <c r="PNO8" s="136"/>
      <c r="PNP8" s="137"/>
      <c r="PNQ8" s="137"/>
      <c r="PNR8" s="136"/>
      <c r="PNS8" s="344"/>
      <c r="PNT8" s="344"/>
      <c r="PNU8" s="344"/>
      <c r="PNV8" s="344"/>
      <c r="PNW8" s="136"/>
      <c r="PNX8" s="137"/>
      <c r="PNY8" s="137"/>
      <c r="PNZ8" s="136"/>
      <c r="POA8" s="344"/>
      <c r="POB8" s="344"/>
      <c r="POC8" s="344"/>
      <c r="POD8" s="344"/>
      <c r="POE8" s="136"/>
      <c r="POF8" s="137"/>
      <c r="POG8" s="137"/>
      <c r="POH8" s="136"/>
      <c r="POI8" s="344"/>
      <c r="POJ8" s="344"/>
      <c r="POK8" s="344"/>
      <c r="POL8" s="344"/>
      <c r="POM8" s="136"/>
      <c r="PON8" s="137"/>
      <c r="POO8" s="137"/>
      <c r="POP8" s="136"/>
      <c r="POQ8" s="344"/>
      <c r="POR8" s="344"/>
      <c r="POS8" s="344"/>
      <c r="POT8" s="344"/>
      <c r="POU8" s="136"/>
      <c r="POV8" s="137"/>
      <c r="POW8" s="137"/>
      <c r="POX8" s="136"/>
      <c r="POY8" s="344"/>
      <c r="POZ8" s="344"/>
      <c r="PPA8" s="344"/>
      <c r="PPB8" s="344"/>
      <c r="PPC8" s="136"/>
      <c r="PPD8" s="137"/>
      <c r="PPE8" s="137"/>
      <c r="PPF8" s="136"/>
      <c r="PPG8" s="344"/>
      <c r="PPH8" s="344"/>
      <c r="PPI8" s="344"/>
      <c r="PPJ8" s="344"/>
      <c r="PPK8" s="136"/>
      <c r="PPL8" s="137"/>
      <c r="PPM8" s="137"/>
      <c r="PPN8" s="136"/>
      <c r="PPO8" s="344"/>
      <c r="PPP8" s="344"/>
      <c r="PPQ8" s="344"/>
      <c r="PPR8" s="344"/>
      <c r="PPS8" s="136"/>
      <c r="PPT8" s="137"/>
      <c r="PPU8" s="137"/>
      <c r="PPV8" s="136"/>
      <c r="PPW8" s="344"/>
      <c r="PPX8" s="344"/>
      <c r="PPY8" s="344"/>
      <c r="PPZ8" s="344"/>
      <c r="PQA8" s="136"/>
      <c r="PQB8" s="137"/>
      <c r="PQC8" s="137"/>
      <c r="PQD8" s="136"/>
      <c r="PQE8" s="344"/>
      <c r="PQF8" s="344"/>
      <c r="PQG8" s="344"/>
      <c r="PQH8" s="344"/>
      <c r="PQI8" s="136"/>
      <c r="PQJ8" s="137"/>
      <c r="PQK8" s="137"/>
      <c r="PQL8" s="136"/>
      <c r="PQM8" s="344"/>
      <c r="PQN8" s="344"/>
      <c r="PQO8" s="344"/>
      <c r="PQP8" s="344"/>
      <c r="PQQ8" s="136"/>
      <c r="PQR8" s="137"/>
      <c r="PQS8" s="137"/>
      <c r="PQT8" s="136"/>
      <c r="PQU8" s="344"/>
      <c r="PQV8" s="344"/>
      <c r="PQW8" s="344"/>
      <c r="PQX8" s="344"/>
      <c r="PQY8" s="136"/>
      <c r="PQZ8" s="137"/>
      <c r="PRA8" s="137"/>
      <c r="PRB8" s="136"/>
      <c r="PRC8" s="344"/>
      <c r="PRD8" s="344"/>
      <c r="PRE8" s="344"/>
      <c r="PRF8" s="344"/>
      <c r="PRG8" s="136"/>
      <c r="PRH8" s="137"/>
      <c r="PRI8" s="137"/>
      <c r="PRJ8" s="136"/>
      <c r="PRK8" s="344"/>
      <c r="PRL8" s="344"/>
      <c r="PRM8" s="344"/>
      <c r="PRN8" s="344"/>
      <c r="PRO8" s="136"/>
      <c r="PRP8" s="137"/>
      <c r="PRQ8" s="137"/>
      <c r="PRR8" s="136"/>
      <c r="PRS8" s="344"/>
      <c r="PRT8" s="344"/>
      <c r="PRU8" s="344"/>
      <c r="PRV8" s="344"/>
      <c r="PRW8" s="136"/>
      <c r="PRX8" s="137"/>
      <c r="PRY8" s="137"/>
      <c r="PRZ8" s="136"/>
      <c r="PSA8" s="344"/>
      <c r="PSB8" s="344"/>
      <c r="PSC8" s="344"/>
      <c r="PSD8" s="344"/>
      <c r="PSE8" s="136"/>
      <c r="PSF8" s="137"/>
      <c r="PSG8" s="137"/>
      <c r="PSH8" s="136"/>
      <c r="PSI8" s="344"/>
      <c r="PSJ8" s="344"/>
      <c r="PSK8" s="344"/>
      <c r="PSL8" s="344"/>
      <c r="PSM8" s="136"/>
      <c r="PSN8" s="137"/>
      <c r="PSO8" s="137"/>
      <c r="PSP8" s="136"/>
      <c r="PSQ8" s="344"/>
      <c r="PSR8" s="344"/>
      <c r="PSS8" s="344"/>
      <c r="PST8" s="344"/>
      <c r="PSU8" s="136"/>
      <c r="PSV8" s="137"/>
      <c r="PSW8" s="137"/>
      <c r="PSX8" s="136"/>
      <c r="PSY8" s="344"/>
      <c r="PSZ8" s="344"/>
      <c r="PTA8" s="344"/>
      <c r="PTB8" s="344"/>
      <c r="PTC8" s="136"/>
      <c r="PTD8" s="137"/>
      <c r="PTE8" s="137"/>
      <c r="PTF8" s="136"/>
      <c r="PTG8" s="344"/>
      <c r="PTH8" s="344"/>
      <c r="PTI8" s="344"/>
      <c r="PTJ8" s="344"/>
      <c r="PTK8" s="136"/>
      <c r="PTL8" s="137"/>
      <c r="PTM8" s="137"/>
      <c r="PTN8" s="136"/>
      <c r="PTO8" s="344"/>
      <c r="PTP8" s="344"/>
      <c r="PTQ8" s="344"/>
      <c r="PTR8" s="344"/>
      <c r="PTS8" s="136"/>
      <c r="PTT8" s="137"/>
      <c r="PTU8" s="137"/>
      <c r="PTV8" s="136"/>
      <c r="PTW8" s="344"/>
      <c r="PTX8" s="344"/>
      <c r="PTY8" s="344"/>
      <c r="PTZ8" s="344"/>
      <c r="PUA8" s="136"/>
      <c r="PUB8" s="137"/>
      <c r="PUC8" s="137"/>
      <c r="PUD8" s="136"/>
      <c r="PUE8" s="344"/>
      <c r="PUF8" s="344"/>
      <c r="PUG8" s="344"/>
      <c r="PUH8" s="344"/>
      <c r="PUI8" s="136"/>
      <c r="PUJ8" s="137"/>
      <c r="PUK8" s="137"/>
      <c r="PUL8" s="136"/>
      <c r="PUM8" s="344"/>
      <c r="PUN8" s="344"/>
      <c r="PUO8" s="344"/>
      <c r="PUP8" s="344"/>
      <c r="PUQ8" s="136"/>
      <c r="PUR8" s="137"/>
      <c r="PUS8" s="137"/>
      <c r="PUT8" s="136"/>
      <c r="PUU8" s="344"/>
      <c r="PUV8" s="344"/>
      <c r="PUW8" s="344"/>
      <c r="PUX8" s="344"/>
      <c r="PUY8" s="136"/>
      <c r="PUZ8" s="137"/>
      <c r="PVA8" s="137"/>
      <c r="PVB8" s="136"/>
      <c r="PVC8" s="344"/>
      <c r="PVD8" s="344"/>
      <c r="PVE8" s="344"/>
      <c r="PVF8" s="344"/>
      <c r="PVG8" s="136"/>
      <c r="PVH8" s="137"/>
      <c r="PVI8" s="137"/>
      <c r="PVJ8" s="136"/>
      <c r="PVK8" s="344"/>
      <c r="PVL8" s="344"/>
      <c r="PVM8" s="344"/>
      <c r="PVN8" s="344"/>
      <c r="PVO8" s="136"/>
      <c r="PVP8" s="137"/>
      <c r="PVQ8" s="137"/>
      <c r="PVR8" s="136"/>
      <c r="PVS8" s="344"/>
      <c r="PVT8" s="344"/>
      <c r="PVU8" s="344"/>
      <c r="PVV8" s="344"/>
      <c r="PVW8" s="136"/>
      <c r="PVX8" s="137"/>
      <c r="PVY8" s="137"/>
      <c r="PVZ8" s="136"/>
      <c r="PWA8" s="344"/>
      <c r="PWB8" s="344"/>
      <c r="PWC8" s="344"/>
      <c r="PWD8" s="344"/>
      <c r="PWE8" s="136"/>
      <c r="PWF8" s="137"/>
      <c r="PWG8" s="137"/>
      <c r="PWH8" s="136"/>
      <c r="PWI8" s="344"/>
      <c r="PWJ8" s="344"/>
      <c r="PWK8" s="344"/>
      <c r="PWL8" s="344"/>
      <c r="PWM8" s="136"/>
      <c r="PWN8" s="137"/>
      <c r="PWO8" s="137"/>
      <c r="PWP8" s="136"/>
      <c r="PWQ8" s="344"/>
      <c r="PWR8" s="344"/>
      <c r="PWS8" s="344"/>
      <c r="PWT8" s="344"/>
      <c r="PWU8" s="136"/>
      <c r="PWV8" s="137"/>
      <c r="PWW8" s="137"/>
      <c r="PWX8" s="136"/>
      <c r="PWY8" s="344"/>
      <c r="PWZ8" s="344"/>
      <c r="PXA8" s="344"/>
      <c r="PXB8" s="344"/>
      <c r="PXC8" s="136"/>
      <c r="PXD8" s="137"/>
      <c r="PXE8" s="137"/>
      <c r="PXF8" s="136"/>
      <c r="PXG8" s="344"/>
      <c r="PXH8" s="344"/>
      <c r="PXI8" s="344"/>
      <c r="PXJ8" s="344"/>
      <c r="PXK8" s="136"/>
      <c r="PXL8" s="137"/>
      <c r="PXM8" s="137"/>
      <c r="PXN8" s="136"/>
      <c r="PXO8" s="344"/>
      <c r="PXP8" s="344"/>
      <c r="PXQ8" s="344"/>
      <c r="PXR8" s="344"/>
      <c r="PXS8" s="136"/>
      <c r="PXT8" s="137"/>
      <c r="PXU8" s="137"/>
      <c r="PXV8" s="136"/>
      <c r="PXW8" s="344"/>
      <c r="PXX8" s="344"/>
      <c r="PXY8" s="344"/>
      <c r="PXZ8" s="344"/>
      <c r="PYA8" s="136"/>
      <c r="PYB8" s="137"/>
      <c r="PYC8" s="137"/>
      <c r="PYD8" s="136"/>
      <c r="PYE8" s="344"/>
      <c r="PYF8" s="344"/>
      <c r="PYG8" s="344"/>
      <c r="PYH8" s="344"/>
      <c r="PYI8" s="136"/>
      <c r="PYJ8" s="137"/>
      <c r="PYK8" s="137"/>
      <c r="PYL8" s="136"/>
      <c r="PYM8" s="344"/>
      <c r="PYN8" s="344"/>
      <c r="PYO8" s="344"/>
      <c r="PYP8" s="344"/>
      <c r="PYQ8" s="136"/>
      <c r="PYR8" s="137"/>
      <c r="PYS8" s="137"/>
      <c r="PYT8" s="136"/>
      <c r="PYU8" s="344"/>
      <c r="PYV8" s="344"/>
      <c r="PYW8" s="344"/>
      <c r="PYX8" s="344"/>
      <c r="PYY8" s="136"/>
      <c r="PYZ8" s="137"/>
      <c r="PZA8" s="137"/>
      <c r="PZB8" s="136"/>
      <c r="PZC8" s="344"/>
      <c r="PZD8" s="344"/>
      <c r="PZE8" s="344"/>
      <c r="PZF8" s="344"/>
      <c r="PZG8" s="136"/>
      <c r="PZH8" s="137"/>
      <c r="PZI8" s="137"/>
      <c r="PZJ8" s="136"/>
      <c r="PZK8" s="344"/>
      <c r="PZL8" s="344"/>
      <c r="PZM8" s="344"/>
      <c r="PZN8" s="344"/>
      <c r="PZO8" s="136"/>
      <c r="PZP8" s="137"/>
      <c r="PZQ8" s="137"/>
      <c r="PZR8" s="136"/>
      <c r="PZS8" s="344"/>
      <c r="PZT8" s="344"/>
      <c r="PZU8" s="344"/>
      <c r="PZV8" s="344"/>
      <c r="PZW8" s="136"/>
      <c r="PZX8" s="137"/>
      <c r="PZY8" s="137"/>
      <c r="PZZ8" s="136"/>
      <c r="QAA8" s="344"/>
      <c r="QAB8" s="344"/>
      <c r="QAC8" s="344"/>
      <c r="QAD8" s="344"/>
      <c r="QAE8" s="136"/>
      <c r="QAF8" s="137"/>
      <c r="QAG8" s="137"/>
      <c r="QAH8" s="136"/>
      <c r="QAI8" s="344"/>
      <c r="QAJ8" s="344"/>
      <c r="QAK8" s="344"/>
      <c r="QAL8" s="344"/>
      <c r="QAM8" s="136"/>
      <c r="QAN8" s="137"/>
      <c r="QAO8" s="137"/>
      <c r="QAP8" s="136"/>
      <c r="QAQ8" s="344"/>
      <c r="QAR8" s="344"/>
      <c r="QAS8" s="344"/>
      <c r="QAT8" s="344"/>
      <c r="QAU8" s="136"/>
      <c r="QAV8" s="137"/>
      <c r="QAW8" s="137"/>
      <c r="QAX8" s="136"/>
      <c r="QAY8" s="344"/>
      <c r="QAZ8" s="344"/>
      <c r="QBA8" s="344"/>
      <c r="QBB8" s="344"/>
      <c r="QBC8" s="136"/>
      <c r="QBD8" s="137"/>
      <c r="QBE8" s="137"/>
      <c r="QBF8" s="136"/>
      <c r="QBG8" s="344"/>
      <c r="QBH8" s="344"/>
      <c r="QBI8" s="344"/>
      <c r="QBJ8" s="344"/>
      <c r="QBK8" s="136"/>
      <c r="QBL8" s="137"/>
      <c r="QBM8" s="137"/>
      <c r="QBN8" s="136"/>
      <c r="QBO8" s="344"/>
      <c r="QBP8" s="344"/>
      <c r="QBQ8" s="344"/>
      <c r="QBR8" s="344"/>
      <c r="QBS8" s="136"/>
      <c r="QBT8" s="137"/>
      <c r="QBU8" s="137"/>
      <c r="QBV8" s="136"/>
      <c r="QBW8" s="344"/>
      <c r="QBX8" s="344"/>
      <c r="QBY8" s="344"/>
      <c r="QBZ8" s="344"/>
      <c r="QCA8" s="136"/>
      <c r="QCB8" s="137"/>
      <c r="QCC8" s="137"/>
      <c r="QCD8" s="136"/>
      <c r="QCE8" s="344"/>
      <c r="QCF8" s="344"/>
      <c r="QCG8" s="344"/>
      <c r="QCH8" s="344"/>
      <c r="QCI8" s="136"/>
      <c r="QCJ8" s="137"/>
      <c r="QCK8" s="137"/>
      <c r="QCL8" s="136"/>
      <c r="QCM8" s="344"/>
      <c r="QCN8" s="344"/>
      <c r="QCO8" s="344"/>
      <c r="QCP8" s="344"/>
      <c r="QCQ8" s="136"/>
      <c r="QCR8" s="137"/>
      <c r="QCS8" s="137"/>
      <c r="QCT8" s="136"/>
      <c r="QCU8" s="344"/>
      <c r="QCV8" s="344"/>
      <c r="QCW8" s="344"/>
      <c r="QCX8" s="344"/>
      <c r="QCY8" s="136"/>
      <c r="QCZ8" s="137"/>
      <c r="QDA8" s="137"/>
      <c r="QDB8" s="136"/>
      <c r="QDC8" s="344"/>
      <c r="QDD8" s="344"/>
      <c r="QDE8" s="344"/>
      <c r="QDF8" s="344"/>
      <c r="QDG8" s="136"/>
      <c r="QDH8" s="137"/>
      <c r="QDI8" s="137"/>
      <c r="QDJ8" s="136"/>
      <c r="QDK8" s="344"/>
      <c r="QDL8" s="344"/>
      <c r="QDM8" s="344"/>
      <c r="QDN8" s="344"/>
      <c r="QDO8" s="136"/>
      <c r="QDP8" s="137"/>
      <c r="QDQ8" s="137"/>
      <c r="QDR8" s="136"/>
      <c r="QDS8" s="344"/>
      <c r="QDT8" s="344"/>
      <c r="QDU8" s="344"/>
      <c r="QDV8" s="344"/>
      <c r="QDW8" s="136"/>
      <c r="QDX8" s="137"/>
      <c r="QDY8" s="137"/>
      <c r="QDZ8" s="136"/>
      <c r="QEA8" s="344"/>
      <c r="QEB8" s="344"/>
      <c r="QEC8" s="344"/>
      <c r="QED8" s="344"/>
      <c r="QEE8" s="136"/>
      <c r="QEF8" s="137"/>
      <c r="QEG8" s="137"/>
      <c r="QEH8" s="136"/>
      <c r="QEI8" s="344"/>
      <c r="QEJ8" s="344"/>
      <c r="QEK8" s="344"/>
      <c r="QEL8" s="344"/>
      <c r="QEM8" s="136"/>
      <c r="QEN8" s="137"/>
      <c r="QEO8" s="137"/>
      <c r="QEP8" s="136"/>
      <c r="QEQ8" s="344"/>
      <c r="QER8" s="344"/>
      <c r="QES8" s="344"/>
      <c r="QET8" s="344"/>
      <c r="QEU8" s="136"/>
      <c r="QEV8" s="137"/>
      <c r="QEW8" s="137"/>
      <c r="QEX8" s="136"/>
      <c r="QEY8" s="344"/>
      <c r="QEZ8" s="344"/>
      <c r="QFA8" s="344"/>
      <c r="QFB8" s="344"/>
      <c r="QFC8" s="136"/>
      <c r="QFD8" s="137"/>
      <c r="QFE8" s="137"/>
      <c r="QFF8" s="136"/>
      <c r="QFG8" s="344"/>
      <c r="QFH8" s="344"/>
      <c r="QFI8" s="344"/>
      <c r="QFJ8" s="344"/>
      <c r="QFK8" s="136"/>
      <c r="QFL8" s="137"/>
      <c r="QFM8" s="137"/>
      <c r="QFN8" s="136"/>
      <c r="QFO8" s="344"/>
      <c r="QFP8" s="344"/>
      <c r="QFQ8" s="344"/>
      <c r="QFR8" s="344"/>
      <c r="QFS8" s="136"/>
      <c r="QFT8" s="137"/>
      <c r="QFU8" s="137"/>
      <c r="QFV8" s="136"/>
      <c r="QFW8" s="344"/>
      <c r="QFX8" s="344"/>
      <c r="QFY8" s="344"/>
      <c r="QFZ8" s="344"/>
      <c r="QGA8" s="136"/>
      <c r="QGB8" s="137"/>
      <c r="QGC8" s="137"/>
      <c r="QGD8" s="136"/>
      <c r="QGE8" s="344"/>
      <c r="QGF8" s="344"/>
      <c r="QGG8" s="344"/>
      <c r="QGH8" s="344"/>
      <c r="QGI8" s="136"/>
      <c r="QGJ8" s="137"/>
      <c r="QGK8" s="137"/>
      <c r="QGL8" s="136"/>
      <c r="QGM8" s="344"/>
      <c r="QGN8" s="344"/>
      <c r="QGO8" s="344"/>
      <c r="QGP8" s="344"/>
      <c r="QGQ8" s="136"/>
      <c r="QGR8" s="137"/>
      <c r="QGS8" s="137"/>
      <c r="QGT8" s="136"/>
      <c r="QGU8" s="344"/>
      <c r="QGV8" s="344"/>
      <c r="QGW8" s="344"/>
      <c r="QGX8" s="344"/>
      <c r="QGY8" s="136"/>
      <c r="QGZ8" s="137"/>
      <c r="QHA8" s="137"/>
      <c r="QHB8" s="136"/>
      <c r="QHC8" s="344"/>
      <c r="QHD8" s="344"/>
      <c r="QHE8" s="344"/>
      <c r="QHF8" s="344"/>
      <c r="QHG8" s="136"/>
      <c r="QHH8" s="137"/>
      <c r="QHI8" s="137"/>
      <c r="QHJ8" s="136"/>
      <c r="QHK8" s="344"/>
      <c r="QHL8" s="344"/>
      <c r="QHM8" s="344"/>
      <c r="QHN8" s="344"/>
      <c r="QHO8" s="136"/>
      <c r="QHP8" s="137"/>
      <c r="QHQ8" s="137"/>
      <c r="QHR8" s="136"/>
      <c r="QHS8" s="344"/>
      <c r="QHT8" s="344"/>
      <c r="QHU8" s="344"/>
      <c r="QHV8" s="344"/>
      <c r="QHW8" s="136"/>
      <c r="QHX8" s="137"/>
      <c r="QHY8" s="137"/>
      <c r="QHZ8" s="136"/>
      <c r="QIA8" s="344"/>
      <c r="QIB8" s="344"/>
      <c r="QIC8" s="344"/>
      <c r="QID8" s="344"/>
      <c r="QIE8" s="136"/>
      <c r="QIF8" s="137"/>
      <c r="QIG8" s="137"/>
      <c r="QIH8" s="136"/>
      <c r="QII8" s="344"/>
      <c r="QIJ8" s="344"/>
      <c r="QIK8" s="344"/>
      <c r="QIL8" s="344"/>
      <c r="QIM8" s="136"/>
      <c r="QIN8" s="137"/>
      <c r="QIO8" s="137"/>
      <c r="QIP8" s="136"/>
      <c r="QIQ8" s="344"/>
      <c r="QIR8" s="344"/>
      <c r="QIS8" s="344"/>
      <c r="QIT8" s="344"/>
      <c r="QIU8" s="136"/>
      <c r="QIV8" s="137"/>
      <c r="QIW8" s="137"/>
      <c r="QIX8" s="136"/>
      <c r="QIY8" s="344"/>
      <c r="QIZ8" s="344"/>
      <c r="QJA8" s="344"/>
      <c r="QJB8" s="344"/>
      <c r="QJC8" s="136"/>
      <c r="QJD8" s="137"/>
      <c r="QJE8" s="137"/>
      <c r="QJF8" s="136"/>
      <c r="QJG8" s="344"/>
      <c r="QJH8" s="344"/>
      <c r="QJI8" s="344"/>
      <c r="QJJ8" s="344"/>
      <c r="QJK8" s="136"/>
      <c r="QJL8" s="137"/>
      <c r="QJM8" s="137"/>
      <c r="QJN8" s="136"/>
      <c r="QJO8" s="344"/>
      <c r="QJP8" s="344"/>
      <c r="QJQ8" s="344"/>
      <c r="QJR8" s="344"/>
      <c r="QJS8" s="136"/>
      <c r="QJT8" s="137"/>
      <c r="QJU8" s="137"/>
      <c r="QJV8" s="136"/>
      <c r="QJW8" s="344"/>
      <c r="QJX8" s="344"/>
      <c r="QJY8" s="344"/>
      <c r="QJZ8" s="344"/>
      <c r="QKA8" s="136"/>
      <c r="QKB8" s="137"/>
      <c r="QKC8" s="137"/>
      <c r="QKD8" s="136"/>
      <c r="QKE8" s="344"/>
      <c r="QKF8" s="344"/>
      <c r="QKG8" s="344"/>
      <c r="QKH8" s="344"/>
      <c r="QKI8" s="136"/>
      <c r="QKJ8" s="137"/>
      <c r="QKK8" s="137"/>
      <c r="QKL8" s="136"/>
      <c r="QKM8" s="344"/>
      <c r="QKN8" s="344"/>
      <c r="QKO8" s="344"/>
      <c r="QKP8" s="344"/>
      <c r="QKQ8" s="136"/>
      <c r="QKR8" s="137"/>
      <c r="QKS8" s="137"/>
      <c r="QKT8" s="136"/>
      <c r="QKU8" s="344"/>
      <c r="QKV8" s="344"/>
      <c r="QKW8" s="344"/>
      <c r="QKX8" s="344"/>
      <c r="QKY8" s="136"/>
      <c r="QKZ8" s="137"/>
      <c r="QLA8" s="137"/>
      <c r="QLB8" s="136"/>
      <c r="QLC8" s="344"/>
      <c r="QLD8" s="344"/>
      <c r="QLE8" s="344"/>
      <c r="QLF8" s="344"/>
      <c r="QLG8" s="136"/>
      <c r="QLH8" s="137"/>
      <c r="QLI8" s="137"/>
      <c r="QLJ8" s="136"/>
      <c r="QLK8" s="344"/>
      <c r="QLL8" s="344"/>
      <c r="QLM8" s="344"/>
      <c r="QLN8" s="344"/>
      <c r="QLO8" s="136"/>
      <c r="QLP8" s="137"/>
      <c r="QLQ8" s="137"/>
      <c r="QLR8" s="136"/>
      <c r="QLS8" s="344"/>
      <c r="QLT8" s="344"/>
      <c r="QLU8" s="344"/>
      <c r="QLV8" s="344"/>
      <c r="QLW8" s="136"/>
      <c r="QLX8" s="137"/>
      <c r="QLY8" s="137"/>
      <c r="QLZ8" s="136"/>
      <c r="QMA8" s="344"/>
      <c r="QMB8" s="344"/>
      <c r="QMC8" s="344"/>
      <c r="QMD8" s="344"/>
      <c r="QME8" s="136"/>
      <c r="QMF8" s="137"/>
      <c r="QMG8" s="137"/>
      <c r="QMH8" s="136"/>
      <c r="QMI8" s="344"/>
      <c r="QMJ8" s="344"/>
      <c r="QMK8" s="344"/>
      <c r="QML8" s="344"/>
      <c r="QMM8" s="136"/>
      <c r="QMN8" s="137"/>
      <c r="QMO8" s="137"/>
      <c r="QMP8" s="136"/>
      <c r="QMQ8" s="344"/>
      <c r="QMR8" s="344"/>
      <c r="QMS8" s="344"/>
      <c r="QMT8" s="344"/>
      <c r="QMU8" s="136"/>
      <c r="QMV8" s="137"/>
      <c r="QMW8" s="137"/>
      <c r="QMX8" s="136"/>
      <c r="QMY8" s="344"/>
      <c r="QMZ8" s="344"/>
      <c r="QNA8" s="344"/>
      <c r="QNB8" s="344"/>
      <c r="QNC8" s="136"/>
      <c r="QND8" s="137"/>
      <c r="QNE8" s="137"/>
      <c r="QNF8" s="136"/>
      <c r="QNG8" s="344"/>
      <c r="QNH8" s="344"/>
      <c r="QNI8" s="344"/>
      <c r="QNJ8" s="344"/>
      <c r="QNK8" s="136"/>
      <c r="QNL8" s="137"/>
      <c r="QNM8" s="137"/>
      <c r="QNN8" s="136"/>
      <c r="QNO8" s="344"/>
      <c r="QNP8" s="344"/>
      <c r="QNQ8" s="344"/>
      <c r="QNR8" s="344"/>
      <c r="QNS8" s="136"/>
      <c r="QNT8" s="137"/>
      <c r="QNU8" s="137"/>
      <c r="QNV8" s="136"/>
      <c r="QNW8" s="344"/>
      <c r="QNX8" s="344"/>
      <c r="QNY8" s="344"/>
      <c r="QNZ8" s="344"/>
      <c r="QOA8" s="136"/>
      <c r="QOB8" s="137"/>
      <c r="QOC8" s="137"/>
      <c r="QOD8" s="136"/>
      <c r="QOE8" s="344"/>
      <c r="QOF8" s="344"/>
      <c r="QOG8" s="344"/>
      <c r="QOH8" s="344"/>
      <c r="QOI8" s="136"/>
      <c r="QOJ8" s="137"/>
      <c r="QOK8" s="137"/>
      <c r="QOL8" s="136"/>
      <c r="QOM8" s="344"/>
      <c r="QON8" s="344"/>
      <c r="QOO8" s="344"/>
      <c r="QOP8" s="344"/>
      <c r="QOQ8" s="136"/>
      <c r="QOR8" s="137"/>
      <c r="QOS8" s="137"/>
      <c r="QOT8" s="136"/>
      <c r="QOU8" s="344"/>
      <c r="QOV8" s="344"/>
      <c r="QOW8" s="344"/>
      <c r="QOX8" s="344"/>
      <c r="QOY8" s="136"/>
      <c r="QOZ8" s="137"/>
      <c r="QPA8" s="137"/>
      <c r="QPB8" s="136"/>
      <c r="QPC8" s="344"/>
      <c r="QPD8" s="344"/>
      <c r="QPE8" s="344"/>
      <c r="QPF8" s="344"/>
      <c r="QPG8" s="136"/>
      <c r="QPH8" s="137"/>
      <c r="QPI8" s="137"/>
      <c r="QPJ8" s="136"/>
      <c r="QPK8" s="344"/>
      <c r="QPL8" s="344"/>
      <c r="QPM8" s="344"/>
      <c r="QPN8" s="344"/>
      <c r="QPO8" s="136"/>
      <c r="QPP8" s="137"/>
      <c r="QPQ8" s="137"/>
      <c r="QPR8" s="136"/>
      <c r="QPS8" s="344"/>
      <c r="QPT8" s="344"/>
      <c r="QPU8" s="344"/>
      <c r="QPV8" s="344"/>
      <c r="QPW8" s="136"/>
      <c r="QPX8" s="137"/>
      <c r="QPY8" s="137"/>
      <c r="QPZ8" s="136"/>
      <c r="QQA8" s="344"/>
      <c r="QQB8" s="344"/>
      <c r="QQC8" s="344"/>
      <c r="QQD8" s="344"/>
      <c r="QQE8" s="136"/>
      <c r="QQF8" s="137"/>
      <c r="QQG8" s="137"/>
      <c r="QQH8" s="136"/>
      <c r="QQI8" s="344"/>
      <c r="QQJ8" s="344"/>
      <c r="QQK8" s="344"/>
      <c r="QQL8" s="344"/>
      <c r="QQM8" s="136"/>
      <c r="QQN8" s="137"/>
      <c r="QQO8" s="137"/>
      <c r="QQP8" s="136"/>
      <c r="QQQ8" s="344"/>
      <c r="QQR8" s="344"/>
      <c r="QQS8" s="344"/>
      <c r="QQT8" s="344"/>
      <c r="QQU8" s="136"/>
      <c r="QQV8" s="137"/>
      <c r="QQW8" s="137"/>
      <c r="QQX8" s="136"/>
      <c r="QQY8" s="344"/>
      <c r="QQZ8" s="344"/>
      <c r="QRA8" s="344"/>
      <c r="QRB8" s="344"/>
      <c r="QRC8" s="136"/>
      <c r="QRD8" s="137"/>
      <c r="QRE8" s="137"/>
      <c r="QRF8" s="136"/>
      <c r="QRG8" s="344"/>
      <c r="QRH8" s="344"/>
      <c r="QRI8" s="344"/>
      <c r="QRJ8" s="344"/>
      <c r="QRK8" s="136"/>
      <c r="QRL8" s="137"/>
      <c r="QRM8" s="137"/>
      <c r="QRN8" s="136"/>
      <c r="QRO8" s="344"/>
      <c r="QRP8" s="344"/>
      <c r="QRQ8" s="344"/>
      <c r="QRR8" s="344"/>
      <c r="QRS8" s="136"/>
      <c r="QRT8" s="137"/>
      <c r="QRU8" s="137"/>
      <c r="QRV8" s="136"/>
      <c r="QRW8" s="344"/>
      <c r="QRX8" s="344"/>
      <c r="QRY8" s="344"/>
      <c r="QRZ8" s="344"/>
      <c r="QSA8" s="136"/>
      <c r="QSB8" s="137"/>
      <c r="QSC8" s="137"/>
      <c r="QSD8" s="136"/>
      <c r="QSE8" s="344"/>
      <c r="QSF8" s="344"/>
      <c r="QSG8" s="344"/>
      <c r="QSH8" s="344"/>
      <c r="QSI8" s="136"/>
      <c r="QSJ8" s="137"/>
      <c r="QSK8" s="137"/>
      <c r="QSL8" s="136"/>
      <c r="QSM8" s="344"/>
      <c r="QSN8" s="344"/>
      <c r="QSO8" s="344"/>
      <c r="QSP8" s="344"/>
      <c r="QSQ8" s="136"/>
      <c r="QSR8" s="137"/>
      <c r="QSS8" s="137"/>
      <c r="QST8" s="136"/>
      <c r="QSU8" s="344"/>
      <c r="QSV8" s="344"/>
      <c r="QSW8" s="344"/>
      <c r="QSX8" s="344"/>
      <c r="QSY8" s="136"/>
      <c r="QSZ8" s="137"/>
      <c r="QTA8" s="137"/>
      <c r="QTB8" s="136"/>
      <c r="QTC8" s="344"/>
      <c r="QTD8" s="344"/>
      <c r="QTE8" s="344"/>
      <c r="QTF8" s="344"/>
      <c r="QTG8" s="136"/>
      <c r="QTH8" s="137"/>
      <c r="QTI8" s="137"/>
      <c r="QTJ8" s="136"/>
      <c r="QTK8" s="344"/>
      <c r="QTL8" s="344"/>
      <c r="QTM8" s="344"/>
      <c r="QTN8" s="344"/>
      <c r="QTO8" s="136"/>
      <c r="QTP8" s="137"/>
      <c r="QTQ8" s="137"/>
      <c r="QTR8" s="136"/>
      <c r="QTS8" s="344"/>
      <c r="QTT8" s="344"/>
      <c r="QTU8" s="344"/>
      <c r="QTV8" s="344"/>
      <c r="QTW8" s="136"/>
      <c r="QTX8" s="137"/>
      <c r="QTY8" s="137"/>
      <c r="QTZ8" s="136"/>
      <c r="QUA8" s="344"/>
      <c r="QUB8" s="344"/>
      <c r="QUC8" s="344"/>
      <c r="QUD8" s="344"/>
      <c r="QUE8" s="136"/>
      <c r="QUF8" s="137"/>
      <c r="QUG8" s="137"/>
      <c r="QUH8" s="136"/>
      <c r="QUI8" s="344"/>
      <c r="QUJ8" s="344"/>
      <c r="QUK8" s="344"/>
      <c r="QUL8" s="344"/>
      <c r="QUM8" s="136"/>
      <c r="QUN8" s="137"/>
      <c r="QUO8" s="137"/>
      <c r="QUP8" s="136"/>
      <c r="QUQ8" s="344"/>
      <c r="QUR8" s="344"/>
      <c r="QUS8" s="344"/>
      <c r="QUT8" s="344"/>
      <c r="QUU8" s="136"/>
      <c r="QUV8" s="137"/>
      <c r="QUW8" s="137"/>
      <c r="QUX8" s="136"/>
      <c r="QUY8" s="344"/>
      <c r="QUZ8" s="344"/>
      <c r="QVA8" s="344"/>
      <c r="QVB8" s="344"/>
      <c r="QVC8" s="136"/>
      <c r="QVD8" s="137"/>
      <c r="QVE8" s="137"/>
      <c r="QVF8" s="136"/>
      <c r="QVG8" s="344"/>
      <c r="QVH8" s="344"/>
      <c r="QVI8" s="344"/>
      <c r="QVJ8" s="344"/>
      <c r="QVK8" s="136"/>
      <c r="QVL8" s="137"/>
      <c r="QVM8" s="137"/>
      <c r="QVN8" s="136"/>
      <c r="QVO8" s="344"/>
      <c r="QVP8" s="344"/>
      <c r="QVQ8" s="344"/>
      <c r="QVR8" s="344"/>
      <c r="QVS8" s="136"/>
      <c r="QVT8" s="137"/>
      <c r="QVU8" s="137"/>
      <c r="QVV8" s="136"/>
      <c r="QVW8" s="344"/>
      <c r="QVX8" s="344"/>
      <c r="QVY8" s="344"/>
      <c r="QVZ8" s="344"/>
      <c r="QWA8" s="136"/>
      <c r="QWB8" s="137"/>
      <c r="QWC8" s="137"/>
      <c r="QWD8" s="136"/>
      <c r="QWE8" s="344"/>
      <c r="QWF8" s="344"/>
      <c r="QWG8" s="344"/>
      <c r="QWH8" s="344"/>
      <c r="QWI8" s="136"/>
      <c r="QWJ8" s="137"/>
      <c r="QWK8" s="137"/>
      <c r="QWL8" s="136"/>
      <c r="QWM8" s="344"/>
      <c r="QWN8" s="344"/>
      <c r="QWO8" s="344"/>
      <c r="QWP8" s="344"/>
      <c r="QWQ8" s="136"/>
      <c r="QWR8" s="137"/>
      <c r="QWS8" s="137"/>
      <c r="QWT8" s="136"/>
      <c r="QWU8" s="344"/>
      <c r="QWV8" s="344"/>
      <c r="QWW8" s="344"/>
      <c r="QWX8" s="344"/>
      <c r="QWY8" s="136"/>
      <c r="QWZ8" s="137"/>
      <c r="QXA8" s="137"/>
      <c r="QXB8" s="136"/>
      <c r="QXC8" s="344"/>
      <c r="QXD8" s="344"/>
      <c r="QXE8" s="344"/>
      <c r="QXF8" s="344"/>
      <c r="QXG8" s="136"/>
      <c r="QXH8" s="137"/>
      <c r="QXI8" s="137"/>
      <c r="QXJ8" s="136"/>
      <c r="QXK8" s="344"/>
      <c r="QXL8" s="344"/>
      <c r="QXM8" s="344"/>
      <c r="QXN8" s="344"/>
      <c r="QXO8" s="136"/>
      <c r="QXP8" s="137"/>
      <c r="QXQ8" s="137"/>
      <c r="QXR8" s="136"/>
      <c r="QXS8" s="344"/>
      <c r="QXT8" s="344"/>
      <c r="QXU8" s="344"/>
      <c r="QXV8" s="344"/>
      <c r="QXW8" s="136"/>
      <c r="QXX8" s="137"/>
      <c r="QXY8" s="137"/>
      <c r="QXZ8" s="136"/>
      <c r="QYA8" s="344"/>
      <c r="QYB8" s="344"/>
      <c r="QYC8" s="344"/>
      <c r="QYD8" s="344"/>
      <c r="QYE8" s="136"/>
      <c r="QYF8" s="137"/>
      <c r="QYG8" s="137"/>
      <c r="QYH8" s="136"/>
      <c r="QYI8" s="344"/>
      <c r="QYJ8" s="344"/>
      <c r="QYK8" s="344"/>
      <c r="QYL8" s="344"/>
      <c r="QYM8" s="136"/>
      <c r="QYN8" s="137"/>
      <c r="QYO8" s="137"/>
      <c r="QYP8" s="136"/>
      <c r="QYQ8" s="344"/>
      <c r="QYR8" s="344"/>
      <c r="QYS8" s="344"/>
      <c r="QYT8" s="344"/>
      <c r="QYU8" s="136"/>
      <c r="QYV8" s="137"/>
      <c r="QYW8" s="137"/>
      <c r="QYX8" s="136"/>
      <c r="QYY8" s="344"/>
      <c r="QYZ8" s="344"/>
      <c r="QZA8" s="344"/>
      <c r="QZB8" s="344"/>
      <c r="QZC8" s="136"/>
      <c r="QZD8" s="137"/>
      <c r="QZE8" s="137"/>
      <c r="QZF8" s="136"/>
      <c r="QZG8" s="344"/>
      <c r="QZH8" s="344"/>
      <c r="QZI8" s="344"/>
      <c r="QZJ8" s="344"/>
      <c r="QZK8" s="136"/>
      <c r="QZL8" s="137"/>
      <c r="QZM8" s="137"/>
      <c r="QZN8" s="136"/>
      <c r="QZO8" s="344"/>
      <c r="QZP8" s="344"/>
      <c r="QZQ8" s="344"/>
      <c r="QZR8" s="344"/>
      <c r="QZS8" s="136"/>
      <c r="QZT8" s="137"/>
      <c r="QZU8" s="137"/>
      <c r="QZV8" s="136"/>
      <c r="QZW8" s="344"/>
      <c r="QZX8" s="344"/>
      <c r="QZY8" s="344"/>
      <c r="QZZ8" s="344"/>
      <c r="RAA8" s="136"/>
      <c r="RAB8" s="137"/>
      <c r="RAC8" s="137"/>
      <c r="RAD8" s="136"/>
      <c r="RAE8" s="344"/>
      <c r="RAF8" s="344"/>
      <c r="RAG8" s="344"/>
      <c r="RAH8" s="344"/>
      <c r="RAI8" s="136"/>
      <c r="RAJ8" s="137"/>
      <c r="RAK8" s="137"/>
      <c r="RAL8" s="136"/>
      <c r="RAM8" s="344"/>
      <c r="RAN8" s="344"/>
      <c r="RAO8" s="344"/>
      <c r="RAP8" s="344"/>
      <c r="RAQ8" s="136"/>
      <c r="RAR8" s="137"/>
      <c r="RAS8" s="137"/>
      <c r="RAT8" s="136"/>
      <c r="RAU8" s="344"/>
      <c r="RAV8" s="344"/>
      <c r="RAW8" s="344"/>
      <c r="RAX8" s="344"/>
      <c r="RAY8" s="136"/>
      <c r="RAZ8" s="137"/>
      <c r="RBA8" s="137"/>
      <c r="RBB8" s="136"/>
      <c r="RBC8" s="344"/>
      <c r="RBD8" s="344"/>
      <c r="RBE8" s="344"/>
      <c r="RBF8" s="344"/>
      <c r="RBG8" s="136"/>
      <c r="RBH8" s="137"/>
      <c r="RBI8" s="137"/>
      <c r="RBJ8" s="136"/>
      <c r="RBK8" s="344"/>
      <c r="RBL8" s="344"/>
      <c r="RBM8" s="344"/>
      <c r="RBN8" s="344"/>
      <c r="RBO8" s="136"/>
      <c r="RBP8" s="137"/>
      <c r="RBQ8" s="137"/>
      <c r="RBR8" s="136"/>
      <c r="RBS8" s="344"/>
      <c r="RBT8" s="344"/>
      <c r="RBU8" s="344"/>
      <c r="RBV8" s="344"/>
      <c r="RBW8" s="136"/>
      <c r="RBX8" s="137"/>
      <c r="RBY8" s="137"/>
      <c r="RBZ8" s="136"/>
      <c r="RCA8" s="344"/>
      <c r="RCB8" s="344"/>
      <c r="RCC8" s="344"/>
      <c r="RCD8" s="344"/>
      <c r="RCE8" s="136"/>
      <c r="RCF8" s="137"/>
      <c r="RCG8" s="137"/>
      <c r="RCH8" s="136"/>
      <c r="RCI8" s="344"/>
      <c r="RCJ8" s="344"/>
      <c r="RCK8" s="344"/>
      <c r="RCL8" s="344"/>
      <c r="RCM8" s="136"/>
      <c r="RCN8" s="137"/>
      <c r="RCO8" s="137"/>
      <c r="RCP8" s="136"/>
      <c r="RCQ8" s="344"/>
      <c r="RCR8" s="344"/>
      <c r="RCS8" s="344"/>
      <c r="RCT8" s="344"/>
      <c r="RCU8" s="136"/>
      <c r="RCV8" s="137"/>
      <c r="RCW8" s="137"/>
      <c r="RCX8" s="136"/>
      <c r="RCY8" s="344"/>
      <c r="RCZ8" s="344"/>
      <c r="RDA8" s="344"/>
      <c r="RDB8" s="344"/>
      <c r="RDC8" s="136"/>
      <c r="RDD8" s="137"/>
      <c r="RDE8" s="137"/>
      <c r="RDF8" s="136"/>
      <c r="RDG8" s="344"/>
      <c r="RDH8" s="344"/>
      <c r="RDI8" s="344"/>
      <c r="RDJ8" s="344"/>
      <c r="RDK8" s="136"/>
      <c r="RDL8" s="137"/>
      <c r="RDM8" s="137"/>
      <c r="RDN8" s="136"/>
      <c r="RDO8" s="344"/>
      <c r="RDP8" s="344"/>
      <c r="RDQ8" s="344"/>
      <c r="RDR8" s="344"/>
      <c r="RDS8" s="136"/>
      <c r="RDT8" s="137"/>
      <c r="RDU8" s="137"/>
      <c r="RDV8" s="136"/>
      <c r="RDW8" s="344"/>
      <c r="RDX8" s="344"/>
      <c r="RDY8" s="344"/>
      <c r="RDZ8" s="344"/>
      <c r="REA8" s="136"/>
      <c r="REB8" s="137"/>
      <c r="REC8" s="137"/>
      <c r="RED8" s="136"/>
      <c r="REE8" s="344"/>
      <c r="REF8" s="344"/>
      <c r="REG8" s="344"/>
      <c r="REH8" s="344"/>
      <c r="REI8" s="136"/>
      <c r="REJ8" s="137"/>
      <c r="REK8" s="137"/>
      <c r="REL8" s="136"/>
      <c r="REM8" s="344"/>
      <c r="REN8" s="344"/>
      <c r="REO8" s="344"/>
      <c r="REP8" s="344"/>
      <c r="REQ8" s="136"/>
      <c r="RER8" s="137"/>
      <c r="RES8" s="137"/>
      <c r="RET8" s="136"/>
      <c r="REU8" s="344"/>
      <c r="REV8" s="344"/>
      <c r="REW8" s="344"/>
      <c r="REX8" s="344"/>
      <c r="REY8" s="136"/>
      <c r="REZ8" s="137"/>
      <c r="RFA8" s="137"/>
      <c r="RFB8" s="136"/>
      <c r="RFC8" s="344"/>
      <c r="RFD8" s="344"/>
      <c r="RFE8" s="344"/>
      <c r="RFF8" s="344"/>
      <c r="RFG8" s="136"/>
      <c r="RFH8" s="137"/>
      <c r="RFI8" s="137"/>
      <c r="RFJ8" s="136"/>
      <c r="RFK8" s="344"/>
      <c r="RFL8" s="344"/>
      <c r="RFM8" s="344"/>
      <c r="RFN8" s="344"/>
      <c r="RFO8" s="136"/>
      <c r="RFP8" s="137"/>
      <c r="RFQ8" s="137"/>
      <c r="RFR8" s="136"/>
      <c r="RFS8" s="344"/>
      <c r="RFT8" s="344"/>
      <c r="RFU8" s="344"/>
      <c r="RFV8" s="344"/>
      <c r="RFW8" s="136"/>
      <c r="RFX8" s="137"/>
      <c r="RFY8" s="137"/>
      <c r="RFZ8" s="136"/>
      <c r="RGA8" s="344"/>
      <c r="RGB8" s="344"/>
      <c r="RGC8" s="344"/>
      <c r="RGD8" s="344"/>
      <c r="RGE8" s="136"/>
      <c r="RGF8" s="137"/>
      <c r="RGG8" s="137"/>
      <c r="RGH8" s="136"/>
      <c r="RGI8" s="344"/>
      <c r="RGJ8" s="344"/>
      <c r="RGK8" s="344"/>
      <c r="RGL8" s="344"/>
      <c r="RGM8" s="136"/>
      <c r="RGN8" s="137"/>
      <c r="RGO8" s="137"/>
      <c r="RGP8" s="136"/>
      <c r="RGQ8" s="344"/>
      <c r="RGR8" s="344"/>
      <c r="RGS8" s="344"/>
      <c r="RGT8" s="344"/>
      <c r="RGU8" s="136"/>
      <c r="RGV8" s="137"/>
      <c r="RGW8" s="137"/>
      <c r="RGX8" s="136"/>
      <c r="RGY8" s="344"/>
      <c r="RGZ8" s="344"/>
      <c r="RHA8" s="344"/>
      <c r="RHB8" s="344"/>
      <c r="RHC8" s="136"/>
      <c r="RHD8" s="137"/>
      <c r="RHE8" s="137"/>
      <c r="RHF8" s="136"/>
      <c r="RHG8" s="344"/>
      <c r="RHH8" s="344"/>
      <c r="RHI8" s="344"/>
      <c r="RHJ8" s="344"/>
      <c r="RHK8" s="136"/>
      <c r="RHL8" s="137"/>
      <c r="RHM8" s="137"/>
      <c r="RHN8" s="136"/>
      <c r="RHO8" s="344"/>
      <c r="RHP8" s="344"/>
      <c r="RHQ8" s="344"/>
      <c r="RHR8" s="344"/>
      <c r="RHS8" s="136"/>
      <c r="RHT8" s="137"/>
      <c r="RHU8" s="137"/>
      <c r="RHV8" s="136"/>
      <c r="RHW8" s="344"/>
      <c r="RHX8" s="344"/>
      <c r="RHY8" s="344"/>
      <c r="RHZ8" s="344"/>
      <c r="RIA8" s="136"/>
      <c r="RIB8" s="137"/>
      <c r="RIC8" s="137"/>
      <c r="RID8" s="136"/>
      <c r="RIE8" s="344"/>
      <c r="RIF8" s="344"/>
      <c r="RIG8" s="344"/>
      <c r="RIH8" s="344"/>
      <c r="RII8" s="136"/>
      <c r="RIJ8" s="137"/>
      <c r="RIK8" s="137"/>
      <c r="RIL8" s="136"/>
      <c r="RIM8" s="344"/>
      <c r="RIN8" s="344"/>
      <c r="RIO8" s="344"/>
      <c r="RIP8" s="344"/>
      <c r="RIQ8" s="136"/>
      <c r="RIR8" s="137"/>
      <c r="RIS8" s="137"/>
      <c r="RIT8" s="136"/>
      <c r="RIU8" s="344"/>
      <c r="RIV8" s="344"/>
      <c r="RIW8" s="344"/>
      <c r="RIX8" s="344"/>
      <c r="RIY8" s="136"/>
      <c r="RIZ8" s="137"/>
      <c r="RJA8" s="137"/>
      <c r="RJB8" s="136"/>
      <c r="RJC8" s="344"/>
      <c r="RJD8" s="344"/>
      <c r="RJE8" s="344"/>
      <c r="RJF8" s="344"/>
      <c r="RJG8" s="136"/>
      <c r="RJH8" s="137"/>
      <c r="RJI8" s="137"/>
      <c r="RJJ8" s="136"/>
      <c r="RJK8" s="344"/>
      <c r="RJL8" s="344"/>
      <c r="RJM8" s="344"/>
      <c r="RJN8" s="344"/>
      <c r="RJO8" s="136"/>
      <c r="RJP8" s="137"/>
      <c r="RJQ8" s="137"/>
      <c r="RJR8" s="136"/>
      <c r="RJS8" s="344"/>
      <c r="RJT8" s="344"/>
      <c r="RJU8" s="344"/>
      <c r="RJV8" s="344"/>
      <c r="RJW8" s="136"/>
      <c r="RJX8" s="137"/>
      <c r="RJY8" s="137"/>
      <c r="RJZ8" s="136"/>
      <c r="RKA8" s="344"/>
      <c r="RKB8" s="344"/>
      <c r="RKC8" s="344"/>
      <c r="RKD8" s="344"/>
      <c r="RKE8" s="136"/>
      <c r="RKF8" s="137"/>
      <c r="RKG8" s="137"/>
      <c r="RKH8" s="136"/>
      <c r="RKI8" s="344"/>
      <c r="RKJ8" s="344"/>
      <c r="RKK8" s="344"/>
      <c r="RKL8" s="344"/>
      <c r="RKM8" s="136"/>
      <c r="RKN8" s="137"/>
      <c r="RKO8" s="137"/>
      <c r="RKP8" s="136"/>
      <c r="RKQ8" s="344"/>
      <c r="RKR8" s="344"/>
      <c r="RKS8" s="344"/>
      <c r="RKT8" s="344"/>
      <c r="RKU8" s="136"/>
      <c r="RKV8" s="137"/>
      <c r="RKW8" s="137"/>
      <c r="RKX8" s="136"/>
      <c r="RKY8" s="344"/>
      <c r="RKZ8" s="344"/>
      <c r="RLA8" s="344"/>
      <c r="RLB8" s="344"/>
      <c r="RLC8" s="136"/>
      <c r="RLD8" s="137"/>
      <c r="RLE8" s="137"/>
      <c r="RLF8" s="136"/>
      <c r="RLG8" s="344"/>
      <c r="RLH8" s="344"/>
      <c r="RLI8" s="344"/>
      <c r="RLJ8" s="344"/>
      <c r="RLK8" s="136"/>
      <c r="RLL8" s="137"/>
      <c r="RLM8" s="137"/>
      <c r="RLN8" s="136"/>
      <c r="RLO8" s="344"/>
      <c r="RLP8" s="344"/>
      <c r="RLQ8" s="344"/>
      <c r="RLR8" s="344"/>
      <c r="RLS8" s="136"/>
      <c r="RLT8" s="137"/>
      <c r="RLU8" s="137"/>
      <c r="RLV8" s="136"/>
      <c r="RLW8" s="344"/>
      <c r="RLX8" s="344"/>
      <c r="RLY8" s="344"/>
      <c r="RLZ8" s="344"/>
      <c r="RMA8" s="136"/>
      <c r="RMB8" s="137"/>
      <c r="RMC8" s="137"/>
      <c r="RMD8" s="136"/>
      <c r="RME8" s="344"/>
      <c r="RMF8" s="344"/>
      <c r="RMG8" s="344"/>
      <c r="RMH8" s="344"/>
      <c r="RMI8" s="136"/>
      <c r="RMJ8" s="137"/>
      <c r="RMK8" s="137"/>
      <c r="RML8" s="136"/>
      <c r="RMM8" s="344"/>
      <c r="RMN8" s="344"/>
      <c r="RMO8" s="344"/>
      <c r="RMP8" s="344"/>
      <c r="RMQ8" s="136"/>
      <c r="RMR8" s="137"/>
      <c r="RMS8" s="137"/>
      <c r="RMT8" s="136"/>
      <c r="RMU8" s="344"/>
      <c r="RMV8" s="344"/>
      <c r="RMW8" s="344"/>
      <c r="RMX8" s="344"/>
      <c r="RMY8" s="136"/>
      <c r="RMZ8" s="137"/>
      <c r="RNA8" s="137"/>
      <c r="RNB8" s="136"/>
      <c r="RNC8" s="344"/>
      <c r="RND8" s="344"/>
      <c r="RNE8" s="344"/>
      <c r="RNF8" s="344"/>
      <c r="RNG8" s="136"/>
      <c r="RNH8" s="137"/>
      <c r="RNI8" s="137"/>
      <c r="RNJ8" s="136"/>
      <c r="RNK8" s="344"/>
      <c r="RNL8" s="344"/>
      <c r="RNM8" s="344"/>
      <c r="RNN8" s="344"/>
      <c r="RNO8" s="136"/>
      <c r="RNP8" s="137"/>
      <c r="RNQ8" s="137"/>
      <c r="RNR8" s="136"/>
      <c r="RNS8" s="344"/>
      <c r="RNT8" s="344"/>
      <c r="RNU8" s="344"/>
      <c r="RNV8" s="344"/>
      <c r="RNW8" s="136"/>
      <c r="RNX8" s="137"/>
      <c r="RNY8" s="137"/>
      <c r="RNZ8" s="136"/>
      <c r="ROA8" s="344"/>
      <c r="ROB8" s="344"/>
      <c r="ROC8" s="344"/>
      <c r="ROD8" s="344"/>
      <c r="ROE8" s="136"/>
      <c r="ROF8" s="137"/>
      <c r="ROG8" s="137"/>
      <c r="ROH8" s="136"/>
      <c r="ROI8" s="344"/>
      <c r="ROJ8" s="344"/>
      <c r="ROK8" s="344"/>
      <c r="ROL8" s="344"/>
      <c r="ROM8" s="136"/>
      <c r="RON8" s="137"/>
      <c r="ROO8" s="137"/>
      <c r="ROP8" s="136"/>
      <c r="ROQ8" s="344"/>
      <c r="ROR8" s="344"/>
      <c r="ROS8" s="344"/>
      <c r="ROT8" s="344"/>
      <c r="ROU8" s="136"/>
      <c r="ROV8" s="137"/>
      <c r="ROW8" s="137"/>
      <c r="ROX8" s="136"/>
      <c r="ROY8" s="344"/>
      <c r="ROZ8" s="344"/>
      <c r="RPA8" s="344"/>
      <c r="RPB8" s="344"/>
      <c r="RPC8" s="136"/>
      <c r="RPD8" s="137"/>
      <c r="RPE8" s="137"/>
      <c r="RPF8" s="136"/>
      <c r="RPG8" s="344"/>
      <c r="RPH8" s="344"/>
      <c r="RPI8" s="344"/>
      <c r="RPJ8" s="344"/>
      <c r="RPK8" s="136"/>
      <c r="RPL8" s="137"/>
      <c r="RPM8" s="137"/>
      <c r="RPN8" s="136"/>
      <c r="RPO8" s="344"/>
      <c r="RPP8" s="344"/>
      <c r="RPQ8" s="344"/>
      <c r="RPR8" s="344"/>
      <c r="RPS8" s="136"/>
      <c r="RPT8" s="137"/>
      <c r="RPU8" s="137"/>
      <c r="RPV8" s="136"/>
      <c r="RPW8" s="344"/>
      <c r="RPX8" s="344"/>
      <c r="RPY8" s="344"/>
      <c r="RPZ8" s="344"/>
      <c r="RQA8" s="136"/>
      <c r="RQB8" s="137"/>
      <c r="RQC8" s="137"/>
      <c r="RQD8" s="136"/>
      <c r="RQE8" s="344"/>
      <c r="RQF8" s="344"/>
      <c r="RQG8" s="344"/>
      <c r="RQH8" s="344"/>
      <c r="RQI8" s="136"/>
      <c r="RQJ8" s="137"/>
      <c r="RQK8" s="137"/>
      <c r="RQL8" s="136"/>
      <c r="RQM8" s="344"/>
      <c r="RQN8" s="344"/>
      <c r="RQO8" s="344"/>
      <c r="RQP8" s="344"/>
      <c r="RQQ8" s="136"/>
      <c r="RQR8" s="137"/>
      <c r="RQS8" s="137"/>
      <c r="RQT8" s="136"/>
      <c r="RQU8" s="344"/>
      <c r="RQV8" s="344"/>
      <c r="RQW8" s="344"/>
      <c r="RQX8" s="344"/>
      <c r="RQY8" s="136"/>
      <c r="RQZ8" s="137"/>
      <c r="RRA8" s="137"/>
      <c r="RRB8" s="136"/>
      <c r="RRC8" s="344"/>
      <c r="RRD8" s="344"/>
      <c r="RRE8" s="344"/>
      <c r="RRF8" s="344"/>
      <c r="RRG8" s="136"/>
      <c r="RRH8" s="137"/>
      <c r="RRI8" s="137"/>
      <c r="RRJ8" s="136"/>
      <c r="RRK8" s="344"/>
      <c r="RRL8" s="344"/>
      <c r="RRM8" s="344"/>
      <c r="RRN8" s="344"/>
      <c r="RRO8" s="136"/>
      <c r="RRP8" s="137"/>
      <c r="RRQ8" s="137"/>
      <c r="RRR8" s="136"/>
      <c r="RRS8" s="344"/>
      <c r="RRT8" s="344"/>
      <c r="RRU8" s="344"/>
      <c r="RRV8" s="344"/>
      <c r="RRW8" s="136"/>
      <c r="RRX8" s="137"/>
      <c r="RRY8" s="137"/>
      <c r="RRZ8" s="136"/>
      <c r="RSA8" s="344"/>
      <c r="RSB8" s="344"/>
      <c r="RSC8" s="344"/>
      <c r="RSD8" s="344"/>
      <c r="RSE8" s="136"/>
      <c r="RSF8" s="137"/>
      <c r="RSG8" s="137"/>
      <c r="RSH8" s="136"/>
      <c r="RSI8" s="344"/>
      <c r="RSJ8" s="344"/>
      <c r="RSK8" s="344"/>
      <c r="RSL8" s="344"/>
      <c r="RSM8" s="136"/>
      <c r="RSN8" s="137"/>
      <c r="RSO8" s="137"/>
      <c r="RSP8" s="136"/>
      <c r="RSQ8" s="344"/>
      <c r="RSR8" s="344"/>
      <c r="RSS8" s="344"/>
      <c r="RST8" s="344"/>
      <c r="RSU8" s="136"/>
      <c r="RSV8" s="137"/>
      <c r="RSW8" s="137"/>
      <c r="RSX8" s="136"/>
      <c r="RSY8" s="344"/>
      <c r="RSZ8" s="344"/>
      <c r="RTA8" s="344"/>
      <c r="RTB8" s="344"/>
      <c r="RTC8" s="136"/>
      <c r="RTD8" s="137"/>
      <c r="RTE8" s="137"/>
      <c r="RTF8" s="136"/>
      <c r="RTG8" s="344"/>
      <c r="RTH8" s="344"/>
      <c r="RTI8" s="344"/>
      <c r="RTJ8" s="344"/>
      <c r="RTK8" s="136"/>
      <c r="RTL8" s="137"/>
      <c r="RTM8" s="137"/>
      <c r="RTN8" s="136"/>
      <c r="RTO8" s="344"/>
      <c r="RTP8" s="344"/>
      <c r="RTQ8" s="344"/>
      <c r="RTR8" s="344"/>
      <c r="RTS8" s="136"/>
      <c r="RTT8" s="137"/>
      <c r="RTU8" s="137"/>
      <c r="RTV8" s="136"/>
      <c r="RTW8" s="344"/>
      <c r="RTX8" s="344"/>
      <c r="RTY8" s="344"/>
      <c r="RTZ8" s="344"/>
      <c r="RUA8" s="136"/>
      <c r="RUB8" s="137"/>
      <c r="RUC8" s="137"/>
      <c r="RUD8" s="136"/>
      <c r="RUE8" s="344"/>
      <c r="RUF8" s="344"/>
      <c r="RUG8" s="344"/>
      <c r="RUH8" s="344"/>
      <c r="RUI8" s="136"/>
      <c r="RUJ8" s="137"/>
      <c r="RUK8" s="137"/>
      <c r="RUL8" s="136"/>
      <c r="RUM8" s="344"/>
      <c r="RUN8" s="344"/>
      <c r="RUO8" s="344"/>
      <c r="RUP8" s="344"/>
      <c r="RUQ8" s="136"/>
      <c r="RUR8" s="137"/>
      <c r="RUS8" s="137"/>
      <c r="RUT8" s="136"/>
      <c r="RUU8" s="344"/>
      <c r="RUV8" s="344"/>
      <c r="RUW8" s="344"/>
      <c r="RUX8" s="344"/>
      <c r="RUY8" s="136"/>
      <c r="RUZ8" s="137"/>
      <c r="RVA8" s="137"/>
      <c r="RVB8" s="136"/>
      <c r="RVC8" s="344"/>
      <c r="RVD8" s="344"/>
      <c r="RVE8" s="344"/>
      <c r="RVF8" s="344"/>
      <c r="RVG8" s="136"/>
      <c r="RVH8" s="137"/>
      <c r="RVI8" s="137"/>
      <c r="RVJ8" s="136"/>
      <c r="RVK8" s="344"/>
      <c r="RVL8" s="344"/>
      <c r="RVM8" s="344"/>
      <c r="RVN8" s="344"/>
      <c r="RVO8" s="136"/>
      <c r="RVP8" s="137"/>
      <c r="RVQ8" s="137"/>
      <c r="RVR8" s="136"/>
      <c r="RVS8" s="344"/>
      <c r="RVT8" s="344"/>
      <c r="RVU8" s="344"/>
      <c r="RVV8" s="344"/>
      <c r="RVW8" s="136"/>
      <c r="RVX8" s="137"/>
      <c r="RVY8" s="137"/>
      <c r="RVZ8" s="136"/>
      <c r="RWA8" s="344"/>
      <c r="RWB8" s="344"/>
      <c r="RWC8" s="344"/>
      <c r="RWD8" s="344"/>
      <c r="RWE8" s="136"/>
      <c r="RWF8" s="137"/>
      <c r="RWG8" s="137"/>
      <c r="RWH8" s="136"/>
      <c r="RWI8" s="344"/>
      <c r="RWJ8" s="344"/>
      <c r="RWK8" s="344"/>
      <c r="RWL8" s="344"/>
      <c r="RWM8" s="136"/>
      <c r="RWN8" s="137"/>
      <c r="RWO8" s="137"/>
      <c r="RWP8" s="136"/>
      <c r="RWQ8" s="344"/>
      <c r="RWR8" s="344"/>
      <c r="RWS8" s="344"/>
      <c r="RWT8" s="344"/>
      <c r="RWU8" s="136"/>
      <c r="RWV8" s="137"/>
      <c r="RWW8" s="137"/>
      <c r="RWX8" s="136"/>
      <c r="RWY8" s="344"/>
      <c r="RWZ8" s="344"/>
      <c r="RXA8" s="344"/>
      <c r="RXB8" s="344"/>
      <c r="RXC8" s="136"/>
      <c r="RXD8" s="137"/>
      <c r="RXE8" s="137"/>
      <c r="RXF8" s="136"/>
      <c r="RXG8" s="344"/>
      <c r="RXH8" s="344"/>
      <c r="RXI8" s="344"/>
      <c r="RXJ8" s="344"/>
      <c r="RXK8" s="136"/>
      <c r="RXL8" s="137"/>
      <c r="RXM8" s="137"/>
      <c r="RXN8" s="136"/>
      <c r="RXO8" s="344"/>
      <c r="RXP8" s="344"/>
      <c r="RXQ8" s="344"/>
      <c r="RXR8" s="344"/>
      <c r="RXS8" s="136"/>
      <c r="RXT8" s="137"/>
      <c r="RXU8" s="137"/>
      <c r="RXV8" s="136"/>
      <c r="RXW8" s="344"/>
      <c r="RXX8" s="344"/>
      <c r="RXY8" s="344"/>
      <c r="RXZ8" s="344"/>
      <c r="RYA8" s="136"/>
      <c r="RYB8" s="137"/>
      <c r="RYC8" s="137"/>
      <c r="RYD8" s="136"/>
      <c r="RYE8" s="344"/>
      <c r="RYF8" s="344"/>
      <c r="RYG8" s="344"/>
      <c r="RYH8" s="344"/>
      <c r="RYI8" s="136"/>
      <c r="RYJ8" s="137"/>
      <c r="RYK8" s="137"/>
      <c r="RYL8" s="136"/>
      <c r="RYM8" s="344"/>
      <c r="RYN8" s="344"/>
      <c r="RYO8" s="344"/>
      <c r="RYP8" s="344"/>
      <c r="RYQ8" s="136"/>
      <c r="RYR8" s="137"/>
      <c r="RYS8" s="137"/>
      <c r="RYT8" s="136"/>
      <c r="RYU8" s="344"/>
      <c r="RYV8" s="344"/>
      <c r="RYW8" s="344"/>
      <c r="RYX8" s="344"/>
      <c r="RYY8" s="136"/>
      <c r="RYZ8" s="137"/>
      <c r="RZA8" s="137"/>
      <c r="RZB8" s="136"/>
      <c r="RZC8" s="344"/>
      <c r="RZD8" s="344"/>
      <c r="RZE8" s="344"/>
      <c r="RZF8" s="344"/>
      <c r="RZG8" s="136"/>
      <c r="RZH8" s="137"/>
      <c r="RZI8" s="137"/>
      <c r="RZJ8" s="136"/>
      <c r="RZK8" s="344"/>
      <c r="RZL8" s="344"/>
      <c r="RZM8" s="344"/>
      <c r="RZN8" s="344"/>
      <c r="RZO8" s="136"/>
      <c r="RZP8" s="137"/>
      <c r="RZQ8" s="137"/>
      <c r="RZR8" s="136"/>
      <c r="RZS8" s="344"/>
      <c r="RZT8" s="344"/>
      <c r="RZU8" s="344"/>
      <c r="RZV8" s="344"/>
      <c r="RZW8" s="136"/>
      <c r="RZX8" s="137"/>
      <c r="RZY8" s="137"/>
      <c r="RZZ8" s="136"/>
      <c r="SAA8" s="344"/>
      <c r="SAB8" s="344"/>
      <c r="SAC8" s="344"/>
      <c r="SAD8" s="344"/>
      <c r="SAE8" s="136"/>
      <c r="SAF8" s="137"/>
      <c r="SAG8" s="137"/>
      <c r="SAH8" s="136"/>
      <c r="SAI8" s="344"/>
      <c r="SAJ8" s="344"/>
      <c r="SAK8" s="344"/>
      <c r="SAL8" s="344"/>
      <c r="SAM8" s="136"/>
      <c r="SAN8" s="137"/>
      <c r="SAO8" s="137"/>
      <c r="SAP8" s="136"/>
      <c r="SAQ8" s="344"/>
      <c r="SAR8" s="344"/>
      <c r="SAS8" s="344"/>
      <c r="SAT8" s="344"/>
      <c r="SAU8" s="136"/>
      <c r="SAV8" s="137"/>
      <c r="SAW8" s="137"/>
      <c r="SAX8" s="136"/>
      <c r="SAY8" s="344"/>
      <c r="SAZ8" s="344"/>
      <c r="SBA8" s="344"/>
      <c r="SBB8" s="344"/>
      <c r="SBC8" s="136"/>
      <c r="SBD8" s="137"/>
      <c r="SBE8" s="137"/>
      <c r="SBF8" s="136"/>
      <c r="SBG8" s="344"/>
      <c r="SBH8" s="344"/>
      <c r="SBI8" s="344"/>
      <c r="SBJ8" s="344"/>
      <c r="SBK8" s="136"/>
      <c r="SBL8" s="137"/>
      <c r="SBM8" s="137"/>
      <c r="SBN8" s="136"/>
      <c r="SBO8" s="344"/>
      <c r="SBP8" s="344"/>
      <c r="SBQ8" s="344"/>
      <c r="SBR8" s="344"/>
      <c r="SBS8" s="136"/>
      <c r="SBT8" s="137"/>
      <c r="SBU8" s="137"/>
      <c r="SBV8" s="136"/>
      <c r="SBW8" s="344"/>
      <c r="SBX8" s="344"/>
      <c r="SBY8" s="344"/>
      <c r="SBZ8" s="344"/>
      <c r="SCA8" s="136"/>
      <c r="SCB8" s="137"/>
      <c r="SCC8" s="137"/>
      <c r="SCD8" s="136"/>
      <c r="SCE8" s="344"/>
      <c r="SCF8" s="344"/>
      <c r="SCG8" s="344"/>
      <c r="SCH8" s="344"/>
      <c r="SCI8" s="136"/>
      <c r="SCJ8" s="137"/>
      <c r="SCK8" s="137"/>
      <c r="SCL8" s="136"/>
      <c r="SCM8" s="344"/>
      <c r="SCN8" s="344"/>
      <c r="SCO8" s="344"/>
      <c r="SCP8" s="344"/>
      <c r="SCQ8" s="136"/>
      <c r="SCR8" s="137"/>
      <c r="SCS8" s="137"/>
      <c r="SCT8" s="136"/>
      <c r="SCU8" s="344"/>
      <c r="SCV8" s="344"/>
      <c r="SCW8" s="344"/>
      <c r="SCX8" s="344"/>
      <c r="SCY8" s="136"/>
      <c r="SCZ8" s="137"/>
      <c r="SDA8" s="137"/>
      <c r="SDB8" s="136"/>
      <c r="SDC8" s="344"/>
      <c r="SDD8" s="344"/>
      <c r="SDE8" s="344"/>
      <c r="SDF8" s="344"/>
      <c r="SDG8" s="136"/>
      <c r="SDH8" s="137"/>
      <c r="SDI8" s="137"/>
      <c r="SDJ8" s="136"/>
      <c r="SDK8" s="344"/>
      <c r="SDL8" s="344"/>
      <c r="SDM8" s="344"/>
      <c r="SDN8" s="344"/>
      <c r="SDO8" s="136"/>
      <c r="SDP8" s="137"/>
      <c r="SDQ8" s="137"/>
      <c r="SDR8" s="136"/>
      <c r="SDS8" s="344"/>
      <c r="SDT8" s="344"/>
      <c r="SDU8" s="344"/>
      <c r="SDV8" s="344"/>
      <c r="SDW8" s="136"/>
      <c r="SDX8" s="137"/>
      <c r="SDY8" s="137"/>
      <c r="SDZ8" s="136"/>
      <c r="SEA8" s="344"/>
      <c r="SEB8" s="344"/>
      <c r="SEC8" s="344"/>
      <c r="SED8" s="344"/>
      <c r="SEE8" s="136"/>
      <c r="SEF8" s="137"/>
      <c r="SEG8" s="137"/>
      <c r="SEH8" s="136"/>
      <c r="SEI8" s="344"/>
      <c r="SEJ8" s="344"/>
      <c r="SEK8" s="344"/>
      <c r="SEL8" s="344"/>
      <c r="SEM8" s="136"/>
      <c r="SEN8" s="137"/>
      <c r="SEO8" s="137"/>
      <c r="SEP8" s="136"/>
      <c r="SEQ8" s="344"/>
      <c r="SER8" s="344"/>
      <c r="SES8" s="344"/>
      <c r="SET8" s="344"/>
      <c r="SEU8" s="136"/>
      <c r="SEV8" s="137"/>
      <c r="SEW8" s="137"/>
      <c r="SEX8" s="136"/>
      <c r="SEY8" s="344"/>
      <c r="SEZ8" s="344"/>
      <c r="SFA8" s="344"/>
      <c r="SFB8" s="344"/>
      <c r="SFC8" s="136"/>
      <c r="SFD8" s="137"/>
      <c r="SFE8" s="137"/>
      <c r="SFF8" s="136"/>
      <c r="SFG8" s="344"/>
      <c r="SFH8" s="344"/>
      <c r="SFI8" s="344"/>
      <c r="SFJ8" s="344"/>
      <c r="SFK8" s="136"/>
      <c r="SFL8" s="137"/>
      <c r="SFM8" s="137"/>
      <c r="SFN8" s="136"/>
      <c r="SFO8" s="344"/>
      <c r="SFP8" s="344"/>
      <c r="SFQ8" s="344"/>
      <c r="SFR8" s="344"/>
      <c r="SFS8" s="136"/>
      <c r="SFT8" s="137"/>
      <c r="SFU8" s="137"/>
      <c r="SFV8" s="136"/>
      <c r="SFW8" s="344"/>
      <c r="SFX8" s="344"/>
      <c r="SFY8" s="344"/>
      <c r="SFZ8" s="344"/>
      <c r="SGA8" s="136"/>
      <c r="SGB8" s="137"/>
      <c r="SGC8" s="137"/>
      <c r="SGD8" s="136"/>
      <c r="SGE8" s="344"/>
      <c r="SGF8" s="344"/>
      <c r="SGG8" s="344"/>
      <c r="SGH8" s="344"/>
      <c r="SGI8" s="136"/>
      <c r="SGJ8" s="137"/>
      <c r="SGK8" s="137"/>
      <c r="SGL8" s="136"/>
      <c r="SGM8" s="344"/>
      <c r="SGN8" s="344"/>
      <c r="SGO8" s="344"/>
      <c r="SGP8" s="344"/>
      <c r="SGQ8" s="136"/>
      <c r="SGR8" s="137"/>
      <c r="SGS8" s="137"/>
      <c r="SGT8" s="136"/>
      <c r="SGU8" s="344"/>
      <c r="SGV8" s="344"/>
      <c r="SGW8" s="344"/>
      <c r="SGX8" s="344"/>
      <c r="SGY8" s="136"/>
      <c r="SGZ8" s="137"/>
      <c r="SHA8" s="137"/>
      <c r="SHB8" s="136"/>
      <c r="SHC8" s="344"/>
      <c r="SHD8" s="344"/>
      <c r="SHE8" s="344"/>
      <c r="SHF8" s="344"/>
      <c r="SHG8" s="136"/>
      <c r="SHH8" s="137"/>
      <c r="SHI8" s="137"/>
      <c r="SHJ8" s="136"/>
      <c r="SHK8" s="344"/>
      <c r="SHL8" s="344"/>
      <c r="SHM8" s="344"/>
      <c r="SHN8" s="344"/>
      <c r="SHO8" s="136"/>
      <c r="SHP8" s="137"/>
      <c r="SHQ8" s="137"/>
      <c r="SHR8" s="136"/>
      <c r="SHS8" s="344"/>
      <c r="SHT8" s="344"/>
      <c r="SHU8" s="344"/>
      <c r="SHV8" s="344"/>
      <c r="SHW8" s="136"/>
      <c r="SHX8" s="137"/>
      <c r="SHY8" s="137"/>
      <c r="SHZ8" s="136"/>
      <c r="SIA8" s="344"/>
      <c r="SIB8" s="344"/>
      <c r="SIC8" s="344"/>
      <c r="SID8" s="344"/>
      <c r="SIE8" s="136"/>
      <c r="SIF8" s="137"/>
      <c r="SIG8" s="137"/>
      <c r="SIH8" s="136"/>
      <c r="SII8" s="344"/>
      <c r="SIJ8" s="344"/>
      <c r="SIK8" s="344"/>
      <c r="SIL8" s="344"/>
      <c r="SIM8" s="136"/>
      <c r="SIN8" s="137"/>
      <c r="SIO8" s="137"/>
      <c r="SIP8" s="136"/>
      <c r="SIQ8" s="344"/>
      <c r="SIR8" s="344"/>
      <c r="SIS8" s="344"/>
      <c r="SIT8" s="344"/>
      <c r="SIU8" s="136"/>
      <c r="SIV8" s="137"/>
      <c r="SIW8" s="137"/>
      <c r="SIX8" s="136"/>
      <c r="SIY8" s="344"/>
      <c r="SIZ8" s="344"/>
      <c r="SJA8" s="344"/>
      <c r="SJB8" s="344"/>
      <c r="SJC8" s="136"/>
      <c r="SJD8" s="137"/>
      <c r="SJE8" s="137"/>
      <c r="SJF8" s="136"/>
      <c r="SJG8" s="344"/>
      <c r="SJH8" s="344"/>
      <c r="SJI8" s="344"/>
      <c r="SJJ8" s="344"/>
      <c r="SJK8" s="136"/>
      <c r="SJL8" s="137"/>
      <c r="SJM8" s="137"/>
      <c r="SJN8" s="136"/>
      <c r="SJO8" s="344"/>
      <c r="SJP8" s="344"/>
      <c r="SJQ8" s="344"/>
      <c r="SJR8" s="344"/>
      <c r="SJS8" s="136"/>
      <c r="SJT8" s="137"/>
      <c r="SJU8" s="137"/>
      <c r="SJV8" s="136"/>
      <c r="SJW8" s="344"/>
      <c r="SJX8" s="344"/>
      <c r="SJY8" s="344"/>
      <c r="SJZ8" s="344"/>
      <c r="SKA8" s="136"/>
      <c r="SKB8" s="137"/>
      <c r="SKC8" s="137"/>
      <c r="SKD8" s="136"/>
      <c r="SKE8" s="344"/>
      <c r="SKF8" s="344"/>
      <c r="SKG8" s="344"/>
      <c r="SKH8" s="344"/>
      <c r="SKI8" s="136"/>
      <c r="SKJ8" s="137"/>
      <c r="SKK8" s="137"/>
      <c r="SKL8" s="136"/>
      <c r="SKM8" s="344"/>
      <c r="SKN8" s="344"/>
      <c r="SKO8" s="344"/>
      <c r="SKP8" s="344"/>
      <c r="SKQ8" s="136"/>
      <c r="SKR8" s="137"/>
      <c r="SKS8" s="137"/>
      <c r="SKT8" s="136"/>
      <c r="SKU8" s="344"/>
      <c r="SKV8" s="344"/>
      <c r="SKW8" s="344"/>
      <c r="SKX8" s="344"/>
      <c r="SKY8" s="136"/>
      <c r="SKZ8" s="137"/>
      <c r="SLA8" s="137"/>
      <c r="SLB8" s="136"/>
      <c r="SLC8" s="344"/>
      <c r="SLD8" s="344"/>
      <c r="SLE8" s="344"/>
      <c r="SLF8" s="344"/>
      <c r="SLG8" s="136"/>
      <c r="SLH8" s="137"/>
      <c r="SLI8" s="137"/>
      <c r="SLJ8" s="136"/>
      <c r="SLK8" s="344"/>
      <c r="SLL8" s="344"/>
      <c r="SLM8" s="344"/>
      <c r="SLN8" s="344"/>
      <c r="SLO8" s="136"/>
      <c r="SLP8" s="137"/>
      <c r="SLQ8" s="137"/>
      <c r="SLR8" s="136"/>
      <c r="SLS8" s="344"/>
      <c r="SLT8" s="344"/>
      <c r="SLU8" s="344"/>
      <c r="SLV8" s="344"/>
      <c r="SLW8" s="136"/>
      <c r="SLX8" s="137"/>
      <c r="SLY8" s="137"/>
      <c r="SLZ8" s="136"/>
      <c r="SMA8" s="344"/>
      <c r="SMB8" s="344"/>
      <c r="SMC8" s="344"/>
      <c r="SMD8" s="344"/>
      <c r="SME8" s="136"/>
      <c r="SMF8" s="137"/>
      <c r="SMG8" s="137"/>
      <c r="SMH8" s="136"/>
      <c r="SMI8" s="344"/>
      <c r="SMJ8" s="344"/>
      <c r="SMK8" s="344"/>
      <c r="SML8" s="344"/>
      <c r="SMM8" s="136"/>
      <c r="SMN8" s="137"/>
      <c r="SMO8" s="137"/>
      <c r="SMP8" s="136"/>
      <c r="SMQ8" s="344"/>
      <c r="SMR8" s="344"/>
      <c r="SMS8" s="344"/>
      <c r="SMT8" s="344"/>
      <c r="SMU8" s="136"/>
      <c r="SMV8" s="137"/>
      <c r="SMW8" s="137"/>
      <c r="SMX8" s="136"/>
      <c r="SMY8" s="344"/>
      <c r="SMZ8" s="344"/>
      <c r="SNA8" s="344"/>
      <c r="SNB8" s="344"/>
      <c r="SNC8" s="136"/>
      <c r="SND8" s="137"/>
      <c r="SNE8" s="137"/>
      <c r="SNF8" s="136"/>
      <c r="SNG8" s="344"/>
      <c r="SNH8" s="344"/>
      <c r="SNI8" s="344"/>
      <c r="SNJ8" s="344"/>
      <c r="SNK8" s="136"/>
      <c r="SNL8" s="137"/>
      <c r="SNM8" s="137"/>
      <c r="SNN8" s="136"/>
      <c r="SNO8" s="344"/>
      <c r="SNP8" s="344"/>
      <c r="SNQ8" s="344"/>
      <c r="SNR8" s="344"/>
      <c r="SNS8" s="136"/>
      <c r="SNT8" s="137"/>
      <c r="SNU8" s="137"/>
      <c r="SNV8" s="136"/>
      <c r="SNW8" s="344"/>
      <c r="SNX8" s="344"/>
      <c r="SNY8" s="344"/>
      <c r="SNZ8" s="344"/>
      <c r="SOA8" s="136"/>
      <c r="SOB8" s="137"/>
      <c r="SOC8" s="137"/>
      <c r="SOD8" s="136"/>
      <c r="SOE8" s="344"/>
      <c r="SOF8" s="344"/>
      <c r="SOG8" s="344"/>
      <c r="SOH8" s="344"/>
      <c r="SOI8" s="136"/>
      <c r="SOJ8" s="137"/>
      <c r="SOK8" s="137"/>
      <c r="SOL8" s="136"/>
      <c r="SOM8" s="344"/>
      <c r="SON8" s="344"/>
      <c r="SOO8" s="344"/>
      <c r="SOP8" s="344"/>
      <c r="SOQ8" s="136"/>
      <c r="SOR8" s="137"/>
      <c r="SOS8" s="137"/>
      <c r="SOT8" s="136"/>
      <c r="SOU8" s="344"/>
      <c r="SOV8" s="344"/>
      <c r="SOW8" s="344"/>
      <c r="SOX8" s="344"/>
      <c r="SOY8" s="136"/>
      <c r="SOZ8" s="137"/>
      <c r="SPA8" s="137"/>
      <c r="SPB8" s="136"/>
      <c r="SPC8" s="344"/>
      <c r="SPD8" s="344"/>
      <c r="SPE8" s="344"/>
      <c r="SPF8" s="344"/>
      <c r="SPG8" s="136"/>
      <c r="SPH8" s="137"/>
      <c r="SPI8" s="137"/>
      <c r="SPJ8" s="136"/>
      <c r="SPK8" s="344"/>
      <c r="SPL8" s="344"/>
      <c r="SPM8" s="344"/>
      <c r="SPN8" s="344"/>
      <c r="SPO8" s="136"/>
      <c r="SPP8" s="137"/>
      <c r="SPQ8" s="137"/>
      <c r="SPR8" s="136"/>
      <c r="SPS8" s="344"/>
      <c r="SPT8" s="344"/>
      <c r="SPU8" s="344"/>
      <c r="SPV8" s="344"/>
      <c r="SPW8" s="136"/>
      <c r="SPX8" s="137"/>
      <c r="SPY8" s="137"/>
      <c r="SPZ8" s="136"/>
      <c r="SQA8" s="344"/>
      <c r="SQB8" s="344"/>
      <c r="SQC8" s="344"/>
      <c r="SQD8" s="344"/>
      <c r="SQE8" s="136"/>
      <c r="SQF8" s="137"/>
      <c r="SQG8" s="137"/>
      <c r="SQH8" s="136"/>
      <c r="SQI8" s="344"/>
      <c r="SQJ8" s="344"/>
      <c r="SQK8" s="344"/>
      <c r="SQL8" s="344"/>
      <c r="SQM8" s="136"/>
      <c r="SQN8" s="137"/>
      <c r="SQO8" s="137"/>
      <c r="SQP8" s="136"/>
      <c r="SQQ8" s="344"/>
      <c r="SQR8" s="344"/>
      <c r="SQS8" s="344"/>
      <c r="SQT8" s="344"/>
      <c r="SQU8" s="136"/>
      <c r="SQV8" s="137"/>
      <c r="SQW8" s="137"/>
      <c r="SQX8" s="136"/>
      <c r="SQY8" s="344"/>
      <c r="SQZ8" s="344"/>
      <c r="SRA8" s="344"/>
      <c r="SRB8" s="344"/>
      <c r="SRC8" s="136"/>
      <c r="SRD8" s="137"/>
      <c r="SRE8" s="137"/>
      <c r="SRF8" s="136"/>
      <c r="SRG8" s="344"/>
      <c r="SRH8" s="344"/>
      <c r="SRI8" s="344"/>
      <c r="SRJ8" s="344"/>
      <c r="SRK8" s="136"/>
      <c r="SRL8" s="137"/>
      <c r="SRM8" s="137"/>
      <c r="SRN8" s="136"/>
      <c r="SRO8" s="344"/>
      <c r="SRP8" s="344"/>
      <c r="SRQ8" s="344"/>
      <c r="SRR8" s="344"/>
      <c r="SRS8" s="136"/>
      <c r="SRT8" s="137"/>
      <c r="SRU8" s="137"/>
      <c r="SRV8" s="136"/>
      <c r="SRW8" s="344"/>
      <c r="SRX8" s="344"/>
      <c r="SRY8" s="344"/>
      <c r="SRZ8" s="344"/>
      <c r="SSA8" s="136"/>
      <c r="SSB8" s="137"/>
      <c r="SSC8" s="137"/>
      <c r="SSD8" s="136"/>
      <c r="SSE8" s="344"/>
      <c r="SSF8" s="344"/>
      <c r="SSG8" s="344"/>
      <c r="SSH8" s="344"/>
      <c r="SSI8" s="136"/>
      <c r="SSJ8" s="137"/>
      <c r="SSK8" s="137"/>
      <c r="SSL8" s="136"/>
      <c r="SSM8" s="344"/>
      <c r="SSN8" s="344"/>
      <c r="SSO8" s="344"/>
      <c r="SSP8" s="344"/>
      <c r="SSQ8" s="136"/>
      <c r="SSR8" s="137"/>
      <c r="SSS8" s="137"/>
      <c r="SST8" s="136"/>
      <c r="SSU8" s="344"/>
      <c r="SSV8" s="344"/>
      <c r="SSW8" s="344"/>
      <c r="SSX8" s="344"/>
      <c r="SSY8" s="136"/>
      <c r="SSZ8" s="137"/>
      <c r="STA8" s="137"/>
      <c r="STB8" s="136"/>
      <c r="STC8" s="344"/>
      <c r="STD8" s="344"/>
      <c r="STE8" s="344"/>
      <c r="STF8" s="344"/>
      <c r="STG8" s="136"/>
      <c r="STH8" s="137"/>
      <c r="STI8" s="137"/>
      <c r="STJ8" s="136"/>
      <c r="STK8" s="344"/>
      <c r="STL8" s="344"/>
      <c r="STM8" s="344"/>
      <c r="STN8" s="344"/>
      <c r="STO8" s="136"/>
      <c r="STP8" s="137"/>
      <c r="STQ8" s="137"/>
      <c r="STR8" s="136"/>
      <c r="STS8" s="344"/>
      <c r="STT8" s="344"/>
      <c r="STU8" s="344"/>
      <c r="STV8" s="344"/>
      <c r="STW8" s="136"/>
      <c r="STX8" s="137"/>
      <c r="STY8" s="137"/>
      <c r="STZ8" s="136"/>
      <c r="SUA8" s="344"/>
      <c r="SUB8" s="344"/>
      <c r="SUC8" s="344"/>
      <c r="SUD8" s="344"/>
      <c r="SUE8" s="136"/>
      <c r="SUF8" s="137"/>
      <c r="SUG8" s="137"/>
      <c r="SUH8" s="136"/>
      <c r="SUI8" s="344"/>
      <c r="SUJ8" s="344"/>
      <c r="SUK8" s="344"/>
      <c r="SUL8" s="344"/>
      <c r="SUM8" s="136"/>
      <c r="SUN8" s="137"/>
      <c r="SUO8" s="137"/>
      <c r="SUP8" s="136"/>
      <c r="SUQ8" s="344"/>
      <c r="SUR8" s="344"/>
      <c r="SUS8" s="344"/>
      <c r="SUT8" s="344"/>
      <c r="SUU8" s="136"/>
      <c r="SUV8" s="137"/>
      <c r="SUW8" s="137"/>
      <c r="SUX8" s="136"/>
      <c r="SUY8" s="344"/>
      <c r="SUZ8" s="344"/>
      <c r="SVA8" s="344"/>
      <c r="SVB8" s="344"/>
      <c r="SVC8" s="136"/>
      <c r="SVD8" s="137"/>
      <c r="SVE8" s="137"/>
      <c r="SVF8" s="136"/>
      <c r="SVG8" s="344"/>
      <c r="SVH8" s="344"/>
      <c r="SVI8" s="344"/>
      <c r="SVJ8" s="344"/>
      <c r="SVK8" s="136"/>
      <c r="SVL8" s="137"/>
      <c r="SVM8" s="137"/>
      <c r="SVN8" s="136"/>
      <c r="SVO8" s="344"/>
      <c r="SVP8" s="344"/>
      <c r="SVQ8" s="344"/>
      <c r="SVR8" s="344"/>
      <c r="SVS8" s="136"/>
      <c r="SVT8" s="137"/>
      <c r="SVU8" s="137"/>
      <c r="SVV8" s="136"/>
      <c r="SVW8" s="344"/>
      <c r="SVX8" s="344"/>
      <c r="SVY8" s="344"/>
      <c r="SVZ8" s="344"/>
      <c r="SWA8" s="136"/>
      <c r="SWB8" s="137"/>
      <c r="SWC8" s="137"/>
      <c r="SWD8" s="136"/>
      <c r="SWE8" s="344"/>
      <c r="SWF8" s="344"/>
      <c r="SWG8" s="344"/>
      <c r="SWH8" s="344"/>
      <c r="SWI8" s="136"/>
      <c r="SWJ8" s="137"/>
      <c r="SWK8" s="137"/>
      <c r="SWL8" s="136"/>
      <c r="SWM8" s="344"/>
      <c r="SWN8" s="344"/>
      <c r="SWO8" s="344"/>
      <c r="SWP8" s="344"/>
      <c r="SWQ8" s="136"/>
      <c r="SWR8" s="137"/>
      <c r="SWS8" s="137"/>
      <c r="SWT8" s="136"/>
      <c r="SWU8" s="344"/>
      <c r="SWV8" s="344"/>
      <c r="SWW8" s="344"/>
      <c r="SWX8" s="344"/>
      <c r="SWY8" s="136"/>
      <c r="SWZ8" s="137"/>
      <c r="SXA8" s="137"/>
      <c r="SXB8" s="136"/>
      <c r="SXC8" s="344"/>
      <c r="SXD8" s="344"/>
      <c r="SXE8" s="344"/>
      <c r="SXF8" s="344"/>
      <c r="SXG8" s="136"/>
      <c r="SXH8" s="137"/>
      <c r="SXI8" s="137"/>
      <c r="SXJ8" s="136"/>
      <c r="SXK8" s="344"/>
      <c r="SXL8" s="344"/>
      <c r="SXM8" s="344"/>
      <c r="SXN8" s="344"/>
      <c r="SXO8" s="136"/>
      <c r="SXP8" s="137"/>
      <c r="SXQ8" s="137"/>
      <c r="SXR8" s="136"/>
      <c r="SXS8" s="344"/>
      <c r="SXT8" s="344"/>
      <c r="SXU8" s="344"/>
      <c r="SXV8" s="344"/>
      <c r="SXW8" s="136"/>
      <c r="SXX8" s="137"/>
      <c r="SXY8" s="137"/>
      <c r="SXZ8" s="136"/>
      <c r="SYA8" s="344"/>
      <c r="SYB8" s="344"/>
      <c r="SYC8" s="344"/>
      <c r="SYD8" s="344"/>
      <c r="SYE8" s="136"/>
      <c r="SYF8" s="137"/>
      <c r="SYG8" s="137"/>
      <c r="SYH8" s="136"/>
      <c r="SYI8" s="344"/>
      <c r="SYJ8" s="344"/>
      <c r="SYK8" s="344"/>
      <c r="SYL8" s="344"/>
      <c r="SYM8" s="136"/>
      <c r="SYN8" s="137"/>
      <c r="SYO8" s="137"/>
      <c r="SYP8" s="136"/>
      <c r="SYQ8" s="344"/>
      <c r="SYR8" s="344"/>
      <c r="SYS8" s="344"/>
      <c r="SYT8" s="344"/>
      <c r="SYU8" s="136"/>
      <c r="SYV8" s="137"/>
      <c r="SYW8" s="137"/>
      <c r="SYX8" s="136"/>
      <c r="SYY8" s="344"/>
      <c r="SYZ8" s="344"/>
      <c r="SZA8" s="344"/>
      <c r="SZB8" s="344"/>
      <c r="SZC8" s="136"/>
      <c r="SZD8" s="137"/>
      <c r="SZE8" s="137"/>
      <c r="SZF8" s="136"/>
      <c r="SZG8" s="344"/>
      <c r="SZH8" s="344"/>
      <c r="SZI8" s="344"/>
      <c r="SZJ8" s="344"/>
      <c r="SZK8" s="136"/>
      <c r="SZL8" s="137"/>
      <c r="SZM8" s="137"/>
      <c r="SZN8" s="136"/>
      <c r="SZO8" s="344"/>
      <c r="SZP8" s="344"/>
      <c r="SZQ8" s="344"/>
      <c r="SZR8" s="344"/>
      <c r="SZS8" s="136"/>
      <c r="SZT8" s="137"/>
      <c r="SZU8" s="137"/>
      <c r="SZV8" s="136"/>
      <c r="SZW8" s="344"/>
      <c r="SZX8" s="344"/>
      <c r="SZY8" s="344"/>
      <c r="SZZ8" s="344"/>
      <c r="TAA8" s="136"/>
      <c r="TAB8" s="137"/>
      <c r="TAC8" s="137"/>
      <c r="TAD8" s="136"/>
      <c r="TAE8" s="344"/>
      <c r="TAF8" s="344"/>
      <c r="TAG8" s="344"/>
      <c r="TAH8" s="344"/>
      <c r="TAI8" s="136"/>
      <c r="TAJ8" s="137"/>
      <c r="TAK8" s="137"/>
      <c r="TAL8" s="136"/>
      <c r="TAM8" s="344"/>
      <c r="TAN8" s="344"/>
      <c r="TAO8" s="344"/>
      <c r="TAP8" s="344"/>
      <c r="TAQ8" s="136"/>
      <c r="TAR8" s="137"/>
      <c r="TAS8" s="137"/>
      <c r="TAT8" s="136"/>
      <c r="TAU8" s="344"/>
      <c r="TAV8" s="344"/>
      <c r="TAW8" s="344"/>
      <c r="TAX8" s="344"/>
      <c r="TAY8" s="136"/>
      <c r="TAZ8" s="137"/>
      <c r="TBA8" s="137"/>
      <c r="TBB8" s="136"/>
      <c r="TBC8" s="344"/>
      <c r="TBD8" s="344"/>
      <c r="TBE8" s="344"/>
      <c r="TBF8" s="344"/>
      <c r="TBG8" s="136"/>
      <c r="TBH8" s="137"/>
      <c r="TBI8" s="137"/>
      <c r="TBJ8" s="136"/>
      <c r="TBK8" s="344"/>
      <c r="TBL8" s="344"/>
      <c r="TBM8" s="344"/>
      <c r="TBN8" s="344"/>
      <c r="TBO8" s="136"/>
      <c r="TBP8" s="137"/>
      <c r="TBQ8" s="137"/>
      <c r="TBR8" s="136"/>
      <c r="TBS8" s="344"/>
      <c r="TBT8" s="344"/>
      <c r="TBU8" s="344"/>
      <c r="TBV8" s="344"/>
      <c r="TBW8" s="136"/>
      <c r="TBX8" s="137"/>
      <c r="TBY8" s="137"/>
      <c r="TBZ8" s="136"/>
      <c r="TCA8" s="344"/>
      <c r="TCB8" s="344"/>
      <c r="TCC8" s="344"/>
      <c r="TCD8" s="344"/>
      <c r="TCE8" s="136"/>
      <c r="TCF8" s="137"/>
      <c r="TCG8" s="137"/>
      <c r="TCH8" s="136"/>
      <c r="TCI8" s="344"/>
      <c r="TCJ8" s="344"/>
      <c r="TCK8" s="344"/>
      <c r="TCL8" s="344"/>
      <c r="TCM8" s="136"/>
      <c r="TCN8" s="137"/>
      <c r="TCO8" s="137"/>
      <c r="TCP8" s="136"/>
      <c r="TCQ8" s="344"/>
      <c r="TCR8" s="344"/>
      <c r="TCS8" s="344"/>
      <c r="TCT8" s="344"/>
      <c r="TCU8" s="136"/>
      <c r="TCV8" s="137"/>
      <c r="TCW8" s="137"/>
      <c r="TCX8" s="136"/>
      <c r="TCY8" s="344"/>
      <c r="TCZ8" s="344"/>
      <c r="TDA8" s="344"/>
      <c r="TDB8" s="344"/>
      <c r="TDC8" s="136"/>
      <c r="TDD8" s="137"/>
      <c r="TDE8" s="137"/>
      <c r="TDF8" s="136"/>
      <c r="TDG8" s="344"/>
      <c r="TDH8" s="344"/>
      <c r="TDI8" s="344"/>
      <c r="TDJ8" s="344"/>
      <c r="TDK8" s="136"/>
      <c r="TDL8" s="137"/>
      <c r="TDM8" s="137"/>
      <c r="TDN8" s="136"/>
      <c r="TDO8" s="344"/>
      <c r="TDP8" s="344"/>
      <c r="TDQ8" s="344"/>
      <c r="TDR8" s="344"/>
      <c r="TDS8" s="136"/>
      <c r="TDT8" s="137"/>
      <c r="TDU8" s="137"/>
      <c r="TDV8" s="136"/>
      <c r="TDW8" s="344"/>
      <c r="TDX8" s="344"/>
      <c r="TDY8" s="344"/>
      <c r="TDZ8" s="344"/>
      <c r="TEA8" s="136"/>
      <c r="TEB8" s="137"/>
      <c r="TEC8" s="137"/>
      <c r="TED8" s="136"/>
      <c r="TEE8" s="344"/>
      <c r="TEF8" s="344"/>
      <c r="TEG8" s="344"/>
      <c r="TEH8" s="344"/>
      <c r="TEI8" s="136"/>
      <c r="TEJ8" s="137"/>
      <c r="TEK8" s="137"/>
      <c r="TEL8" s="136"/>
      <c r="TEM8" s="344"/>
      <c r="TEN8" s="344"/>
      <c r="TEO8" s="344"/>
      <c r="TEP8" s="344"/>
      <c r="TEQ8" s="136"/>
      <c r="TER8" s="137"/>
      <c r="TES8" s="137"/>
      <c r="TET8" s="136"/>
      <c r="TEU8" s="344"/>
      <c r="TEV8" s="344"/>
      <c r="TEW8" s="344"/>
      <c r="TEX8" s="344"/>
      <c r="TEY8" s="136"/>
      <c r="TEZ8" s="137"/>
      <c r="TFA8" s="137"/>
      <c r="TFB8" s="136"/>
      <c r="TFC8" s="344"/>
      <c r="TFD8" s="344"/>
      <c r="TFE8" s="344"/>
      <c r="TFF8" s="344"/>
      <c r="TFG8" s="136"/>
      <c r="TFH8" s="137"/>
      <c r="TFI8" s="137"/>
      <c r="TFJ8" s="136"/>
      <c r="TFK8" s="344"/>
      <c r="TFL8" s="344"/>
      <c r="TFM8" s="344"/>
      <c r="TFN8" s="344"/>
      <c r="TFO8" s="136"/>
      <c r="TFP8" s="137"/>
      <c r="TFQ8" s="137"/>
      <c r="TFR8" s="136"/>
      <c r="TFS8" s="344"/>
      <c r="TFT8" s="344"/>
      <c r="TFU8" s="344"/>
      <c r="TFV8" s="344"/>
      <c r="TFW8" s="136"/>
      <c r="TFX8" s="137"/>
      <c r="TFY8" s="137"/>
      <c r="TFZ8" s="136"/>
      <c r="TGA8" s="344"/>
      <c r="TGB8" s="344"/>
      <c r="TGC8" s="344"/>
      <c r="TGD8" s="344"/>
      <c r="TGE8" s="136"/>
      <c r="TGF8" s="137"/>
      <c r="TGG8" s="137"/>
      <c r="TGH8" s="136"/>
      <c r="TGI8" s="344"/>
      <c r="TGJ8" s="344"/>
      <c r="TGK8" s="344"/>
      <c r="TGL8" s="344"/>
      <c r="TGM8" s="136"/>
      <c r="TGN8" s="137"/>
      <c r="TGO8" s="137"/>
      <c r="TGP8" s="136"/>
      <c r="TGQ8" s="344"/>
      <c r="TGR8" s="344"/>
      <c r="TGS8" s="344"/>
      <c r="TGT8" s="344"/>
      <c r="TGU8" s="136"/>
      <c r="TGV8" s="137"/>
      <c r="TGW8" s="137"/>
      <c r="TGX8" s="136"/>
      <c r="TGY8" s="344"/>
      <c r="TGZ8" s="344"/>
      <c r="THA8" s="344"/>
      <c r="THB8" s="344"/>
      <c r="THC8" s="136"/>
      <c r="THD8" s="137"/>
      <c r="THE8" s="137"/>
      <c r="THF8" s="136"/>
      <c r="THG8" s="344"/>
      <c r="THH8" s="344"/>
      <c r="THI8" s="344"/>
      <c r="THJ8" s="344"/>
      <c r="THK8" s="136"/>
      <c r="THL8" s="137"/>
      <c r="THM8" s="137"/>
      <c r="THN8" s="136"/>
      <c r="THO8" s="344"/>
      <c r="THP8" s="344"/>
      <c r="THQ8" s="344"/>
      <c r="THR8" s="344"/>
      <c r="THS8" s="136"/>
      <c r="THT8" s="137"/>
      <c r="THU8" s="137"/>
      <c r="THV8" s="136"/>
      <c r="THW8" s="344"/>
      <c r="THX8" s="344"/>
      <c r="THY8" s="344"/>
      <c r="THZ8" s="344"/>
      <c r="TIA8" s="136"/>
      <c r="TIB8" s="137"/>
      <c r="TIC8" s="137"/>
      <c r="TID8" s="136"/>
      <c r="TIE8" s="344"/>
      <c r="TIF8" s="344"/>
      <c r="TIG8" s="344"/>
      <c r="TIH8" s="344"/>
      <c r="TII8" s="136"/>
      <c r="TIJ8" s="137"/>
      <c r="TIK8" s="137"/>
      <c r="TIL8" s="136"/>
      <c r="TIM8" s="344"/>
      <c r="TIN8" s="344"/>
      <c r="TIO8" s="344"/>
      <c r="TIP8" s="344"/>
      <c r="TIQ8" s="136"/>
      <c r="TIR8" s="137"/>
      <c r="TIS8" s="137"/>
      <c r="TIT8" s="136"/>
      <c r="TIU8" s="344"/>
      <c r="TIV8" s="344"/>
      <c r="TIW8" s="344"/>
      <c r="TIX8" s="344"/>
      <c r="TIY8" s="136"/>
      <c r="TIZ8" s="137"/>
      <c r="TJA8" s="137"/>
      <c r="TJB8" s="136"/>
      <c r="TJC8" s="344"/>
      <c r="TJD8" s="344"/>
      <c r="TJE8" s="344"/>
      <c r="TJF8" s="344"/>
      <c r="TJG8" s="136"/>
      <c r="TJH8" s="137"/>
      <c r="TJI8" s="137"/>
      <c r="TJJ8" s="136"/>
      <c r="TJK8" s="344"/>
      <c r="TJL8" s="344"/>
      <c r="TJM8" s="344"/>
      <c r="TJN8" s="344"/>
      <c r="TJO8" s="136"/>
      <c r="TJP8" s="137"/>
      <c r="TJQ8" s="137"/>
      <c r="TJR8" s="136"/>
      <c r="TJS8" s="344"/>
      <c r="TJT8" s="344"/>
      <c r="TJU8" s="344"/>
      <c r="TJV8" s="344"/>
      <c r="TJW8" s="136"/>
      <c r="TJX8" s="137"/>
      <c r="TJY8" s="137"/>
      <c r="TJZ8" s="136"/>
      <c r="TKA8" s="344"/>
      <c r="TKB8" s="344"/>
      <c r="TKC8" s="344"/>
      <c r="TKD8" s="344"/>
      <c r="TKE8" s="136"/>
      <c r="TKF8" s="137"/>
      <c r="TKG8" s="137"/>
      <c r="TKH8" s="136"/>
      <c r="TKI8" s="344"/>
      <c r="TKJ8" s="344"/>
      <c r="TKK8" s="344"/>
      <c r="TKL8" s="344"/>
      <c r="TKM8" s="136"/>
      <c r="TKN8" s="137"/>
      <c r="TKO8" s="137"/>
      <c r="TKP8" s="136"/>
      <c r="TKQ8" s="344"/>
      <c r="TKR8" s="344"/>
      <c r="TKS8" s="344"/>
      <c r="TKT8" s="344"/>
      <c r="TKU8" s="136"/>
      <c r="TKV8" s="137"/>
      <c r="TKW8" s="137"/>
      <c r="TKX8" s="136"/>
      <c r="TKY8" s="344"/>
      <c r="TKZ8" s="344"/>
      <c r="TLA8" s="344"/>
      <c r="TLB8" s="344"/>
      <c r="TLC8" s="136"/>
      <c r="TLD8" s="137"/>
      <c r="TLE8" s="137"/>
      <c r="TLF8" s="136"/>
      <c r="TLG8" s="344"/>
      <c r="TLH8" s="344"/>
      <c r="TLI8" s="344"/>
      <c r="TLJ8" s="344"/>
      <c r="TLK8" s="136"/>
      <c r="TLL8" s="137"/>
      <c r="TLM8" s="137"/>
      <c r="TLN8" s="136"/>
      <c r="TLO8" s="344"/>
      <c r="TLP8" s="344"/>
      <c r="TLQ8" s="344"/>
      <c r="TLR8" s="344"/>
      <c r="TLS8" s="136"/>
      <c r="TLT8" s="137"/>
      <c r="TLU8" s="137"/>
      <c r="TLV8" s="136"/>
      <c r="TLW8" s="344"/>
      <c r="TLX8" s="344"/>
      <c r="TLY8" s="344"/>
      <c r="TLZ8" s="344"/>
      <c r="TMA8" s="136"/>
      <c r="TMB8" s="137"/>
      <c r="TMC8" s="137"/>
      <c r="TMD8" s="136"/>
      <c r="TME8" s="344"/>
      <c r="TMF8" s="344"/>
      <c r="TMG8" s="344"/>
      <c r="TMH8" s="344"/>
      <c r="TMI8" s="136"/>
      <c r="TMJ8" s="137"/>
      <c r="TMK8" s="137"/>
      <c r="TML8" s="136"/>
      <c r="TMM8" s="344"/>
      <c r="TMN8" s="344"/>
      <c r="TMO8" s="344"/>
      <c r="TMP8" s="344"/>
      <c r="TMQ8" s="136"/>
      <c r="TMR8" s="137"/>
      <c r="TMS8" s="137"/>
      <c r="TMT8" s="136"/>
      <c r="TMU8" s="344"/>
      <c r="TMV8" s="344"/>
      <c r="TMW8" s="344"/>
      <c r="TMX8" s="344"/>
      <c r="TMY8" s="136"/>
      <c r="TMZ8" s="137"/>
      <c r="TNA8" s="137"/>
      <c r="TNB8" s="136"/>
      <c r="TNC8" s="344"/>
      <c r="TND8" s="344"/>
      <c r="TNE8" s="344"/>
      <c r="TNF8" s="344"/>
      <c r="TNG8" s="136"/>
      <c r="TNH8" s="137"/>
      <c r="TNI8" s="137"/>
      <c r="TNJ8" s="136"/>
      <c r="TNK8" s="344"/>
      <c r="TNL8" s="344"/>
      <c r="TNM8" s="344"/>
      <c r="TNN8" s="344"/>
      <c r="TNO8" s="136"/>
      <c r="TNP8" s="137"/>
      <c r="TNQ8" s="137"/>
      <c r="TNR8" s="136"/>
      <c r="TNS8" s="344"/>
      <c r="TNT8" s="344"/>
      <c r="TNU8" s="344"/>
      <c r="TNV8" s="344"/>
      <c r="TNW8" s="136"/>
      <c r="TNX8" s="137"/>
      <c r="TNY8" s="137"/>
      <c r="TNZ8" s="136"/>
      <c r="TOA8" s="344"/>
      <c r="TOB8" s="344"/>
      <c r="TOC8" s="344"/>
      <c r="TOD8" s="344"/>
      <c r="TOE8" s="136"/>
      <c r="TOF8" s="137"/>
      <c r="TOG8" s="137"/>
      <c r="TOH8" s="136"/>
      <c r="TOI8" s="344"/>
      <c r="TOJ8" s="344"/>
      <c r="TOK8" s="344"/>
      <c r="TOL8" s="344"/>
      <c r="TOM8" s="136"/>
      <c r="TON8" s="137"/>
      <c r="TOO8" s="137"/>
      <c r="TOP8" s="136"/>
      <c r="TOQ8" s="344"/>
      <c r="TOR8" s="344"/>
      <c r="TOS8" s="344"/>
      <c r="TOT8" s="344"/>
      <c r="TOU8" s="136"/>
      <c r="TOV8" s="137"/>
      <c r="TOW8" s="137"/>
      <c r="TOX8" s="136"/>
      <c r="TOY8" s="344"/>
      <c r="TOZ8" s="344"/>
      <c r="TPA8" s="344"/>
      <c r="TPB8" s="344"/>
      <c r="TPC8" s="136"/>
      <c r="TPD8" s="137"/>
      <c r="TPE8" s="137"/>
      <c r="TPF8" s="136"/>
      <c r="TPG8" s="344"/>
      <c r="TPH8" s="344"/>
      <c r="TPI8" s="344"/>
      <c r="TPJ8" s="344"/>
      <c r="TPK8" s="136"/>
      <c r="TPL8" s="137"/>
      <c r="TPM8" s="137"/>
      <c r="TPN8" s="136"/>
      <c r="TPO8" s="344"/>
      <c r="TPP8" s="344"/>
      <c r="TPQ8" s="344"/>
      <c r="TPR8" s="344"/>
      <c r="TPS8" s="136"/>
      <c r="TPT8" s="137"/>
      <c r="TPU8" s="137"/>
      <c r="TPV8" s="136"/>
      <c r="TPW8" s="344"/>
      <c r="TPX8" s="344"/>
      <c r="TPY8" s="344"/>
      <c r="TPZ8" s="344"/>
      <c r="TQA8" s="136"/>
      <c r="TQB8" s="137"/>
      <c r="TQC8" s="137"/>
      <c r="TQD8" s="136"/>
      <c r="TQE8" s="344"/>
      <c r="TQF8" s="344"/>
      <c r="TQG8" s="344"/>
      <c r="TQH8" s="344"/>
      <c r="TQI8" s="136"/>
      <c r="TQJ8" s="137"/>
      <c r="TQK8" s="137"/>
      <c r="TQL8" s="136"/>
      <c r="TQM8" s="344"/>
      <c r="TQN8" s="344"/>
      <c r="TQO8" s="344"/>
      <c r="TQP8" s="344"/>
      <c r="TQQ8" s="136"/>
      <c r="TQR8" s="137"/>
      <c r="TQS8" s="137"/>
      <c r="TQT8" s="136"/>
      <c r="TQU8" s="344"/>
      <c r="TQV8" s="344"/>
      <c r="TQW8" s="344"/>
      <c r="TQX8" s="344"/>
      <c r="TQY8" s="136"/>
      <c r="TQZ8" s="137"/>
      <c r="TRA8" s="137"/>
      <c r="TRB8" s="136"/>
      <c r="TRC8" s="344"/>
      <c r="TRD8" s="344"/>
      <c r="TRE8" s="344"/>
      <c r="TRF8" s="344"/>
      <c r="TRG8" s="136"/>
      <c r="TRH8" s="137"/>
      <c r="TRI8" s="137"/>
      <c r="TRJ8" s="136"/>
      <c r="TRK8" s="344"/>
      <c r="TRL8" s="344"/>
      <c r="TRM8" s="344"/>
      <c r="TRN8" s="344"/>
      <c r="TRO8" s="136"/>
      <c r="TRP8" s="137"/>
      <c r="TRQ8" s="137"/>
      <c r="TRR8" s="136"/>
      <c r="TRS8" s="344"/>
      <c r="TRT8" s="344"/>
      <c r="TRU8" s="344"/>
      <c r="TRV8" s="344"/>
      <c r="TRW8" s="136"/>
      <c r="TRX8" s="137"/>
      <c r="TRY8" s="137"/>
      <c r="TRZ8" s="136"/>
      <c r="TSA8" s="344"/>
      <c r="TSB8" s="344"/>
      <c r="TSC8" s="344"/>
      <c r="TSD8" s="344"/>
      <c r="TSE8" s="136"/>
      <c r="TSF8" s="137"/>
      <c r="TSG8" s="137"/>
      <c r="TSH8" s="136"/>
      <c r="TSI8" s="344"/>
      <c r="TSJ8" s="344"/>
      <c r="TSK8" s="344"/>
      <c r="TSL8" s="344"/>
      <c r="TSM8" s="136"/>
      <c r="TSN8" s="137"/>
      <c r="TSO8" s="137"/>
      <c r="TSP8" s="136"/>
      <c r="TSQ8" s="344"/>
      <c r="TSR8" s="344"/>
      <c r="TSS8" s="344"/>
      <c r="TST8" s="344"/>
      <c r="TSU8" s="136"/>
      <c r="TSV8" s="137"/>
      <c r="TSW8" s="137"/>
      <c r="TSX8" s="136"/>
      <c r="TSY8" s="344"/>
      <c r="TSZ8" s="344"/>
      <c r="TTA8" s="344"/>
      <c r="TTB8" s="344"/>
      <c r="TTC8" s="136"/>
      <c r="TTD8" s="137"/>
      <c r="TTE8" s="137"/>
      <c r="TTF8" s="136"/>
      <c r="TTG8" s="344"/>
      <c r="TTH8" s="344"/>
      <c r="TTI8" s="344"/>
      <c r="TTJ8" s="344"/>
      <c r="TTK8" s="136"/>
      <c r="TTL8" s="137"/>
      <c r="TTM8" s="137"/>
      <c r="TTN8" s="136"/>
      <c r="TTO8" s="344"/>
      <c r="TTP8" s="344"/>
      <c r="TTQ8" s="344"/>
      <c r="TTR8" s="344"/>
      <c r="TTS8" s="136"/>
      <c r="TTT8" s="137"/>
      <c r="TTU8" s="137"/>
      <c r="TTV8" s="136"/>
      <c r="TTW8" s="344"/>
      <c r="TTX8" s="344"/>
      <c r="TTY8" s="344"/>
      <c r="TTZ8" s="344"/>
      <c r="TUA8" s="136"/>
      <c r="TUB8" s="137"/>
      <c r="TUC8" s="137"/>
      <c r="TUD8" s="136"/>
      <c r="TUE8" s="344"/>
      <c r="TUF8" s="344"/>
      <c r="TUG8" s="344"/>
      <c r="TUH8" s="344"/>
      <c r="TUI8" s="136"/>
      <c r="TUJ8" s="137"/>
      <c r="TUK8" s="137"/>
      <c r="TUL8" s="136"/>
      <c r="TUM8" s="344"/>
      <c r="TUN8" s="344"/>
      <c r="TUO8" s="344"/>
      <c r="TUP8" s="344"/>
      <c r="TUQ8" s="136"/>
      <c r="TUR8" s="137"/>
      <c r="TUS8" s="137"/>
      <c r="TUT8" s="136"/>
      <c r="TUU8" s="344"/>
      <c r="TUV8" s="344"/>
      <c r="TUW8" s="344"/>
      <c r="TUX8" s="344"/>
      <c r="TUY8" s="136"/>
      <c r="TUZ8" s="137"/>
      <c r="TVA8" s="137"/>
      <c r="TVB8" s="136"/>
      <c r="TVC8" s="344"/>
      <c r="TVD8" s="344"/>
      <c r="TVE8" s="344"/>
      <c r="TVF8" s="344"/>
      <c r="TVG8" s="136"/>
      <c r="TVH8" s="137"/>
      <c r="TVI8" s="137"/>
      <c r="TVJ8" s="136"/>
      <c r="TVK8" s="344"/>
      <c r="TVL8" s="344"/>
      <c r="TVM8" s="344"/>
      <c r="TVN8" s="344"/>
      <c r="TVO8" s="136"/>
      <c r="TVP8" s="137"/>
      <c r="TVQ8" s="137"/>
      <c r="TVR8" s="136"/>
      <c r="TVS8" s="344"/>
      <c r="TVT8" s="344"/>
      <c r="TVU8" s="344"/>
      <c r="TVV8" s="344"/>
      <c r="TVW8" s="136"/>
      <c r="TVX8" s="137"/>
      <c r="TVY8" s="137"/>
      <c r="TVZ8" s="136"/>
      <c r="TWA8" s="344"/>
      <c r="TWB8" s="344"/>
      <c r="TWC8" s="344"/>
      <c r="TWD8" s="344"/>
      <c r="TWE8" s="136"/>
      <c r="TWF8" s="137"/>
      <c r="TWG8" s="137"/>
      <c r="TWH8" s="136"/>
      <c r="TWI8" s="344"/>
      <c r="TWJ8" s="344"/>
      <c r="TWK8" s="344"/>
      <c r="TWL8" s="344"/>
      <c r="TWM8" s="136"/>
      <c r="TWN8" s="137"/>
      <c r="TWO8" s="137"/>
      <c r="TWP8" s="136"/>
      <c r="TWQ8" s="344"/>
      <c r="TWR8" s="344"/>
      <c r="TWS8" s="344"/>
      <c r="TWT8" s="344"/>
      <c r="TWU8" s="136"/>
      <c r="TWV8" s="137"/>
      <c r="TWW8" s="137"/>
      <c r="TWX8" s="136"/>
      <c r="TWY8" s="344"/>
      <c r="TWZ8" s="344"/>
      <c r="TXA8" s="344"/>
      <c r="TXB8" s="344"/>
      <c r="TXC8" s="136"/>
      <c r="TXD8" s="137"/>
      <c r="TXE8" s="137"/>
      <c r="TXF8" s="136"/>
      <c r="TXG8" s="344"/>
      <c r="TXH8" s="344"/>
      <c r="TXI8" s="344"/>
      <c r="TXJ8" s="344"/>
      <c r="TXK8" s="136"/>
      <c r="TXL8" s="137"/>
      <c r="TXM8" s="137"/>
      <c r="TXN8" s="136"/>
      <c r="TXO8" s="344"/>
      <c r="TXP8" s="344"/>
      <c r="TXQ8" s="344"/>
      <c r="TXR8" s="344"/>
      <c r="TXS8" s="136"/>
      <c r="TXT8" s="137"/>
      <c r="TXU8" s="137"/>
      <c r="TXV8" s="136"/>
      <c r="TXW8" s="344"/>
      <c r="TXX8" s="344"/>
      <c r="TXY8" s="344"/>
      <c r="TXZ8" s="344"/>
      <c r="TYA8" s="136"/>
      <c r="TYB8" s="137"/>
      <c r="TYC8" s="137"/>
      <c r="TYD8" s="136"/>
      <c r="TYE8" s="344"/>
      <c r="TYF8" s="344"/>
      <c r="TYG8" s="344"/>
      <c r="TYH8" s="344"/>
      <c r="TYI8" s="136"/>
      <c r="TYJ8" s="137"/>
      <c r="TYK8" s="137"/>
      <c r="TYL8" s="136"/>
      <c r="TYM8" s="344"/>
      <c r="TYN8" s="344"/>
      <c r="TYO8" s="344"/>
      <c r="TYP8" s="344"/>
      <c r="TYQ8" s="136"/>
      <c r="TYR8" s="137"/>
      <c r="TYS8" s="137"/>
      <c r="TYT8" s="136"/>
      <c r="TYU8" s="344"/>
      <c r="TYV8" s="344"/>
      <c r="TYW8" s="344"/>
      <c r="TYX8" s="344"/>
      <c r="TYY8" s="136"/>
      <c r="TYZ8" s="137"/>
      <c r="TZA8" s="137"/>
      <c r="TZB8" s="136"/>
      <c r="TZC8" s="344"/>
      <c r="TZD8" s="344"/>
      <c r="TZE8" s="344"/>
      <c r="TZF8" s="344"/>
      <c r="TZG8" s="136"/>
      <c r="TZH8" s="137"/>
      <c r="TZI8" s="137"/>
      <c r="TZJ8" s="136"/>
      <c r="TZK8" s="344"/>
      <c r="TZL8" s="344"/>
      <c r="TZM8" s="344"/>
      <c r="TZN8" s="344"/>
      <c r="TZO8" s="136"/>
      <c r="TZP8" s="137"/>
      <c r="TZQ8" s="137"/>
      <c r="TZR8" s="136"/>
      <c r="TZS8" s="344"/>
      <c r="TZT8" s="344"/>
      <c r="TZU8" s="344"/>
      <c r="TZV8" s="344"/>
      <c r="TZW8" s="136"/>
      <c r="TZX8" s="137"/>
      <c r="TZY8" s="137"/>
      <c r="TZZ8" s="136"/>
      <c r="UAA8" s="344"/>
      <c r="UAB8" s="344"/>
      <c r="UAC8" s="344"/>
      <c r="UAD8" s="344"/>
      <c r="UAE8" s="136"/>
      <c r="UAF8" s="137"/>
      <c r="UAG8" s="137"/>
      <c r="UAH8" s="136"/>
      <c r="UAI8" s="344"/>
      <c r="UAJ8" s="344"/>
      <c r="UAK8" s="344"/>
      <c r="UAL8" s="344"/>
      <c r="UAM8" s="136"/>
      <c r="UAN8" s="137"/>
      <c r="UAO8" s="137"/>
      <c r="UAP8" s="136"/>
      <c r="UAQ8" s="344"/>
      <c r="UAR8" s="344"/>
      <c r="UAS8" s="344"/>
      <c r="UAT8" s="344"/>
      <c r="UAU8" s="136"/>
      <c r="UAV8" s="137"/>
      <c r="UAW8" s="137"/>
      <c r="UAX8" s="136"/>
      <c r="UAY8" s="344"/>
      <c r="UAZ8" s="344"/>
      <c r="UBA8" s="344"/>
      <c r="UBB8" s="344"/>
      <c r="UBC8" s="136"/>
      <c r="UBD8" s="137"/>
      <c r="UBE8" s="137"/>
      <c r="UBF8" s="136"/>
      <c r="UBG8" s="344"/>
      <c r="UBH8" s="344"/>
      <c r="UBI8" s="344"/>
      <c r="UBJ8" s="344"/>
      <c r="UBK8" s="136"/>
      <c r="UBL8" s="137"/>
      <c r="UBM8" s="137"/>
      <c r="UBN8" s="136"/>
      <c r="UBO8" s="344"/>
      <c r="UBP8" s="344"/>
      <c r="UBQ8" s="344"/>
      <c r="UBR8" s="344"/>
      <c r="UBS8" s="136"/>
      <c r="UBT8" s="137"/>
      <c r="UBU8" s="137"/>
      <c r="UBV8" s="136"/>
      <c r="UBW8" s="344"/>
      <c r="UBX8" s="344"/>
      <c r="UBY8" s="344"/>
      <c r="UBZ8" s="344"/>
      <c r="UCA8" s="136"/>
      <c r="UCB8" s="137"/>
      <c r="UCC8" s="137"/>
      <c r="UCD8" s="136"/>
      <c r="UCE8" s="344"/>
      <c r="UCF8" s="344"/>
      <c r="UCG8" s="344"/>
      <c r="UCH8" s="344"/>
      <c r="UCI8" s="136"/>
      <c r="UCJ8" s="137"/>
      <c r="UCK8" s="137"/>
      <c r="UCL8" s="136"/>
      <c r="UCM8" s="344"/>
      <c r="UCN8" s="344"/>
      <c r="UCO8" s="344"/>
      <c r="UCP8" s="344"/>
      <c r="UCQ8" s="136"/>
      <c r="UCR8" s="137"/>
      <c r="UCS8" s="137"/>
      <c r="UCT8" s="136"/>
      <c r="UCU8" s="344"/>
      <c r="UCV8" s="344"/>
      <c r="UCW8" s="344"/>
      <c r="UCX8" s="344"/>
      <c r="UCY8" s="136"/>
      <c r="UCZ8" s="137"/>
      <c r="UDA8" s="137"/>
      <c r="UDB8" s="136"/>
      <c r="UDC8" s="344"/>
      <c r="UDD8" s="344"/>
      <c r="UDE8" s="344"/>
      <c r="UDF8" s="344"/>
      <c r="UDG8" s="136"/>
      <c r="UDH8" s="137"/>
      <c r="UDI8" s="137"/>
      <c r="UDJ8" s="136"/>
      <c r="UDK8" s="344"/>
      <c r="UDL8" s="344"/>
      <c r="UDM8" s="344"/>
      <c r="UDN8" s="344"/>
      <c r="UDO8" s="136"/>
      <c r="UDP8" s="137"/>
      <c r="UDQ8" s="137"/>
      <c r="UDR8" s="136"/>
      <c r="UDS8" s="344"/>
      <c r="UDT8" s="344"/>
      <c r="UDU8" s="344"/>
      <c r="UDV8" s="344"/>
      <c r="UDW8" s="136"/>
      <c r="UDX8" s="137"/>
      <c r="UDY8" s="137"/>
      <c r="UDZ8" s="136"/>
      <c r="UEA8" s="344"/>
      <c r="UEB8" s="344"/>
      <c r="UEC8" s="344"/>
      <c r="UED8" s="344"/>
      <c r="UEE8" s="136"/>
      <c r="UEF8" s="137"/>
      <c r="UEG8" s="137"/>
      <c r="UEH8" s="136"/>
      <c r="UEI8" s="344"/>
      <c r="UEJ8" s="344"/>
      <c r="UEK8" s="344"/>
      <c r="UEL8" s="344"/>
      <c r="UEM8" s="136"/>
      <c r="UEN8" s="137"/>
      <c r="UEO8" s="137"/>
      <c r="UEP8" s="136"/>
      <c r="UEQ8" s="344"/>
      <c r="UER8" s="344"/>
      <c r="UES8" s="344"/>
      <c r="UET8" s="344"/>
      <c r="UEU8" s="136"/>
      <c r="UEV8" s="137"/>
      <c r="UEW8" s="137"/>
      <c r="UEX8" s="136"/>
      <c r="UEY8" s="344"/>
      <c r="UEZ8" s="344"/>
      <c r="UFA8" s="344"/>
      <c r="UFB8" s="344"/>
      <c r="UFC8" s="136"/>
      <c r="UFD8" s="137"/>
      <c r="UFE8" s="137"/>
      <c r="UFF8" s="136"/>
      <c r="UFG8" s="344"/>
      <c r="UFH8" s="344"/>
      <c r="UFI8" s="344"/>
      <c r="UFJ8" s="344"/>
      <c r="UFK8" s="136"/>
      <c r="UFL8" s="137"/>
      <c r="UFM8" s="137"/>
      <c r="UFN8" s="136"/>
      <c r="UFO8" s="344"/>
      <c r="UFP8" s="344"/>
      <c r="UFQ8" s="344"/>
      <c r="UFR8" s="344"/>
      <c r="UFS8" s="136"/>
      <c r="UFT8" s="137"/>
      <c r="UFU8" s="137"/>
      <c r="UFV8" s="136"/>
      <c r="UFW8" s="344"/>
      <c r="UFX8" s="344"/>
      <c r="UFY8" s="344"/>
      <c r="UFZ8" s="344"/>
      <c r="UGA8" s="136"/>
      <c r="UGB8" s="137"/>
      <c r="UGC8" s="137"/>
      <c r="UGD8" s="136"/>
      <c r="UGE8" s="344"/>
      <c r="UGF8" s="344"/>
      <c r="UGG8" s="344"/>
      <c r="UGH8" s="344"/>
      <c r="UGI8" s="136"/>
      <c r="UGJ8" s="137"/>
      <c r="UGK8" s="137"/>
      <c r="UGL8" s="136"/>
      <c r="UGM8" s="344"/>
      <c r="UGN8" s="344"/>
      <c r="UGO8" s="344"/>
      <c r="UGP8" s="344"/>
      <c r="UGQ8" s="136"/>
      <c r="UGR8" s="137"/>
      <c r="UGS8" s="137"/>
      <c r="UGT8" s="136"/>
      <c r="UGU8" s="344"/>
      <c r="UGV8" s="344"/>
      <c r="UGW8" s="344"/>
      <c r="UGX8" s="344"/>
      <c r="UGY8" s="136"/>
      <c r="UGZ8" s="137"/>
      <c r="UHA8" s="137"/>
      <c r="UHB8" s="136"/>
      <c r="UHC8" s="344"/>
      <c r="UHD8" s="344"/>
      <c r="UHE8" s="344"/>
      <c r="UHF8" s="344"/>
      <c r="UHG8" s="136"/>
      <c r="UHH8" s="137"/>
      <c r="UHI8" s="137"/>
      <c r="UHJ8" s="136"/>
      <c r="UHK8" s="344"/>
      <c r="UHL8" s="344"/>
      <c r="UHM8" s="344"/>
      <c r="UHN8" s="344"/>
      <c r="UHO8" s="136"/>
      <c r="UHP8" s="137"/>
      <c r="UHQ8" s="137"/>
      <c r="UHR8" s="136"/>
      <c r="UHS8" s="344"/>
      <c r="UHT8" s="344"/>
      <c r="UHU8" s="344"/>
      <c r="UHV8" s="344"/>
      <c r="UHW8" s="136"/>
      <c r="UHX8" s="137"/>
      <c r="UHY8" s="137"/>
      <c r="UHZ8" s="136"/>
      <c r="UIA8" s="344"/>
      <c r="UIB8" s="344"/>
      <c r="UIC8" s="344"/>
      <c r="UID8" s="344"/>
      <c r="UIE8" s="136"/>
      <c r="UIF8" s="137"/>
      <c r="UIG8" s="137"/>
      <c r="UIH8" s="136"/>
      <c r="UII8" s="344"/>
      <c r="UIJ8" s="344"/>
      <c r="UIK8" s="344"/>
      <c r="UIL8" s="344"/>
      <c r="UIM8" s="136"/>
      <c r="UIN8" s="137"/>
      <c r="UIO8" s="137"/>
      <c r="UIP8" s="136"/>
      <c r="UIQ8" s="344"/>
      <c r="UIR8" s="344"/>
      <c r="UIS8" s="344"/>
      <c r="UIT8" s="344"/>
      <c r="UIU8" s="136"/>
      <c r="UIV8" s="137"/>
      <c r="UIW8" s="137"/>
      <c r="UIX8" s="136"/>
      <c r="UIY8" s="344"/>
      <c r="UIZ8" s="344"/>
      <c r="UJA8" s="344"/>
      <c r="UJB8" s="344"/>
      <c r="UJC8" s="136"/>
      <c r="UJD8" s="137"/>
      <c r="UJE8" s="137"/>
      <c r="UJF8" s="136"/>
      <c r="UJG8" s="344"/>
      <c r="UJH8" s="344"/>
      <c r="UJI8" s="344"/>
      <c r="UJJ8" s="344"/>
      <c r="UJK8" s="136"/>
      <c r="UJL8" s="137"/>
      <c r="UJM8" s="137"/>
      <c r="UJN8" s="136"/>
      <c r="UJO8" s="344"/>
      <c r="UJP8" s="344"/>
      <c r="UJQ8" s="344"/>
      <c r="UJR8" s="344"/>
      <c r="UJS8" s="136"/>
      <c r="UJT8" s="137"/>
      <c r="UJU8" s="137"/>
      <c r="UJV8" s="136"/>
      <c r="UJW8" s="344"/>
      <c r="UJX8" s="344"/>
      <c r="UJY8" s="344"/>
      <c r="UJZ8" s="344"/>
      <c r="UKA8" s="136"/>
      <c r="UKB8" s="137"/>
      <c r="UKC8" s="137"/>
      <c r="UKD8" s="136"/>
      <c r="UKE8" s="344"/>
      <c r="UKF8" s="344"/>
      <c r="UKG8" s="344"/>
      <c r="UKH8" s="344"/>
      <c r="UKI8" s="136"/>
      <c r="UKJ8" s="137"/>
      <c r="UKK8" s="137"/>
      <c r="UKL8" s="136"/>
      <c r="UKM8" s="344"/>
      <c r="UKN8" s="344"/>
      <c r="UKO8" s="344"/>
      <c r="UKP8" s="344"/>
      <c r="UKQ8" s="136"/>
      <c r="UKR8" s="137"/>
      <c r="UKS8" s="137"/>
      <c r="UKT8" s="136"/>
      <c r="UKU8" s="344"/>
      <c r="UKV8" s="344"/>
      <c r="UKW8" s="344"/>
      <c r="UKX8" s="344"/>
      <c r="UKY8" s="136"/>
      <c r="UKZ8" s="137"/>
      <c r="ULA8" s="137"/>
      <c r="ULB8" s="136"/>
      <c r="ULC8" s="344"/>
      <c r="ULD8" s="344"/>
      <c r="ULE8" s="344"/>
      <c r="ULF8" s="344"/>
      <c r="ULG8" s="136"/>
      <c r="ULH8" s="137"/>
      <c r="ULI8" s="137"/>
      <c r="ULJ8" s="136"/>
      <c r="ULK8" s="344"/>
      <c r="ULL8" s="344"/>
      <c r="ULM8" s="344"/>
      <c r="ULN8" s="344"/>
      <c r="ULO8" s="136"/>
      <c r="ULP8" s="137"/>
      <c r="ULQ8" s="137"/>
      <c r="ULR8" s="136"/>
      <c r="ULS8" s="344"/>
      <c r="ULT8" s="344"/>
      <c r="ULU8" s="344"/>
      <c r="ULV8" s="344"/>
      <c r="ULW8" s="136"/>
      <c r="ULX8" s="137"/>
      <c r="ULY8" s="137"/>
      <c r="ULZ8" s="136"/>
      <c r="UMA8" s="344"/>
      <c r="UMB8" s="344"/>
      <c r="UMC8" s="344"/>
      <c r="UMD8" s="344"/>
      <c r="UME8" s="136"/>
      <c r="UMF8" s="137"/>
      <c r="UMG8" s="137"/>
      <c r="UMH8" s="136"/>
      <c r="UMI8" s="344"/>
      <c r="UMJ8" s="344"/>
      <c r="UMK8" s="344"/>
      <c r="UML8" s="344"/>
      <c r="UMM8" s="136"/>
      <c r="UMN8" s="137"/>
      <c r="UMO8" s="137"/>
      <c r="UMP8" s="136"/>
      <c r="UMQ8" s="344"/>
      <c r="UMR8" s="344"/>
      <c r="UMS8" s="344"/>
      <c r="UMT8" s="344"/>
      <c r="UMU8" s="136"/>
      <c r="UMV8" s="137"/>
      <c r="UMW8" s="137"/>
      <c r="UMX8" s="136"/>
      <c r="UMY8" s="344"/>
      <c r="UMZ8" s="344"/>
      <c r="UNA8" s="344"/>
      <c r="UNB8" s="344"/>
      <c r="UNC8" s="136"/>
      <c r="UND8" s="137"/>
      <c r="UNE8" s="137"/>
      <c r="UNF8" s="136"/>
      <c r="UNG8" s="344"/>
      <c r="UNH8" s="344"/>
      <c r="UNI8" s="344"/>
      <c r="UNJ8" s="344"/>
      <c r="UNK8" s="136"/>
      <c r="UNL8" s="137"/>
      <c r="UNM8" s="137"/>
      <c r="UNN8" s="136"/>
      <c r="UNO8" s="344"/>
      <c r="UNP8" s="344"/>
      <c r="UNQ8" s="344"/>
      <c r="UNR8" s="344"/>
      <c r="UNS8" s="136"/>
      <c r="UNT8" s="137"/>
      <c r="UNU8" s="137"/>
      <c r="UNV8" s="136"/>
      <c r="UNW8" s="344"/>
      <c r="UNX8" s="344"/>
      <c r="UNY8" s="344"/>
      <c r="UNZ8" s="344"/>
      <c r="UOA8" s="136"/>
      <c r="UOB8" s="137"/>
      <c r="UOC8" s="137"/>
      <c r="UOD8" s="136"/>
      <c r="UOE8" s="344"/>
      <c r="UOF8" s="344"/>
      <c r="UOG8" s="344"/>
      <c r="UOH8" s="344"/>
      <c r="UOI8" s="136"/>
      <c r="UOJ8" s="137"/>
      <c r="UOK8" s="137"/>
      <c r="UOL8" s="136"/>
      <c r="UOM8" s="344"/>
      <c r="UON8" s="344"/>
      <c r="UOO8" s="344"/>
      <c r="UOP8" s="344"/>
      <c r="UOQ8" s="136"/>
      <c r="UOR8" s="137"/>
      <c r="UOS8" s="137"/>
      <c r="UOT8" s="136"/>
      <c r="UOU8" s="344"/>
      <c r="UOV8" s="344"/>
      <c r="UOW8" s="344"/>
      <c r="UOX8" s="344"/>
      <c r="UOY8" s="136"/>
      <c r="UOZ8" s="137"/>
      <c r="UPA8" s="137"/>
      <c r="UPB8" s="136"/>
      <c r="UPC8" s="344"/>
      <c r="UPD8" s="344"/>
      <c r="UPE8" s="344"/>
      <c r="UPF8" s="344"/>
      <c r="UPG8" s="136"/>
      <c r="UPH8" s="137"/>
      <c r="UPI8" s="137"/>
      <c r="UPJ8" s="136"/>
      <c r="UPK8" s="344"/>
      <c r="UPL8" s="344"/>
      <c r="UPM8" s="344"/>
      <c r="UPN8" s="344"/>
      <c r="UPO8" s="136"/>
      <c r="UPP8" s="137"/>
      <c r="UPQ8" s="137"/>
      <c r="UPR8" s="136"/>
      <c r="UPS8" s="344"/>
      <c r="UPT8" s="344"/>
      <c r="UPU8" s="344"/>
      <c r="UPV8" s="344"/>
      <c r="UPW8" s="136"/>
      <c r="UPX8" s="137"/>
      <c r="UPY8" s="137"/>
      <c r="UPZ8" s="136"/>
      <c r="UQA8" s="344"/>
      <c r="UQB8" s="344"/>
      <c r="UQC8" s="344"/>
      <c r="UQD8" s="344"/>
      <c r="UQE8" s="136"/>
      <c r="UQF8" s="137"/>
      <c r="UQG8" s="137"/>
      <c r="UQH8" s="136"/>
      <c r="UQI8" s="344"/>
      <c r="UQJ8" s="344"/>
      <c r="UQK8" s="344"/>
      <c r="UQL8" s="344"/>
      <c r="UQM8" s="136"/>
      <c r="UQN8" s="137"/>
      <c r="UQO8" s="137"/>
      <c r="UQP8" s="136"/>
      <c r="UQQ8" s="344"/>
      <c r="UQR8" s="344"/>
      <c r="UQS8" s="344"/>
      <c r="UQT8" s="344"/>
      <c r="UQU8" s="136"/>
      <c r="UQV8" s="137"/>
      <c r="UQW8" s="137"/>
      <c r="UQX8" s="136"/>
      <c r="UQY8" s="344"/>
      <c r="UQZ8" s="344"/>
      <c r="URA8" s="344"/>
      <c r="URB8" s="344"/>
      <c r="URC8" s="136"/>
      <c r="URD8" s="137"/>
      <c r="URE8" s="137"/>
      <c r="URF8" s="136"/>
      <c r="URG8" s="344"/>
      <c r="URH8" s="344"/>
      <c r="URI8" s="344"/>
      <c r="URJ8" s="344"/>
      <c r="URK8" s="136"/>
      <c r="URL8" s="137"/>
      <c r="URM8" s="137"/>
      <c r="URN8" s="136"/>
      <c r="URO8" s="344"/>
      <c r="URP8" s="344"/>
      <c r="URQ8" s="344"/>
      <c r="URR8" s="344"/>
      <c r="URS8" s="136"/>
      <c r="URT8" s="137"/>
      <c r="URU8" s="137"/>
      <c r="URV8" s="136"/>
      <c r="URW8" s="344"/>
      <c r="URX8" s="344"/>
      <c r="URY8" s="344"/>
      <c r="URZ8" s="344"/>
      <c r="USA8" s="136"/>
      <c r="USB8" s="137"/>
      <c r="USC8" s="137"/>
      <c r="USD8" s="136"/>
      <c r="USE8" s="344"/>
      <c r="USF8" s="344"/>
      <c r="USG8" s="344"/>
      <c r="USH8" s="344"/>
      <c r="USI8" s="136"/>
      <c r="USJ8" s="137"/>
      <c r="USK8" s="137"/>
      <c r="USL8" s="136"/>
      <c r="USM8" s="344"/>
      <c r="USN8" s="344"/>
      <c r="USO8" s="344"/>
      <c r="USP8" s="344"/>
      <c r="USQ8" s="136"/>
      <c r="USR8" s="137"/>
      <c r="USS8" s="137"/>
      <c r="UST8" s="136"/>
      <c r="USU8" s="344"/>
      <c r="USV8" s="344"/>
      <c r="USW8" s="344"/>
      <c r="USX8" s="344"/>
      <c r="USY8" s="136"/>
      <c r="USZ8" s="137"/>
      <c r="UTA8" s="137"/>
      <c r="UTB8" s="136"/>
      <c r="UTC8" s="344"/>
      <c r="UTD8" s="344"/>
      <c r="UTE8" s="344"/>
      <c r="UTF8" s="344"/>
      <c r="UTG8" s="136"/>
      <c r="UTH8" s="137"/>
      <c r="UTI8" s="137"/>
      <c r="UTJ8" s="136"/>
      <c r="UTK8" s="344"/>
      <c r="UTL8" s="344"/>
      <c r="UTM8" s="344"/>
      <c r="UTN8" s="344"/>
      <c r="UTO8" s="136"/>
      <c r="UTP8" s="137"/>
      <c r="UTQ8" s="137"/>
      <c r="UTR8" s="136"/>
      <c r="UTS8" s="344"/>
      <c r="UTT8" s="344"/>
      <c r="UTU8" s="344"/>
      <c r="UTV8" s="344"/>
      <c r="UTW8" s="136"/>
      <c r="UTX8" s="137"/>
      <c r="UTY8" s="137"/>
      <c r="UTZ8" s="136"/>
      <c r="UUA8" s="344"/>
      <c r="UUB8" s="344"/>
      <c r="UUC8" s="344"/>
      <c r="UUD8" s="344"/>
      <c r="UUE8" s="136"/>
      <c r="UUF8" s="137"/>
      <c r="UUG8" s="137"/>
      <c r="UUH8" s="136"/>
      <c r="UUI8" s="344"/>
      <c r="UUJ8" s="344"/>
      <c r="UUK8" s="344"/>
      <c r="UUL8" s="344"/>
      <c r="UUM8" s="136"/>
      <c r="UUN8" s="137"/>
      <c r="UUO8" s="137"/>
      <c r="UUP8" s="136"/>
      <c r="UUQ8" s="344"/>
      <c r="UUR8" s="344"/>
      <c r="UUS8" s="344"/>
      <c r="UUT8" s="344"/>
      <c r="UUU8" s="136"/>
      <c r="UUV8" s="137"/>
      <c r="UUW8" s="137"/>
      <c r="UUX8" s="136"/>
      <c r="UUY8" s="344"/>
      <c r="UUZ8" s="344"/>
      <c r="UVA8" s="344"/>
      <c r="UVB8" s="344"/>
      <c r="UVC8" s="136"/>
      <c r="UVD8" s="137"/>
      <c r="UVE8" s="137"/>
      <c r="UVF8" s="136"/>
      <c r="UVG8" s="344"/>
      <c r="UVH8" s="344"/>
      <c r="UVI8" s="344"/>
      <c r="UVJ8" s="344"/>
      <c r="UVK8" s="136"/>
      <c r="UVL8" s="137"/>
      <c r="UVM8" s="137"/>
      <c r="UVN8" s="136"/>
      <c r="UVO8" s="344"/>
      <c r="UVP8" s="344"/>
      <c r="UVQ8" s="344"/>
      <c r="UVR8" s="344"/>
      <c r="UVS8" s="136"/>
      <c r="UVT8" s="137"/>
      <c r="UVU8" s="137"/>
      <c r="UVV8" s="136"/>
      <c r="UVW8" s="344"/>
      <c r="UVX8" s="344"/>
      <c r="UVY8" s="344"/>
      <c r="UVZ8" s="344"/>
      <c r="UWA8" s="136"/>
      <c r="UWB8" s="137"/>
      <c r="UWC8" s="137"/>
      <c r="UWD8" s="136"/>
      <c r="UWE8" s="344"/>
      <c r="UWF8" s="344"/>
      <c r="UWG8" s="344"/>
      <c r="UWH8" s="344"/>
      <c r="UWI8" s="136"/>
      <c r="UWJ8" s="137"/>
      <c r="UWK8" s="137"/>
      <c r="UWL8" s="136"/>
      <c r="UWM8" s="344"/>
      <c r="UWN8" s="344"/>
      <c r="UWO8" s="344"/>
      <c r="UWP8" s="344"/>
      <c r="UWQ8" s="136"/>
      <c r="UWR8" s="137"/>
      <c r="UWS8" s="137"/>
      <c r="UWT8" s="136"/>
      <c r="UWU8" s="344"/>
      <c r="UWV8" s="344"/>
      <c r="UWW8" s="344"/>
      <c r="UWX8" s="344"/>
      <c r="UWY8" s="136"/>
      <c r="UWZ8" s="137"/>
      <c r="UXA8" s="137"/>
      <c r="UXB8" s="136"/>
      <c r="UXC8" s="344"/>
      <c r="UXD8" s="344"/>
      <c r="UXE8" s="344"/>
      <c r="UXF8" s="344"/>
      <c r="UXG8" s="136"/>
      <c r="UXH8" s="137"/>
      <c r="UXI8" s="137"/>
      <c r="UXJ8" s="136"/>
      <c r="UXK8" s="344"/>
      <c r="UXL8" s="344"/>
      <c r="UXM8" s="344"/>
      <c r="UXN8" s="344"/>
      <c r="UXO8" s="136"/>
      <c r="UXP8" s="137"/>
      <c r="UXQ8" s="137"/>
      <c r="UXR8" s="136"/>
      <c r="UXS8" s="344"/>
      <c r="UXT8" s="344"/>
      <c r="UXU8" s="344"/>
      <c r="UXV8" s="344"/>
      <c r="UXW8" s="136"/>
      <c r="UXX8" s="137"/>
      <c r="UXY8" s="137"/>
      <c r="UXZ8" s="136"/>
      <c r="UYA8" s="344"/>
      <c r="UYB8" s="344"/>
      <c r="UYC8" s="344"/>
      <c r="UYD8" s="344"/>
      <c r="UYE8" s="136"/>
      <c r="UYF8" s="137"/>
      <c r="UYG8" s="137"/>
      <c r="UYH8" s="136"/>
      <c r="UYI8" s="344"/>
      <c r="UYJ8" s="344"/>
      <c r="UYK8" s="344"/>
      <c r="UYL8" s="344"/>
      <c r="UYM8" s="136"/>
      <c r="UYN8" s="137"/>
      <c r="UYO8" s="137"/>
      <c r="UYP8" s="136"/>
      <c r="UYQ8" s="344"/>
      <c r="UYR8" s="344"/>
      <c r="UYS8" s="344"/>
      <c r="UYT8" s="344"/>
      <c r="UYU8" s="136"/>
      <c r="UYV8" s="137"/>
      <c r="UYW8" s="137"/>
      <c r="UYX8" s="136"/>
      <c r="UYY8" s="344"/>
      <c r="UYZ8" s="344"/>
      <c r="UZA8" s="344"/>
      <c r="UZB8" s="344"/>
      <c r="UZC8" s="136"/>
      <c r="UZD8" s="137"/>
      <c r="UZE8" s="137"/>
      <c r="UZF8" s="136"/>
      <c r="UZG8" s="344"/>
      <c r="UZH8" s="344"/>
      <c r="UZI8" s="344"/>
      <c r="UZJ8" s="344"/>
      <c r="UZK8" s="136"/>
      <c r="UZL8" s="137"/>
      <c r="UZM8" s="137"/>
      <c r="UZN8" s="136"/>
      <c r="UZO8" s="344"/>
      <c r="UZP8" s="344"/>
      <c r="UZQ8" s="344"/>
      <c r="UZR8" s="344"/>
      <c r="UZS8" s="136"/>
      <c r="UZT8" s="137"/>
      <c r="UZU8" s="137"/>
      <c r="UZV8" s="136"/>
      <c r="UZW8" s="344"/>
      <c r="UZX8" s="344"/>
      <c r="UZY8" s="344"/>
      <c r="UZZ8" s="344"/>
      <c r="VAA8" s="136"/>
      <c r="VAB8" s="137"/>
      <c r="VAC8" s="137"/>
      <c r="VAD8" s="136"/>
      <c r="VAE8" s="344"/>
      <c r="VAF8" s="344"/>
      <c r="VAG8" s="344"/>
      <c r="VAH8" s="344"/>
      <c r="VAI8" s="136"/>
      <c r="VAJ8" s="137"/>
      <c r="VAK8" s="137"/>
      <c r="VAL8" s="136"/>
      <c r="VAM8" s="344"/>
      <c r="VAN8" s="344"/>
      <c r="VAO8" s="344"/>
      <c r="VAP8" s="344"/>
      <c r="VAQ8" s="136"/>
      <c r="VAR8" s="137"/>
      <c r="VAS8" s="137"/>
      <c r="VAT8" s="136"/>
      <c r="VAU8" s="344"/>
      <c r="VAV8" s="344"/>
      <c r="VAW8" s="344"/>
      <c r="VAX8" s="344"/>
      <c r="VAY8" s="136"/>
      <c r="VAZ8" s="137"/>
      <c r="VBA8" s="137"/>
      <c r="VBB8" s="136"/>
      <c r="VBC8" s="344"/>
      <c r="VBD8" s="344"/>
      <c r="VBE8" s="344"/>
      <c r="VBF8" s="344"/>
      <c r="VBG8" s="136"/>
      <c r="VBH8" s="137"/>
      <c r="VBI8" s="137"/>
      <c r="VBJ8" s="136"/>
      <c r="VBK8" s="344"/>
      <c r="VBL8" s="344"/>
      <c r="VBM8" s="344"/>
      <c r="VBN8" s="344"/>
      <c r="VBO8" s="136"/>
      <c r="VBP8" s="137"/>
      <c r="VBQ8" s="137"/>
      <c r="VBR8" s="136"/>
      <c r="VBS8" s="344"/>
      <c r="VBT8" s="344"/>
      <c r="VBU8" s="344"/>
      <c r="VBV8" s="344"/>
      <c r="VBW8" s="136"/>
      <c r="VBX8" s="137"/>
      <c r="VBY8" s="137"/>
      <c r="VBZ8" s="136"/>
      <c r="VCA8" s="344"/>
      <c r="VCB8" s="344"/>
      <c r="VCC8" s="344"/>
      <c r="VCD8" s="344"/>
      <c r="VCE8" s="136"/>
      <c r="VCF8" s="137"/>
      <c r="VCG8" s="137"/>
      <c r="VCH8" s="136"/>
      <c r="VCI8" s="344"/>
      <c r="VCJ8" s="344"/>
      <c r="VCK8" s="344"/>
      <c r="VCL8" s="344"/>
      <c r="VCM8" s="136"/>
      <c r="VCN8" s="137"/>
      <c r="VCO8" s="137"/>
      <c r="VCP8" s="136"/>
      <c r="VCQ8" s="344"/>
      <c r="VCR8" s="344"/>
      <c r="VCS8" s="344"/>
      <c r="VCT8" s="344"/>
      <c r="VCU8" s="136"/>
      <c r="VCV8" s="137"/>
      <c r="VCW8" s="137"/>
      <c r="VCX8" s="136"/>
      <c r="VCY8" s="344"/>
      <c r="VCZ8" s="344"/>
      <c r="VDA8" s="344"/>
      <c r="VDB8" s="344"/>
      <c r="VDC8" s="136"/>
      <c r="VDD8" s="137"/>
      <c r="VDE8" s="137"/>
      <c r="VDF8" s="136"/>
      <c r="VDG8" s="344"/>
      <c r="VDH8" s="344"/>
      <c r="VDI8" s="344"/>
      <c r="VDJ8" s="344"/>
      <c r="VDK8" s="136"/>
      <c r="VDL8" s="137"/>
      <c r="VDM8" s="137"/>
      <c r="VDN8" s="136"/>
      <c r="VDO8" s="344"/>
      <c r="VDP8" s="344"/>
      <c r="VDQ8" s="344"/>
      <c r="VDR8" s="344"/>
      <c r="VDS8" s="136"/>
      <c r="VDT8" s="137"/>
      <c r="VDU8" s="137"/>
      <c r="VDV8" s="136"/>
      <c r="VDW8" s="344"/>
      <c r="VDX8" s="344"/>
      <c r="VDY8" s="344"/>
      <c r="VDZ8" s="344"/>
      <c r="VEA8" s="136"/>
      <c r="VEB8" s="137"/>
      <c r="VEC8" s="137"/>
      <c r="VED8" s="136"/>
      <c r="VEE8" s="344"/>
      <c r="VEF8" s="344"/>
      <c r="VEG8" s="344"/>
      <c r="VEH8" s="344"/>
      <c r="VEI8" s="136"/>
      <c r="VEJ8" s="137"/>
      <c r="VEK8" s="137"/>
      <c r="VEL8" s="136"/>
      <c r="VEM8" s="344"/>
      <c r="VEN8" s="344"/>
      <c r="VEO8" s="344"/>
      <c r="VEP8" s="344"/>
      <c r="VEQ8" s="136"/>
      <c r="VER8" s="137"/>
      <c r="VES8" s="137"/>
      <c r="VET8" s="136"/>
      <c r="VEU8" s="344"/>
      <c r="VEV8" s="344"/>
      <c r="VEW8" s="344"/>
      <c r="VEX8" s="344"/>
      <c r="VEY8" s="136"/>
      <c r="VEZ8" s="137"/>
      <c r="VFA8" s="137"/>
      <c r="VFB8" s="136"/>
      <c r="VFC8" s="344"/>
      <c r="VFD8" s="344"/>
      <c r="VFE8" s="344"/>
      <c r="VFF8" s="344"/>
      <c r="VFG8" s="136"/>
      <c r="VFH8" s="137"/>
      <c r="VFI8" s="137"/>
      <c r="VFJ8" s="136"/>
      <c r="VFK8" s="344"/>
      <c r="VFL8" s="344"/>
      <c r="VFM8" s="344"/>
      <c r="VFN8" s="344"/>
      <c r="VFO8" s="136"/>
      <c r="VFP8" s="137"/>
      <c r="VFQ8" s="137"/>
      <c r="VFR8" s="136"/>
      <c r="VFS8" s="344"/>
      <c r="VFT8" s="344"/>
      <c r="VFU8" s="344"/>
      <c r="VFV8" s="344"/>
      <c r="VFW8" s="136"/>
      <c r="VFX8" s="137"/>
      <c r="VFY8" s="137"/>
      <c r="VFZ8" s="136"/>
      <c r="VGA8" s="344"/>
      <c r="VGB8" s="344"/>
      <c r="VGC8" s="344"/>
      <c r="VGD8" s="344"/>
      <c r="VGE8" s="136"/>
      <c r="VGF8" s="137"/>
      <c r="VGG8" s="137"/>
      <c r="VGH8" s="136"/>
      <c r="VGI8" s="344"/>
      <c r="VGJ8" s="344"/>
      <c r="VGK8" s="344"/>
      <c r="VGL8" s="344"/>
      <c r="VGM8" s="136"/>
      <c r="VGN8" s="137"/>
      <c r="VGO8" s="137"/>
      <c r="VGP8" s="136"/>
      <c r="VGQ8" s="344"/>
      <c r="VGR8" s="344"/>
      <c r="VGS8" s="344"/>
      <c r="VGT8" s="344"/>
      <c r="VGU8" s="136"/>
      <c r="VGV8" s="137"/>
      <c r="VGW8" s="137"/>
      <c r="VGX8" s="136"/>
      <c r="VGY8" s="344"/>
      <c r="VGZ8" s="344"/>
      <c r="VHA8" s="344"/>
      <c r="VHB8" s="344"/>
      <c r="VHC8" s="136"/>
      <c r="VHD8" s="137"/>
      <c r="VHE8" s="137"/>
      <c r="VHF8" s="136"/>
      <c r="VHG8" s="344"/>
      <c r="VHH8" s="344"/>
      <c r="VHI8" s="344"/>
      <c r="VHJ8" s="344"/>
      <c r="VHK8" s="136"/>
      <c r="VHL8" s="137"/>
      <c r="VHM8" s="137"/>
      <c r="VHN8" s="136"/>
      <c r="VHO8" s="344"/>
      <c r="VHP8" s="344"/>
      <c r="VHQ8" s="344"/>
      <c r="VHR8" s="344"/>
      <c r="VHS8" s="136"/>
      <c r="VHT8" s="137"/>
      <c r="VHU8" s="137"/>
      <c r="VHV8" s="136"/>
      <c r="VHW8" s="344"/>
      <c r="VHX8" s="344"/>
      <c r="VHY8" s="344"/>
      <c r="VHZ8" s="344"/>
      <c r="VIA8" s="136"/>
      <c r="VIB8" s="137"/>
      <c r="VIC8" s="137"/>
      <c r="VID8" s="136"/>
      <c r="VIE8" s="344"/>
      <c r="VIF8" s="344"/>
      <c r="VIG8" s="344"/>
      <c r="VIH8" s="344"/>
      <c r="VII8" s="136"/>
      <c r="VIJ8" s="137"/>
      <c r="VIK8" s="137"/>
      <c r="VIL8" s="136"/>
      <c r="VIM8" s="344"/>
      <c r="VIN8" s="344"/>
      <c r="VIO8" s="344"/>
      <c r="VIP8" s="344"/>
      <c r="VIQ8" s="136"/>
      <c r="VIR8" s="137"/>
      <c r="VIS8" s="137"/>
      <c r="VIT8" s="136"/>
      <c r="VIU8" s="344"/>
      <c r="VIV8" s="344"/>
      <c r="VIW8" s="344"/>
      <c r="VIX8" s="344"/>
      <c r="VIY8" s="136"/>
      <c r="VIZ8" s="137"/>
      <c r="VJA8" s="137"/>
      <c r="VJB8" s="136"/>
      <c r="VJC8" s="344"/>
      <c r="VJD8" s="344"/>
      <c r="VJE8" s="344"/>
      <c r="VJF8" s="344"/>
      <c r="VJG8" s="136"/>
      <c r="VJH8" s="137"/>
      <c r="VJI8" s="137"/>
      <c r="VJJ8" s="136"/>
      <c r="VJK8" s="344"/>
      <c r="VJL8" s="344"/>
      <c r="VJM8" s="344"/>
      <c r="VJN8" s="344"/>
      <c r="VJO8" s="136"/>
      <c r="VJP8" s="137"/>
      <c r="VJQ8" s="137"/>
      <c r="VJR8" s="136"/>
      <c r="VJS8" s="344"/>
      <c r="VJT8" s="344"/>
      <c r="VJU8" s="344"/>
      <c r="VJV8" s="344"/>
      <c r="VJW8" s="136"/>
      <c r="VJX8" s="137"/>
      <c r="VJY8" s="137"/>
      <c r="VJZ8" s="136"/>
      <c r="VKA8" s="344"/>
      <c r="VKB8" s="344"/>
      <c r="VKC8" s="344"/>
      <c r="VKD8" s="344"/>
      <c r="VKE8" s="136"/>
      <c r="VKF8" s="137"/>
      <c r="VKG8" s="137"/>
      <c r="VKH8" s="136"/>
      <c r="VKI8" s="344"/>
      <c r="VKJ8" s="344"/>
      <c r="VKK8" s="344"/>
      <c r="VKL8" s="344"/>
      <c r="VKM8" s="136"/>
      <c r="VKN8" s="137"/>
      <c r="VKO8" s="137"/>
      <c r="VKP8" s="136"/>
      <c r="VKQ8" s="344"/>
      <c r="VKR8" s="344"/>
      <c r="VKS8" s="344"/>
      <c r="VKT8" s="344"/>
      <c r="VKU8" s="136"/>
      <c r="VKV8" s="137"/>
      <c r="VKW8" s="137"/>
      <c r="VKX8" s="136"/>
      <c r="VKY8" s="344"/>
      <c r="VKZ8" s="344"/>
      <c r="VLA8" s="344"/>
      <c r="VLB8" s="344"/>
      <c r="VLC8" s="136"/>
      <c r="VLD8" s="137"/>
      <c r="VLE8" s="137"/>
      <c r="VLF8" s="136"/>
      <c r="VLG8" s="344"/>
      <c r="VLH8" s="344"/>
      <c r="VLI8" s="344"/>
      <c r="VLJ8" s="344"/>
      <c r="VLK8" s="136"/>
      <c r="VLL8" s="137"/>
      <c r="VLM8" s="137"/>
      <c r="VLN8" s="136"/>
      <c r="VLO8" s="344"/>
      <c r="VLP8" s="344"/>
      <c r="VLQ8" s="344"/>
      <c r="VLR8" s="344"/>
      <c r="VLS8" s="136"/>
      <c r="VLT8" s="137"/>
      <c r="VLU8" s="137"/>
      <c r="VLV8" s="136"/>
      <c r="VLW8" s="344"/>
      <c r="VLX8" s="344"/>
      <c r="VLY8" s="344"/>
      <c r="VLZ8" s="344"/>
      <c r="VMA8" s="136"/>
      <c r="VMB8" s="137"/>
      <c r="VMC8" s="137"/>
      <c r="VMD8" s="136"/>
      <c r="VME8" s="344"/>
      <c r="VMF8" s="344"/>
      <c r="VMG8" s="344"/>
      <c r="VMH8" s="344"/>
      <c r="VMI8" s="136"/>
      <c r="VMJ8" s="137"/>
      <c r="VMK8" s="137"/>
      <c r="VML8" s="136"/>
      <c r="VMM8" s="344"/>
      <c r="VMN8" s="344"/>
      <c r="VMO8" s="344"/>
      <c r="VMP8" s="344"/>
      <c r="VMQ8" s="136"/>
      <c r="VMR8" s="137"/>
      <c r="VMS8" s="137"/>
      <c r="VMT8" s="136"/>
      <c r="VMU8" s="344"/>
      <c r="VMV8" s="344"/>
      <c r="VMW8" s="344"/>
      <c r="VMX8" s="344"/>
      <c r="VMY8" s="136"/>
      <c r="VMZ8" s="137"/>
      <c r="VNA8" s="137"/>
      <c r="VNB8" s="136"/>
      <c r="VNC8" s="344"/>
      <c r="VND8" s="344"/>
      <c r="VNE8" s="344"/>
      <c r="VNF8" s="344"/>
      <c r="VNG8" s="136"/>
      <c r="VNH8" s="137"/>
      <c r="VNI8" s="137"/>
      <c r="VNJ8" s="136"/>
      <c r="VNK8" s="344"/>
      <c r="VNL8" s="344"/>
      <c r="VNM8" s="344"/>
      <c r="VNN8" s="344"/>
      <c r="VNO8" s="136"/>
      <c r="VNP8" s="137"/>
      <c r="VNQ8" s="137"/>
      <c r="VNR8" s="136"/>
      <c r="VNS8" s="344"/>
      <c r="VNT8" s="344"/>
      <c r="VNU8" s="344"/>
      <c r="VNV8" s="344"/>
      <c r="VNW8" s="136"/>
      <c r="VNX8" s="137"/>
      <c r="VNY8" s="137"/>
      <c r="VNZ8" s="136"/>
      <c r="VOA8" s="344"/>
      <c r="VOB8" s="344"/>
      <c r="VOC8" s="344"/>
      <c r="VOD8" s="344"/>
      <c r="VOE8" s="136"/>
      <c r="VOF8" s="137"/>
      <c r="VOG8" s="137"/>
      <c r="VOH8" s="136"/>
      <c r="VOI8" s="344"/>
      <c r="VOJ8" s="344"/>
      <c r="VOK8" s="344"/>
      <c r="VOL8" s="344"/>
      <c r="VOM8" s="136"/>
      <c r="VON8" s="137"/>
      <c r="VOO8" s="137"/>
      <c r="VOP8" s="136"/>
      <c r="VOQ8" s="344"/>
      <c r="VOR8" s="344"/>
      <c r="VOS8" s="344"/>
      <c r="VOT8" s="344"/>
      <c r="VOU8" s="136"/>
      <c r="VOV8" s="137"/>
      <c r="VOW8" s="137"/>
      <c r="VOX8" s="136"/>
      <c r="VOY8" s="344"/>
      <c r="VOZ8" s="344"/>
      <c r="VPA8" s="344"/>
      <c r="VPB8" s="344"/>
      <c r="VPC8" s="136"/>
      <c r="VPD8" s="137"/>
      <c r="VPE8" s="137"/>
      <c r="VPF8" s="136"/>
      <c r="VPG8" s="344"/>
      <c r="VPH8" s="344"/>
      <c r="VPI8" s="344"/>
      <c r="VPJ8" s="344"/>
      <c r="VPK8" s="136"/>
      <c r="VPL8" s="137"/>
      <c r="VPM8" s="137"/>
      <c r="VPN8" s="136"/>
      <c r="VPO8" s="344"/>
      <c r="VPP8" s="344"/>
      <c r="VPQ8" s="344"/>
      <c r="VPR8" s="344"/>
      <c r="VPS8" s="136"/>
      <c r="VPT8" s="137"/>
      <c r="VPU8" s="137"/>
      <c r="VPV8" s="136"/>
      <c r="VPW8" s="344"/>
      <c r="VPX8" s="344"/>
      <c r="VPY8" s="344"/>
      <c r="VPZ8" s="344"/>
      <c r="VQA8" s="136"/>
      <c r="VQB8" s="137"/>
      <c r="VQC8" s="137"/>
      <c r="VQD8" s="136"/>
      <c r="VQE8" s="344"/>
      <c r="VQF8" s="344"/>
      <c r="VQG8" s="344"/>
      <c r="VQH8" s="344"/>
      <c r="VQI8" s="136"/>
      <c r="VQJ8" s="137"/>
      <c r="VQK8" s="137"/>
      <c r="VQL8" s="136"/>
      <c r="VQM8" s="344"/>
      <c r="VQN8" s="344"/>
      <c r="VQO8" s="344"/>
      <c r="VQP8" s="344"/>
      <c r="VQQ8" s="136"/>
      <c r="VQR8" s="137"/>
      <c r="VQS8" s="137"/>
      <c r="VQT8" s="136"/>
      <c r="VQU8" s="344"/>
      <c r="VQV8" s="344"/>
      <c r="VQW8" s="344"/>
      <c r="VQX8" s="344"/>
      <c r="VQY8" s="136"/>
      <c r="VQZ8" s="137"/>
      <c r="VRA8" s="137"/>
      <c r="VRB8" s="136"/>
      <c r="VRC8" s="344"/>
      <c r="VRD8" s="344"/>
      <c r="VRE8" s="344"/>
      <c r="VRF8" s="344"/>
      <c r="VRG8" s="136"/>
      <c r="VRH8" s="137"/>
      <c r="VRI8" s="137"/>
      <c r="VRJ8" s="136"/>
      <c r="VRK8" s="344"/>
      <c r="VRL8" s="344"/>
      <c r="VRM8" s="344"/>
      <c r="VRN8" s="344"/>
      <c r="VRO8" s="136"/>
      <c r="VRP8" s="137"/>
      <c r="VRQ8" s="137"/>
      <c r="VRR8" s="136"/>
      <c r="VRS8" s="344"/>
      <c r="VRT8" s="344"/>
      <c r="VRU8" s="344"/>
      <c r="VRV8" s="344"/>
      <c r="VRW8" s="136"/>
      <c r="VRX8" s="137"/>
      <c r="VRY8" s="137"/>
      <c r="VRZ8" s="136"/>
      <c r="VSA8" s="344"/>
      <c r="VSB8" s="344"/>
      <c r="VSC8" s="344"/>
      <c r="VSD8" s="344"/>
      <c r="VSE8" s="136"/>
      <c r="VSF8" s="137"/>
      <c r="VSG8" s="137"/>
      <c r="VSH8" s="136"/>
      <c r="VSI8" s="344"/>
      <c r="VSJ8" s="344"/>
      <c r="VSK8" s="344"/>
      <c r="VSL8" s="344"/>
      <c r="VSM8" s="136"/>
      <c r="VSN8" s="137"/>
      <c r="VSO8" s="137"/>
      <c r="VSP8" s="136"/>
      <c r="VSQ8" s="344"/>
      <c r="VSR8" s="344"/>
      <c r="VSS8" s="344"/>
      <c r="VST8" s="344"/>
      <c r="VSU8" s="136"/>
      <c r="VSV8" s="137"/>
      <c r="VSW8" s="137"/>
      <c r="VSX8" s="136"/>
      <c r="VSY8" s="344"/>
      <c r="VSZ8" s="344"/>
      <c r="VTA8" s="344"/>
      <c r="VTB8" s="344"/>
      <c r="VTC8" s="136"/>
      <c r="VTD8" s="137"/>
      <c r="VTE8" s="137"/>
      <c r="VTF8" s="136"/>
      <c r="VTG8" s="344"/>
      <c r="VTH8" s="344"/>
      <c r="VTI8" s="344"/>
      <c r="VTJ8" s="344"/>
      <c r="VTK8" s="136"/>
      <c r="VTL8" s="137"/>
      <c r="VTM8" s="137"/>
      <c r="VTN8" s="136"/>
      <c r="VTO8" s="344"/>
      <c r="VTP8" s="344"/>
      <c r="VTQ8" s="344"/>
      <c r="VTR8" s="344"/>
      <c r="VTS8" s="136"/>
      <c r="VTT8" s="137"/>
      <c r="VTU8" s="137"/>
      <c r="VTV8" s="136"/>
      <c r="VTW8" s="344"/>
      <c r="VTX8" s="344"/>
      <c r="VTY8" s="344"/>
      <c r="VTZ8" s="344"/>
      <c r="VUA8" s="136"/>
      <c r="VUB8" s="137"/>
      <c r="VUC8" s="137"/>
      <c r="VUD8" s="136"/>
      <c r="VUE8" s="344"/>
      <c r="VUF8" s="344"/>
      <c r="VUG8" s="344"/>
      <c r="VUH8" s="344"/>
      <c r="VUI8" s="136"/>
      <c r="VUJ8" s="137"/>
      <c r="VUK8" s="137"/>
      <c r="VUL8" s="136"/>
      <c r="VUM8" s="344"/>
      <c r="VUN8" s="344"/>
      <c r="VUO8" s="344"/>
      <c r="VUP8" s="344"/>
      <c r="VUQ8" s="136"/>
      <c r="VUR8" s="137"/>
      <c r="VUS8" s="137"/>
      <c r="VUT8" s="136"/>
      <c r="VUU8" s="344"/>
      <c r="VUV8" s="344"/>
      <c r="VUW8" s="344"/>
      <c r="VUX8" s="344"/>
      <c r="VUY8" s="136"/>
      <c r="VUZ8" s="137"/>
      <c r="VVA8" s="137"/>
      <c r="VVB8" s="136"/>
      <c r="VVC8" s="344"/>
      <c r="VVD8" s="344"/>
      <c r="VVE8" s="344"/>
      <c r="VVF8" s="344"/>
      <c r="VVG8" s="136"/>
      <c r="VVH8" s="137"/>
      <c r="VVI8" s="137"/>
      <c r="VVJ8" s="136"/>
      <c r="VVK8" s="344"/>
      <c r="VVL8" s="344"/>
      <c r="VVM8" s="344"/>
      <c r="VVN8" s="344"/>
      <c r="VVO8" s="136"/>
      <c r="VVP8" s="137"/>
      <c r="VVQ8" s="137"/>
      <c r="VVR8" s="136"/>
      <c r="VVS8" s="344"/>
      <c r="VVT8" s="344"/>
      <c r="VVU8" s="344"/>
      <c r="VVV8" s="344"/>
      <c r="VVW8" s="136"/>
      <c r="VVX8" s="137"/>
      <c r="VVY8" s="137"/>
      <c r="VVZ8" s="136"/>
      <c r="VWA8" s="344"/>
      <c r="VWB8" s="344"/>
      <c r="VWC8" s="344"/>
      <c r="VWD8" s="344"/>
      <c r="VWE8" s="136"/>
      <c r="VWF8" s="137"/>
      <c r="VWG8" s="137"/>
      <c r="VWH8" s="136"/>
      <c r="VWI8" s="344"/>
      <c r="VWJ8" s="344"/>
      <c r="VWK8" s="344"/>
      <c r="VWL8" s="344"/>
      <c r="VWM8" s="136"/>
      <c r="VWN8" s="137"/>
      <c r="VWO8" s="137"/>
      <c r="VWP8" s="136"/>
      <c r="VWQ8" s="344"/>
      <c r="VWR8" s="344"/>
      <c r="VWS8" s="344"/>
      <c r="VWT8" s="344"/>
      <c r="VWU8" s="136"/>
      <c r="VWV8" s="137"/>
      <c r="VWW8" s="137"/>
      <c r="VWX8" s="136"/>
      <c r="VWY8" s="344"/>
      <c r="VWZ8" s="344"/>
      <c r="VXA8" s="344"/>
      <c r="VXB8" s="344"/>
      <c r="VXC8" s="136"/>
      <c r="VXD8" s="137"/>
      <c r="VXE8" s="137"/>
      <c r="VXF8" s="136"/>
      <c r="VXG8" s="344"/>
      <c r="VXH8" s="344"/>
      <c r="VXI8" s="344"/>
      <c r="VXJ8" s="344"/>
      <c r="VXK8" s="136"/>
      <c r="VXL8" s="137"/>
      <c r="VXM8" s="137"/>
      <c r="VXN8" s="136"/>
      <c r="VXO8" s="344"/>
      <c r="VXP8" s="344"/>
      <c r="VXQ8" s="344"/>
      <c r="VXR8" s="344"/>
      <c r="VXS8" s="136"/>
      <c r="VXT8" s="137"/>
      <c r="VXU8" s="137"/>
      <c r="VXV8" s="136"/>
      <c r="VXW8" s="344"/>
      <c r="VXX8" s="344"/>
      <c r="VXY8" s="344"/>
      <c r="VXZ8" s="344"/>
      <c r="VYA8" s="136"/>
      <c r="VYB8" s="137"/>
      <c r="VYC8" s="137"/>
      <c r="VYD8" s="136"/>
      <c r="VYE8" s="344"/>
      <c r="VYF8" s="344"/>
      <c r="VYG8" s="344"/>
      <c r="VYH8" s="344"/>
      <c r="VYI8" s="136"/>
      <c r="VYJ8" s="137"/>
      <c r="VYK8" s="137"/>
      <c r="VYL8" s="136"/>
      <c r="VYM8" s="344"/>
      <c r="VYN8" s="344"/>
      <c r="VYO8" s="344"/>
      <c r="VYP8" s="344"/>
      <c r="VYQ8" s="136"/>
      <c r="VYR8" s="137"/>
      <c r="VYS8" s="137"/>
      <c r="VYT8" s="136"/>
      <c r="VYU8" s="344"/>
      <c r="VYV8" s="344"/>
      <c r="VYW8" s="344"/>
      <c r="VYX8" s="344"/>
      <c r="VYY8" s="136"/>
      <c r="VYZ8" s="137"/>
      <c r="VZA8" s="137"/>
      <c r="VZB8" s="136"/>
      <c r="VZC8" s="344"/>
      <c r="VZD8" s="344"/>
      <c r="VZE8" s="344"/>
      <c r="VZF8" s="344"/>
      <c r="VZG8" s="136"/>
      <c r="VZH8" s="137"/>
      <c r="VZI8" s="137"/>
      <c r="VZJ8" s="136"/>
      <c r="VZK8" s="344"/>
      <c r="VZL8" s="344"/>
      <c r="VZM8" s="344"/>
      <c r="VZN8" s="344"/>
      <c r="VZO8" s="136"/>
      <c r="VZP8" s="137"/>
      <c r="VZQ8" s="137"/>
      <c r="VZR8" s="136"/>
      <c r="VZS8" s="344"/>
      <c r="VZT8" s="344"/>
      <c r="VZU8" s="344"/>
      <c r="VZV8" s="344"/>
      <c r="VZW8" s="136"/>
      <c r="VZX8" s="137"/>
      <c r="VZY8" s="137"/>
      <c r="VZZ8" s="136"/>
      <c r="WAA8" s="344"/>
      <c r="WAB8" s="344"/>
      <c r="WAC8" s="344"/>
      <c r="WAD8" s="344"/>
      <c r="WAE8" s="136"/>
      <c r="WAF8" s="137"/>
      <c r="WAG8" s="137"/>
      <c r="WAH8" s="136"/>
      <c r="WAI8" s="344"/>
      <c r="WAJ8" s="344"/>
      <c r="WAK8" s="344"/>
      <c r="WAL8" s="344"/>
      <c r="WAM8" s="136"/>
      <c r="WAN8" s="137"/>
      <c r="WAO8" s="137"/>
      <c r="WAP8" s="136"/>
      <c r="WAQ8" s="344"/>
      <c r="WAR8" s="344"/>
      <c r="WAS8" s="344"/>
      <c r="WAT8" s="344"/>
      <c r="WAU8" s="136"/>
      <c r="WAV8" s="137"/>
      <c r="WAW8" s="137"/>
      <c r="WAX8" s="136"/>
      <c r="WAY8" s="344"/>
      <c r="WAZ8" s="344"/>
      <c r="WBA8" s="344"/>
      <c r="WBB8" s="344"/>
      <c r="WBC8" s="136"/>
      <c r="WBD8" s="137"/>
      <c r="WBE8" s="137"/>
      <c r="WBF8" s="136"/>
      <c r="WBG8" s="344"/>
      <c r="WBH8" s="344"/>
      <c r="WBI8" s="344"/>
      <c r="WBJ8" s="344"/>
      <c r="WBK8" s="136"/>
      <c r="WBL8" s="137"/>
      <c r="WBM8" s="137"/>
      <c r="WBN8" s="136"/>
      <c r="WBO8" s="344"/>
      <c r="WBP8" s="344"/>
      <c r="WBQ8" s="344"/>
      <c r="WBR8" s="344"/>
      <c r="WBS8" s="136"/>
      <c r="WBT8" s="137"/>
      <c r="WBU8" s="137"/>
      <c r="WBV8" s="136"/>
      <c r="WBW8" s="344"/>
      <c r="WBX8" s="344"/>
      <c r="WBY8" s="344"/>
      <c r="WBZ8" s="344"/>
      <c r="WCA8" s="136"/>
      <c r="WCB8" s="137"/>
      <c r="WCC8" s="137"/>
      <c r="WCD8" s="136"/>
      <c r="WCE8" s="344"/>
      <c r="WCF8" s="344"/>
      <c r="WCG8" s="344"/>
      <c r="WCH8" s="344"/>
      <c r="WCI8" s="136"/>
      <c r="WCJ8" s="137"/>
      <c r="WCK8" s="137"/>
      <c r="WCL8" s="136"/>
      <c r="WCM8" s="344"/>
      <c r="WCN8" s="344"/>
      <c r="WCO8" s="344"/>
      <c r="WCP8" s="344"/>
      <c r="WCQ8" s="136"/>
      <c r="WCR8" s="137"/>
      <c r="WCS8" s="137"/>
      <c r="WCT8" s="136"/>
      <c r="WCU8" s="344"/>
      <c r="WCV8" s="344"/>
      <c r="WCW8" s="344"/>
      <c r="WCX8" s="344"/>
      <c r="WCY8" s="136"/>
      <c r="WCZ8" s="137"/>
      <c r="WDA8" s="137"/>
      <c r="WDB8" s="136"/>
      <c r="WDC8" s="344"/>
      <c r="WDD8" s="344"/>
      <c r="WDE8" s="344"/>
      <c r="WDF8" s="344"/>
      <c r="WDG8" s="136"/>
      <c r="WDH8" s="137"/>
      <c r="WDI8" s="137"/>
      <c r="WDJ8" s="136"/>
      <c r="WDK8" s="344"/>
      <c r="WDL8" s="344"/>
      <c r="WDM8" s="344"/>
      <c r="WDN8" s="344"/>
      <c r="WDO8" s="136"/>
      <c r="WDP8" s="137"/>
      <c r="WDQ8" s="137"/>
      <c r="WDR8" s="136"/>
      <c r="WDS8" s="344"/>
      <c r="WDT8" s="344"/>
      <c r="WDU8" s="344"/>
      <c r="WDV8" s="344"/>
      <c r="WDW8" s="136"/>
      <c r="WDX8" s="137"/>
      <c r="WDY8" s="137"/>
      <c r="WDZ8" s="136"/>
      <c r="WEA8" s="344"/>
      <c r="WEB8" s="344"/>
      <c r="WEC8" s="344"/>
      <c r="WED8" s="344"/>
      <c r="WEE8" s="136"/>
      <c r="WEF8" s="137"/>
      <c r="WEG8" s="137"/>
      <c r="WEH8" s="136"/>
      <c r="WEI8" s="344"/>
      <c r="WEJ8" s="344"/>
      <c r="WEK8" s="344"/>
      <c r="WEL8" s="344"/>
      <c r="WEM8" s="136"/>
      <c r="WEN8" s="137"/>
      <c r="WEO8" s="137"/>
      <c r="WEP8" s="136"/>
      <c r="WEQ8" s="344"/>
      <c r="WER8" s="344"/>
      <c r="WES8" s="344"/>
      <c r="WET8" s="344"/>
      <c r="WEU8" s="136"/>
      <c r="WEV8" s="137"/>
      <c r="WEW8" s="137"/>
      <c r="WEX8" s="136"/>
      <c r="WEY8" s="344"/>
      <c r="WEZ8" s="344"/>
      <c r="WFA8" s="344"/>
      <c r="WFB8" s="344"/>
      <c r="WFC8" s="136"/>
      <c r="WFD8" s="137"/>
      <c r="WFE8" s="137"/>
      <c r="WFF8" s="136"/>
      <c r="WFG8" s="344"/>
      <c r="WFH8" s="344"/>
      <c r="WFI8" s="344"/>
      <c r="WFJ8" s="344"/>
      <c r="WFK8" s="136"/>
      <c r="WFL8" s="137"/>
      <c r="WFM8" s="137"/>
      <c r="WFN8" s="136"/>
      <c r="WFO8" s="344"/>
      <c r="WFP8" s="344"/>
      <c r="WFQ8" s="344"/>
      <c r="WFR8" s="344"/>
      <c r="WFS8" s="136"/>
      <c r="WFT8" s="137"/>
      <c r="WFU8" s="137"/>
      <c r="WFV8" s="136"/>
      <c r="WFW8" s="344"/>
      <c r="WFX8" s="344"/>
      <c r="WFY8" s="344"/>
      <c r="WFZ8" s="344"/>
      <c r="WGA8" s="136"/>
      <c r="WGB8" s="137"/>
      <c r="WGC8" s="137"/>
      <c r="WGD8" s="136"/>
      <c r="WGE8" s="344"/>
      <c r="WGF8" s="344"/>
      <c r="WGG8" s="344"/>
      <c r="WGH8" s="344"/>
      <c r="WGI8" s="136"/>
      <c r="WGJ8" s="137"/>
      <c r="WGK8" s="137"/>
      <c r="WGL8" s="136"/>
      <c r="WGM8" s="344"/>
      <c r="WGN8" s="344"/>
      <c r="WGO8" s="344"/>
      <c r="WGP8" s="344"/>
      <c r="WGQ8" s="136"/>
      <c r="WGR8" s="137"/>
      <c r="WGS8" s="137"/>
      <c r="WGT8" s="136"/>
      <c r="WGU8" s="344"/>
      <c r="WGV8" s="344"/>
      <c r="WGW8" s="344"/>
      <c r="WGX8" s="344"/>
      <c r="WGY8" s="136"/>
      <c r="WGZ8" s="137"/>
      <c r="WHA8" s="137"/>
      <c r="WHB8" s="136"/>
      <c r="WHC8" s="344"/>
      <c r="WHD8" s="344"/>
      <c r="WHE8" s="344"/>
      <c r="WHF8" s="344"/>
      <c r="WHG8" s="136"/>
      <c r="WHH8" s="137"/>
      <c r="WHI8" s="137"/>
      <c r="WHJ8" s="136"/>
      <c r="WHK8" s="344"/>
      <c r="WHL8" s="344"/>
      <c r="WHM8" s="344"/>
      <c r="WHN8" s="344"/>
      <c r="WHO8" s="136"/>
      <c r="WHP8" s="137"/>
      <c r="WHQ8" s="137"/>
      <c r="WHR8" s="136"/>
      <c r="WHS8" s="344"/>
      <c r="WHT8" s="344"/>
      <c r="WHU8" s="344"/>
      <c r="WHV8" s="344"/>
      <c r="WHW8" s="136"/>
      <c r="WHX8" s="137"/>
      <c r="WHY8" s="137"/>
      <c r="WHZ8" s="136"/>
      <c r="WIA8" s="344"/>
      <c r="WIB8" s="344"/>
      <c r="WIC8" s="344"/>
      <c r="WID8" s="344"/>
      <c r="WIE8" s="136"/>
      <c r="WIF8" s="137"/>
      <c r="WIG8" s="137"/>
      <c r="WIH8" s="136"/>
      <c r="WII8" s="344"/>
      <c r="WIJ8" s="344"/>
      <c r="WIK8" s="344"/>
      <c r="WIL8" s="344"/>
      <c r="WIM8" s="136"/>
      <c r="WIN8" s="137"/>
      <c r="WIO8" s="137"/>
      <c r="WIP8" s="136"/>
      <c r="WIQ8" s="344"/>
      <c r="WIR8" s="344"/>
      <c r="WIS8" s="344"/>
      <c r="WIT8" s="344"/>
      <c r="WIU8" s="136"/>
      <c r="WIV8" s="137"/>
      <c r="WIW8" s="137"/>
      <c r="WIX8" s="136"/>
      <c r="WIY8" s="344"/>
      <c r="WIZ8" s="344"/>
      <c r="WJA8" s="344"/>
      <c r="WJB8" s="344"/>
      <c r="WJC8" s="136"/>
      <c r="WJD8" s="137"/>
      <c r="WJE8" s="137"/>
      <c r="WJF8" s="136"/>
      <c r="WJG8" s="344"/>
      <c r="WJH8" s="344"/>
      <c r="WJI8" s="344"/>
      <c r="WJJ8" s="344"/>
      <c r="WJK8" s="136"/>
      <c r="WJL8" s="137"/>
      <c r="WJM8" s="137"/>
      <c r="WJN8" s="136"/>
      <c r="WJO8" s="344"/>
      <c r="WJP8" s="344"/>
      <c r="WJQ8" s="344"/>
      <c r="WJR8" s="344"/>
      <c r="WJS8" s="136"/>
      <c r="WJT8" s="137"/>
      <c r="WJU8" s="137"/>
      <c r="WJV8" s="136"/>
      <c r="WJW8" s="344"/>
      <c r="WJX8" s="344"/>
      <c r="WJY8" s="344"/>
      <c r="WJZ8" s="344"/>
      <c r="WKA8" s="136"/>
      <c r="WKB8" s="137"/>
      <c r="WKC8" s="137"/>
      <c r="WKD8" s="136"/>
      <c r="WKE8" s="344"/>
      <c r="WKF8" s="344"/>
      <c r="WKG8" s="344"/>
      <c r="WKH8" s="344"/>
      <c r="WKI8" s="136"/>
      <c r="WKJ8" s="137"/>
      <c r="WKK8" s="137"/>
      <c r="WKL8" s="136"/>
      <c r="WKM8" s="344"/>
      <c r="WKN8" s="344"/>
      <c r="WKO8" s="344"/>
      <c r="WKP8" s="344"/>
      <c r="WKQ8" s="136"/>
      <c r="WKR8" s="137"/>
      <c r="WKS8" s="137"/>
      <c r="WKT8" s="136"/>
      <c r="WKU8" s="344"/>
      <c r="WKV8" s="344"/>
      <c r="WKW8" s="344"/>
      <c r="WKX8" s="344"/>
      <c r="WKY8" s="136"/>
      <c r="WKZ8" s="137"/>
      <c r="WLA8" s="137"/>
      <c r="WLB8" s="136"/>
      <c r="WLC8" s="344"/>
      <c r="WLD8" s="344"/>
      <c r="WLE8" s="344"/>
      <c r="WLF8" s="344"/>
      <c r="WLG8" s="136"/>
      <c r="WLH8" s="137"/>
      <c r="WLI8" s="137"/>
      <c r="WLJ8" s="136"/>
      <c r="WLK8" s="344"/>
      <c r="WLL8" s="344"/>
      <c r="WLM8" s="344"/>
      <c r="WLN8" s="344"/>
      <c r="WLO8" s="136"/>
      <c r="WLP8" s="137"/>
      <c r="WLQ8" s="137"/>
      <c r="WLR8" s="136"/>
      <c r="WLS8" s="344"/>
      <c r="WLT8" s="344"/>
      <c r="WLU8" s="344"/>
      <c r="WLV8" s="344"/>
      <c r="WLW8" s="136"/>
      <c r="WLX8" s="137"/>
      <c r="WLY8" s="137"/>
      <c r="WLZ8" s="136"/>
      <c r="WMA8" s="344"/>
      <c r="WMB8" s="344"/>
      <c r="WMC8" s="344"/>
      <c r="WMD8" s="344"/>
      <c r="WME8" s="136"/>
      <c r="WMF8" s="137"/>
      <c r="WMG8" s="137"/>
      <c r="WMH8" s="136"/>
      <c r="WMI8" s="344"/>
      <c r="WMJ8" s="344"/>
      <c r="WMK8" s="344"/>
      <c r="WML8" s="344"/>
      <c r="WMM8" s="136"/>
      <c r="WMN8" s="137"/>
      <c r="WMO8" s="137"/>
      <c r="WMP8" s="136"/>
      <c r="WMQ8" s="344"/>
      <c r="WMR8" s="344"/>
      <c r="WMS8" s="344"/>
      <c r="WMT8" s="344"/>
      <c r="WMU8" s="136"/>
      <c r="WMV8" s="137"/>
      <c r="WMW8" s="137"/>
      <c r="WMX8" s="136"/>
      <c r="WMY8" s="344"/>
      <c r="WMZ8" s="344"/>
      <c r="WNA8" s="344"/>
      <c r="WNB8" s="344"/>
      <c r="WNC8" s="136"/>
      <c r="WND8" s="137"/>
      <c r="WNE8" s="137"/>
      <c r="WNF8" s="136"/>
      <c r="WNG8" s="344"/>
      <c r="WNH8" s="344"/>
      <c r="WNI8" s="344"/>
      <c r="WNJ8" s="344"/>
      <c r="WNK8" s="136"/>
      <c r="WNL8" s="137"/>
      <c r="WNM8" s="137"/>
      <c r="WNN8" s="136"/>
      <c r="WNO8" s="344"/>
      <c r="WNP8" s="344"/>
      <c r="WNQ8" s="344"/>
      <c r="WNR8" s="344"/>
      <c r="WNS8" s="136"/>
      <c r="WNT8" s="137"/>
      <c r="WNU8" s="137"/>
      <c r="WNV8" s="136"/>
      <c r="WNW8" s="344"/>
      <c r="WNX8" s="344"/>
      <c r="WNY8" s="344"/>
      <c r="WNZ8" s="344"/>
      <c r="WOA8" s="136"/>
      <c r="WOB8" s="137"/>
      <c r="WOC8" s="137"/>
      <c r="WOD8" s="136"/>
      <c r="WOE8" s="344"/>
      <c r="WOF8" s="344"/>
      <c r="WOG8" s="344"/>
      <c r="WOH8" s="344"/>
      <c r="WOI8" s="136"/>
      <c r="WOJ8" s="137"/>
      <c r="WOK8" s="137"/>
      <c r="WOL8" s="136"/>
      <c r="WOM8" s="344"/>
      <c r="WON8" s="344"/>
      <c r="WOO8" s="344"/>
      <c r="WOP8" s="344"/>
      <c r="WOQ8" s="136"/>
      <c r="WOR8" s="137"/>
      <c r="WOS8" s="137"/>
      <c r="WOT8" s="136"/>
      <c r="WOU8" s="344"/>
      <c r="WOV8" s="344"/>
      <c r="WOW8" s="344"/>
      <c r="WOX8" s="344"/>
      <c r="WOY8" s="136"/>
      <c r="WOZ8" s="137"/>
      <c r="WPA8" s="137"/>
      <c r="WPB8" s="136"/>
      <c r="WPC8" s="344"/>
      <c r="WPD8" s="344"/>
      <c r="WPE8" s="344"/>
      <c r="WPF8" s="344"/>
      <c r="WPG8" s="136"/>
      <c r="WPH8" s="137"/>
      <c r="WPI8" s="137"/>
      <c r="WPJ8" s="136"/>
      <c r="WPK8" s="344"/>
      <c r="WPL8" s="344"/>
      <c r="WPM8" s="344"/>
      <c r="WPN8" s="344"/>
      <c r="WPO8" s="136"/>
      <c r="WPP8" s="137"/>
      <c r="WPQ8" s="137"/>
      <c r="WPR8" s="136"/>
      <c r="WPS8" s="344"/>
      <c r="WPT8" s="344"/>
      <c r="WPU8" s="344"/>
      <c r="WPV8" s="344"/>
      <c r="WPW8" s="136"/>
      <c r="WPX8" s="137"/>
      <c r="WPY8" s="137"/>
      <c r="WPZ8" s="136"/>
      <c r="WQA8" s="344"/>
      <c r="WQB8" s="344"/>
      <c r="WQC8" s="344"/>
      <c r="WQD8" s="344"/>
      <c r="WQE8" s="136"/>
      <c r="WQF8" s="137"/>
      <c r="WQG8" s="137"/>
      <c r="WQH8" s="136"/>
      <c r="WQI8" s="344"/>
      <c r="WQJ8" s="344"/>
      <c r="WQK8" s="344"/>
      <c r="WQL8" s="344"/>
      <c r="WQM8" s="136"/>
      <c r="WQN8" s="137"/>
      <c r="WQO8" s="137"/>
      <c r="WQP8" s="136"/>
      <c r="WQQ8" s="344"/>
      <c r="WQR8" s="344"/>
      <c r="WQS8" s="344"/>
      <c r="WQT8" s="344"/>
      <c r="WQU8" s="136"/>
      <c r="WQV8" s="137"/>
      <c r="WQW8" s="137"/>
      <c r="WQX8" s="136"/>
      <c r="WQY8" s="344"/>
      <c r="WQZ8" s="344"/>
      <c r="WRA8" s="344"/>
      <c r="WRB8" s="344"/>
      <c r="WRC8" s="136"/>
      <c r="WRD8" s="137"/>
      <c r="WRE8" s="137"/>
      <c r="WRF8" s="136"/>
      <c r="WRG8" s="344"/>
      <c r="WRH8" s="344"/>
      <c r="WRI8" s="344"/>
      <c r="WRJ8" s="344"/>
      <c r="WRK8" s="136"/>
      <c r="WRL8" s="137"/>
      <c r="WRM8" s="137"/>
      <c r="WRN8" s="136"/>
      <c r="WRO8" s="344"/>
      <c r="WRP8" s="344"/>
      <c r="WRQ8" s="344"/>
      <c r="WRR8" s="344"/>
      <c r="WRS8" s="136"/>
      <c r="WRT8" s="137"/>
      <c r="WRU8" s="137"/>
      <c r="WRV8" s="136"/>
      <c r="WRW8" s="344"/>
      <c r="WRX8" s="344"/>
      <c r="WRY8" s="344"/>
      <c r="WRZ8" s="344"/>
      <c r="WSA8" s="136"/>
      <c r="WSB8" s="137"/>
      <c r="WSC8" s="137"/>
      <c r="WSD8" s="136"/>
      <c r="WSE8" s="344"/>
      <c r="WSF8" s="344"/>
      <c r="WSG8" s="344"/>
      <c r="WSH8" s="344"/>
      <c r="WSI8" s="136"/>
      <c r="WSJ8" s="137"/>
      <c r="WSK8" s="137"/>
      <c r="WSL8" s="136"/>
      <c r="WSM8" s="344"/>
      <c r="WSN8" s="344"/>
      <c r="WSO8" s="344"/>
      <c r="WSP8" s="344"/>
      <c r="WSQ8" s="136"/>
      <c r="WSR8" s="137"/>
      <c r="WSS8" s="137"/>
      <c r="WST8" s="136"/>
      <c r="WSU8" s="344"/>
      <c r="WSV8" s="344"/>
      <c r="WSW8" s="344"/>
      <c r="WSX8" s="344"/>
      <c r="WSY8" s="136"/>
      <c r="WSZ8" s="137"/>
      <c r="WTA8" s="137"/>
      <c r="WTB8" s="136"/>
      <c r="WTC8" s="344"/>
      <c r="WTD8" s="344"/>
      <c r="WTE8" s="344"/>
      <c r="WTF8" s="344"/>
      <c r="WTG8" s="136"/>
      <c r="WTH8" s="137"/>
      <c r="WTI8" s="137"/>
      <c r="WTJ8" s="136"/>
      <c r="WTK8" s="344"/>
      <c r="WTL8" s="344"/>
      <c r="WTM8" s="344"/>
      <c r="WTN8" s="344"/>
      <c r="WTO8" s="136"/>
      <c r="WTP8" s="137"/>
      <c r="WTQ8" s="137"/>
      <c r="WTR8" s="136"/>
      <c r="WTS8" s="344"/>
      <c r="WTT8" s="344"/>
      <c r="WTU8" s="344"/>
      <c r="WTV8" s="344"/>
      <c r="WTW8" s="136"/>
      <c r="WTX8" s="137"/>
      <c r="WTY8" s="137"/>
      <c r="WTZ8" s="136"/>
      <c r="WUA8" s="344"/>
      <c r="WUB8" s="344"/>
      <c r="WUC8" s="344"/>
      <c r="WUD8" s="344"/>
      <c r="WUE8" s="136"/>
      <c r="WUF8" s="137"/>
      <c r="WUG8" s="137"/>
      <c r="WUH8" s="136"/>
      <c r="WUI8" s="344"/>
      <c r="WUJ8" s="344"/>
      <c r="WUK8" s="344"/>
      <c r="WUL8" s="344"/>
      <c r="WUM8" s="136"/>
      <c r="WUN8" s="137"/>
      <c r="WUO8" s="137"/>
      <c r="WUP8" s="136"/>
      <c r="WUQ8" s="344"/>
      <c r="WUR8" s="344"/>
      <c r="WUS8" s="344"/>
      <c r="WUT8" s="344"/>
      <c r="WUU8" s="136"/>
      <c r="WUV8" s="137"/>
      <c r="WUW8" s="137"/>
      <c r="WUX8" s="136"/>
      <c r="WUY8" s="344"/>
      <c r="WUZ8" s="344"/>
      <c r="WVA8" s="344"/>
      <c r="WVB8" s="344"/>
      <c r="WVC8" s="136"/>
      <c r="WVD8" s="137"/>
      <c r="WVE8" s="137"/>
      <c r="WVF8" s="136"/>
      <c r="WVG8" s="344"/>
      <c r="WVH8" s="344"/>
      <c r="WVI8" s="344"/>
      <c r="WVJ8" s="344"/>
      <c r="WVK8" s="136"/>
      <c r="WVL8" s="137"/>
      <c r="WVM8" s="137"/>
      <c r="WVN8" s="136"/>
      <c r="WVO8" s="344"/>
      <c r="WVP8" s="344"/>
      <c r="WVQ8" s="344"/>
      <c r="WVR8" s="344"/>
      <c r="WVS8" s="136"/>
      <c r="WVT8" s="137"/>
      <c r="WVU8" s="137"/>
      <c r="WVV8" s="136"/>
      <c r="WVW8" s="344"/>
      <c r="WVX8" s="344"/>
      <c r="WVY8" s="344"/>
      <c r="WVZ8" s="344"/>
      <c r="WWA8" s="136"/>
      <c r="WWB8" s="137"/>
      <c r="WWC8" s="137"/>
      <c r="WWD8" s="136"/>
      <c r="WWE8" s="344"/>
      <c r="WWF8" s="344"/>
      <c r="WWG8" s="344"/>
      <c r="WWH8" s="344"/>
      <c r="WWI8" s="136"/>
      <c r="WWJ8" s="137"/>
      <c r="WWK8" s="137"/>
      <c r="WWL8" s="136"/>
      <c r="WWM8" s="344"/>
      <c r="WWN8" s="344"/>
      <c r="WWO8" s="344"/>
      <c r="WWP8" s="344"/>
      <c r="WWQ8" s="136"/>
      <c r="WWR8" s="137"/>
      <c r="WWS8" s="137"/>
      <c r="WWT8" s="136"/>
      <c r="WWU8" s="344"/>
      <c r="WWV8" s="344"/>
      <c r="WWW8" s="344"/>
      <c r="WWX8" s="344"/>
      <c r="WWY8" s="136"/>
      <c r="WWZ8" s="137"/>
      <c r="WXA8" s="137"/>
      <c r="WXB8" s="136"/>
      <c r="WXC8" s="344"/>
      <c r="WXD8" s="344"/>
      <c r="WXE8" s="344"/>
      <c r="WXF8" s="344"/>
      <c r="WXG8" s="136"/>
      <c r="WXH8" s="137"/>
      <c r="WXI8" s="137"/>
      <c r="WXJ8" s="136"/>
      <c r="WXK8" s="344"/>
      <c r="WXL8" s="344"/>
      <c r="WXM8" s="344"/>
      <c r="WXN8" s="344"/>
      <c r="WXO8" s="136"/>
      <c r="WXP8" s="137"/>
      <c r="WXQ8" s="137"/>
      <c r="WXR8" s="136"/>
      <c r="WXS8" s="344"/>
      <c r="WXT8" s="344"/>
      <c r="WXU8" s="344"/>
      <c r="WXV8" s="344"/>
      <c r="WXW8" s="136"/>
      <c r="WXX8" s="137"/>
      <c r="WXY8" s="137"/>
      <c r="WXZ8" s="136"/>
      <c r="WYA8" s="344"/>
      <c r="WYB8" s="344"/>
      <c r="WYC8" s="344"/>
      <c r="WYD8" s="344"/>
      <c r="WYE8" s="136"/>
      <c r="WYF8" s="137"/>
      <c r="WYG8" s="137"/>
      <c r="WYH8" s="136"/>
      <c r="WYI8" s="344"/>
      <c r="WYJ8" s="344"/>
      <c r="WYK8" s="344"/>
      <c r="WYL8" s="344"/>
      <c r="WYM8" s="136"/>
      <c r="WYN8" s="137"/>
      <c r="WYO8" s="137"/>
      <c r="WYP8" s="136"/>
      <c r="WYQ8" s="344"/>
      <c r="WYR8" s="344"/>
      <c r="WYS8" s="344"/>
      <c r="WYT8" s="344"/>
      <c r="WYU8" s="136"/>
      <c r="WYV8" s="137"/>
      <c r="WYW8" s="137"/>
      <c r="WYX8" s="136"/>
      <c r="WYY8" s="344"/>
      <c r="WYZ8" s="344"/>
      <c r="WZA8" s="344"/>
      <c r="WZB8" s="344"/>
      <c r="WZC8" s="136"/>
      <c r="WZD8" s="137"/>
      <c r="WZE8" s="137"/>
      <c r="WZF8" s="136"/>
      <c r="WZG8" s="344"/>
      <c r="WZH8" s="344"/>
      <c r="WZI8" s="344"/>
      <c r="WZJ8" s="344"/>
      <c r="WZK8" s="136"/>
      <c r="WZL8" s="137"/>
      <c r="WZM8" s="137"/>
      <c r="WZN8" s="136"/>
      <c r="WZO8" s="344"/>
      <c r="WZP8" s="344"/>
      <c r="WZQ8" s="344"/>
      <c r="WZR8" s="344"/>
      <c r="WZS8" s="136"/>
      <c r="WZT8" s="137"/>
      <c r="WZU8" s="137"/>
      <c r="WZV8" s="136"/>
      <c r="WZW8" s="344"/>
      <c r="WZX8" s="344"/>
      <c r="WZY8" s="344"/>
      <c r="WZZ8" s="344"/>
      <c r="XAA8" s="136"/>
      <c r="XAB8" s="137"/>
      <c r="XAC8" s="137"/>
      <c r="XAD8" s="136"/>
      <c r="XAE8" s="344"/>
      <c r="XAF8" s="344"/>
      <c r="XAG8" s="344"/>
      <c r="XAH8" s="344"/>
      <c r="XAI8" s="136"/>
      <c r="XAJ8" s="137"/>
      <c r="XAK8" s="137"/>
      <c r="XAL8" s="136"/>
      <c r="XAM8" s="344"/>
      <c r="XAN8" s="344"/>
      <c r="XAO8" s="344"/>
      <c r="XAP8" s="344"/>
      <c r="XAQ8" s="136"/>
      <c r="XAR8" s="137"/>
      <c r="XAS8" s="137"/>
      <c r="XAT8" s="136"/>
      <c r="XAU8" s="344"/>
      <c r="XAV8" s="344"/>
      <c r="XAW8" s="344"/>
      <c r="XAX8" s="344"/>
      <c r="XAY8" s="136"/>
      <c r="XAZ8" s="137"/>
      <c r="XBA8" s="137"/>
      <c r="XBB8" s="136"/>
      <c r="XBC8" s="344"/>
      <c r="XBD8" s="344"/>
      <c r="XBE8" s="344"/>
      <c r="XBF8" s="344"/>
      <c r="XBG8" s="136"/>
      <c r="XBH8" s="137"/>
      <c r="XBI8" s="137"/>
      <c r="XBJ8" s="136"/>
      <c r="XBK8" s="344"/>
      <c r="XBL8" s="344"/>
      <c r="XBM8" s="344"/>
      <c r="XBN8" s="344"/>
      <c r="XBO8" s="136"/>
      <c r="XBP8" s="137"/>
      <c r="XBQ8" s="137"/>
      <c r="XBR8" s="136"/>
      <c r="XBS8" s="344"/>
      <c r="XBT8" s="344"/>
      <c r="XBU8" s="344"/>
      <c r="XBV8" s="344"/>
      <c r="XBW8" s="136"/>
      <c r="XBX8" s="137"/>
      <c r="XBY8" s="137"/>
      <c r="XBZ8" s="136"/>
      <c r="XCA8" s="344"/>
      <c r="XCB8" s="344"/>
      <c r="XCC8" s="344"/>
      <c r="XCD8" s="344"/>
      <c r="XCE8" s="136"/>
      <c r="XCF8" s="137"/>
      <c r="XCG8" s="137"/>
      <c r="XCH8" s="136"/>
      <c r="XCI8" s="344"/>
      <c r="XCJ8" s="344"/>
      <c r="XCK8" s="344"/>
      <c r="XCL8" s="344"/>
      <c r="XCM8" s="136"/>
      <c r="XCN8" s="137"/>
      <c r="XCO8" s="137"/>
      <c r="XCP8" s="136"/>
      <c r="XCQ8" s="344"/>
      <c r="XCR8" s="344"/>
      <c r="XCS8" s="344"/>
      <c r="XCT8" s="344"/>
      <c r="XCU8" s="136"/>
      <c r="XCV8" s="137"/>
      <c r="XCW8" s="137"/>
      <c r="XCX8" s="136"/>
      <c r="XCY8" s="344"/>
      <c r="XCZ8" s="344"/>
      <c r="XDA8" s="344"/>
      <c r="XDB8" s="344"/>
      <c r="XDC8" s="136"/>
      <c r="XDD8" s="137"/>
      <c r="XDE8" s="137"/>
      <c r="XDF8" s="136"/>
      <c r="XDG8" s="344"/>
      <c r="XDH8" s="344"/>
      <c r="XDI8" s="344"/>
      <c r="XDJ8" s="344"/>
      <c r="XDK8" s="136"/>
      <c r="XDL8" s="137"/>
      <c r="XDM8" s="137"/>
      <c r="XDN8" s="136"/>
      <c r="XDO8" s="344"/>
      <c r="XDP8" s="344"/>
      <c r="XDQ8" s="344"/>
      <c r="XDR8" s="344"/>
      <c r="XDS8" s="136"/>
      <c r="XDT8" s="137"/>
      <c r="XDU8" s="137"/>
      <c r="XDV8" s="136"/>
      <c r="XDW8" s="344"/>
      <c r="XDX8" s="344"/>
      <c r="XDY8" s="344"/>
      <c r="XDZ8" s="344"/>
      <c r="XEA8" s="136"/>
      <c r="XEB8" s="137"/>
      <c r="XEC8" s="137"/>
      <c r="XED8" s="136"/>
      <c r="XEE8" s="344"/>
      <c r="XEF8" s="344"/>
      <c r="XEG8" s="344"/>
      <c r="XEH8" s="344"/>
      <c r="XEI8" s="136"/>
      <c r="XEJ8" s="137"/>
      <c r="XEK8" s="137"/>
      <c r="XEL8" s="136"/>
      <c r="XEM8" s="344"/>
      <c r="XEN8" s="344"/>
      <c r="XEO8" s="344"/>
      <c r="XEP8" s="344"/>
      <c r="XEQ8" s="136"/>
      <c r="XER8" s="137"/>
      <c r="XES8" s="137"/>
      <c r="XET8" s="136"/>
      <c r="XEU8" s="344"/>
      <c r="XEV8" s="344"/>
      <c r="XEW8" s="344"/>
      <c r="XEX8" s="344"/>
      <c r="XEY8" s="136"/>
      <c r="XEZ8" s="137"/>
      <c r="XFA8" s="137"/>
    </row>
    <row r="9" spans="1:16381" s="131" customFormat="1" ht="21.75" customHeight="1" x14ac:dyDescent="0.25">
      <c r="A9" s="545" t="s">
        <v>804</v>
      </c>
      <c r="B9" s="545"/>
      <c r="C9" s="545"/>
      <c r="D9" s="545"/>
      <c r="E9" s="184" t="s">
        <v>24</v>
      </c>
      <c r="F9" s="368">
        <v>21</v>
      </c>
    </row>
    <row r="10" spans="1:16381" s="138" customFormat="1" ht="20.100000000000001" customHeight="1" x14ac:dyDescent="0.25">
      <c r="A10" s="541" t="s">
        <v>805</v>
      </c>
      <c r="B10" s="541"/>
      <c r="C10" s="541"/>
      <c r="D10" s="541"/>
      <c r="E10" s="119"/>
      <c r="F10" s="135" t="s">
        <v>215</v>
      </c>
    </row>
    <row r="11" spans="1:16381" s="131" customFormat="1" ht="28.15" customHeight="1" x14ac:dyDescent="0.25">
      <c r="A11" s="545" t="s">
        <v>806</v>
      </c>
      <c r="B11" s="545"/>
      <c r="C11" s="545"/>
      <c r="D11" s="545"/>
      <c r="E11" s="136" t="s">
        <v>168</v>
      </c>
      <c r="F11" s="368">
        <v>106</v>
      </c>
    </row>
    <row r="12" spans="1:16381" s="138" customFormat="1" ht="20.100000000000001" customHeight="1" x14ac:dyDescent="0.25">
      <c r="A12" s="541" t="s">
        <v>1834</v>
      </c>
      <c r="B12" s="541"/>
      <c r="C12" s="541"/>
      <c r="D12" s="541"/>
      <c r="E12" s="119"/>
      <c r="F12" s="135" t="s">
        <v>215</v>
      </c>
    </row>
    <row r="13" spans="1:16381" s="131" customFormat="1" ht="20.100000000000001" customHeight="1" x14ac:dyDescent="0.25">
      <c r="A13" s="217" t="s">
        <v>1835</v>
      </c>
      <c r="B13" s="217"/>
      <c r="C13" s="217"/>
      <c r="D13" s="217"/>
      <c r="E13" s="130" t="s">
        <v>168</v>
      </c>
      <c r="F13" s="368">
        <v>7</v>
      </c>
    </row>
    <row r="14" spans="1:16381" s="131" customFormat="1" ht="20.100000000000001" customHeight="1" x14ac:dyDescent="0.25">
      <c r="A14" s="217" t="s">
        <v>1836</v>
      </c>
      <c r="B14" s="217"/>
      <c r="C14" s="217"/>
      <c r="D14" s="217"/>
      <c r="E14" s="130" t="s">
        <v>168</v>
      </c>
      <c r="F14" s="368">
        <v>7</v>
      </c>
    </row>
    <row r="15" spans="1:16381" s="131" customFormat="1" ht="20.100000000000001" customHeight="1" x14ac:dyDescent="0.25">
      <c r="A15" s="217" t="s">
        <v>1837</v>
      </c>
      <c r="E15" s="130" t="s">
        <v>168</v>
      </c>
      <c r="F15" s="368">
        <v>2</v>
      </c>
    </row>
    <row r="16" spans="1:16381" s="131" customFormat="1" ht="20.100000000000001" customHeight="1" x14ac:dyDescent="0.25">
      <c r="A16" s="217" t="s">
        <v>1838</v>
      </c>
      <c r="E16" s="130" t="s">
        <v>168</v>
      </c>
      <c r="F16" s="368">
        <v>2</v>
      </c>
    </row>
    <row r="17" spans="1:6" s="131" customFormat="1" ht="20.100000000000001" customHeight="1" x14ac:dyDescent="0.25">
      <c r="A17" s="217" t="s">
        <v>1839</v>
      </c>
      <c r="E17" s="130" t="s">
        <v>12</v>
      </c>
      <c r="F17" s="369">
        <v>780</v>
      </c>
    </row>
    <row r="18" spans="1:6" s="131" customFormat="1" ht="31.15" customHeight="1" x14ac:dyDescent="0.25">
      <c r="A18" s="538" t="s">
        <v>1840</v>
      </c>
      <c r="B18" s="538"/>
      <c r="C18" s="538"/>
      <c r="D18" s="538"/>
      <c r="E18" s="130" t="s">
        <v>168</v>
      </c>
      <c r="F18" s="370">
        <v>14</v>
      </c>
    </row>
    <row r="19" spans="1:6" s="131" customFormat="1" ht="20.100000000000001" customHeight="1" x14ac:dyDescent="0.25">
      <c r="A19" s="217" t="s">
        <v>1841</v>
      </c>
      <c r="B19" s="217"/>
      <c r="C19" s="217"/>
      <c r="D19" s="217"/>
      <c r="E19" s="130" t="s">
        <v>168</v>
      </c>
      <c r="F19" s="370">
        <f>(370/2)</f>
        <v>185</v>
      </c>
    </row>
    <row r="20" spans="1:6" s="131" customFormat="1" ht="20.100000000000001" customHeight="1" x14ac:dyDescent="0.25">
      <c r="A20" s="540" t="s">
        <v>1842</v>
      </c>
      <c r="B20" s="540"/>
      <c r="C20" s="540"/>
      <c r="D20" s="540"/>
      <c r="E20" s="218" t="s">
        <v>168</v>
      </c>
      <c r="F20" s="370">
        <v>64</v>
      </c>
    </row>
    <row r="21" spans="1:6" s="131" customFormat="1" ht="19.5" customHeight="1" x14ac:dyDescent="0.25">
      <c r="A21" s="540" t="s">
        <v>1843</v>
      </c>
      <c r="B21" s="540"/>
      <c r="C21" s="540"/>
      <c r="D21" s="540"/>
      <c r="E21" s="218" t="s">
        <v>168</v>
      </c>
      <c r="F21" s="370">
        <v>83</v>
      </c>
    </row>
    <row r="22" spans="1:6" s="131" customFormat="1" ht="20.100000000000001" customHeight="1" x14ac:dyDescent="0.25">
      <c r="A22" s="540" t="s">
        <v>1844</v>
      </c>
      <c r="B22" s="540"/>
      <c r="C22" s="540"/>
      <c r="D22" s="540"/>
      <c r="E22" s="218" t="s">
        <v>701</v>
      </c>
      <c r="F22" s="370">
        <f>3*64</f>
        <v>192</v>
      </c>
    </row>
    <row r="23" spans="1:6" s="131" customFormat="1" ht="20.100000000000001" customHeight="1" x14ac:dyDescent="0.25">
      <c r="A23" s="540" t="s">
        <v>1845</v>
      </c>
      <c r="B23" s="540"/>
      <c r="C23" s="540"/>
      <c r="D23" s="540"/>
      <c r="E23" s="218" t="s">
        <v>168</v>
      </c>
      <c r="F23" s="370">
        <v>39</v>
      </c>
    </row>
    <row r="24" spans="1:6" s="131" customFormat="1" ht="23.25" customHeight="1" x14ac:dyDescent="0.25">
      <c r="A24" s="540" t="s">
        <v>1846</v>
      </c>
      <c r="B24" s="540"/>
      <c r="C24" s="540"/>
      <c r="D24" s="540"/>
      <c r="E24" s="218" t="s">
        <v>701</v>
      </c>
      <c r="F24" s="370">
        <f>3*67</f>
        <v>201</v>
      </c>
    </row>
    <row r="25" spans="1:6" s="138" customFormat="1" ht="20.100000000000001" customHeight="1" x14ac:dyDescent="0.25">
      <c r="A25" s="541" t="s">
        <v>1847</v>
      </c>
      <c r="B25" s="541"/>
      <c r="C25" s="541"/>
      <c r="D25" s="541"/>
      <c r="E25" s="119"/>
      <c r="F25" s="135" t="s">
        <v>215</v>
      </c>
    </row>
    <row r="26" spans="1:6" s="131" customFormat="1" ht="20.100000000000001" customHeight="1" x14ac:dyDescent="0.25">
      <c r="A26" s="542" t="s">
        <v>1848</v>
      </c>
      <c r="B26" s="542"/>
      <c r="C26" s="542"/>
      <c r="D26" s="542"/>
      <c r="E26" s="350" t="s">
        <v>168</v>
      </c>
      <c r="F26" s="371">
        <v>1</v>
      </c>
    </row>
    <row r="27" spans="1:6" s="131" customFormat="1" ht="30.75" customHeight="1" x14ac:dyDescent="0.25">
      <c r="A27" s="543" t="s">
        <v>1849</v>
      </c>
      <c r="B27" s="543"/>
      <c r="C27" s="543"/>
      <c r="D27" s="543"/>
      <c r="E27" s="351" t="s">
        <v>168</v>
      </c>
      <c r="F27" s="371">
        <v>7</v>
      </c>
    </row>
    <row r="28" spans="1:6" s="131" customFormat="1" ht="21.75" customHeight="1" x14ac:dyDescent="0.25">
      <c r="A28" s="542" t="s">
        <v>1850</v>
      </c>
      <c r="B28" s="542"/>
      <c r="C28" s="542"/>
      <c r="D28" s="542"/>
      <c r="E28" s="351" t="s">
        <v>168</v>
      </c>
      <c r="F28" s="371">
        <v>1</v>
      </c>
    </row>
    <row r="29" spans="1:6" s="131" customFormat="1" ht="19.5" customHeight="1" x14ac:dyDescent="0.25">
      <c r="A29" s="352" t="s">
        <v>1851</v>
      </c>
      <c r="B29" s="170"/>
      <c r="C29" s="170"/>
      <c r="D29" s="353"/>
      <c r="E29" s="354" t="s">
        <v>168</v>
      </c>
      <c r="F29" s="371">
        <v>4</v>
      </c>
    </row>
    <row r="30" spans="1:6" s="131" customFormat="1" ht="20.100000000000001" customHeight="1" x14ac:dyDescent="0.25">
      <c r="A30" s="355" t="s">
        <v>1852</v>
      </c>
      <c r="B30" s="355"/>
      <c r="C30" s="355"/>
      <c r="D30" s="355"/>
      <c r="E30" s="350" t="s">
        <v>168</v>
      </c>
      <c r="F30" s="371">
        <v>8</v>
      </c>
    </row>
    <row r="31" spans="1:6" s="131" customFormat="1" ht="20.100000000000001" customHeight="1" x14ac:dyDescent="0.25">
      <c r="A31" s="355" t="s">
        <v>1853</v>
      </c>
      <c r="B31" s="355"/>
      <c r="C31" s="355"/>
      <c r="D31" s="355"/>
      <c r="E31" s="350" t="s">
        <v>168</v>
      </c>
      <c r="F31" s="371">
        <v>5</v>
      </c>
    </row>
    <row r="32" spans="1:6" s="131" customFormat="1" ht="20.100000000000001" customHeight="1" x14ac:dyDescent="0.25">
      <c r="A32" s="170" t="s">
        <v>1854</v>
      </c>
      <c r="B32" s="170"/>
      <c r="C32" s="170"/>
      <c r="D32" s="170"/>
      <c r="E32" s="354" t="s">
        <v>168</v>
      </c>
      <c r="F32" s="371">
        <v>8</v>
      </c>
    </row>
    <row r="33" spans="1:8" s="138" customFormat="1" ht="20.25" customHeight="1" x14ac:dyDescent="0.25">
      <c r="A33" s="355" t="s">
        <v>1855</v>
      </c>
      <c r="B33" s="170"/>
      <c r="C33" s="170"/>
      <c r="D33" s="170"/>
      <c r="E33" s="354" t="s">
        <v>12</v>
      </c>
      <c r="F33" s="172">
        <v>73</v>
      </c>
    </row>
    <row r="34" spans="1:8" s="138" customFormat="1" ht="23.25" customHeight="1" x14ac:dyDescent="0.25">
      <c r="A34" s="356" t="s">
        <v>1856</v>
      </c>
      <c r="B34" s="170"/>
      <c r="C34" s="170"/>
      <c r="D34" s="170"/>
      <c r="E34" s="354" t="s">
        <v>12</v>
      </c>
      <c r="F34" s="172">
        <v>105</v>
      </c>
    </row>
    <row r="35" spans="1:8" s="138" customFormat="1" ht="20.100000000000001" customHeight="1" x14ac:dyDescent="0.25">
      <c r="A35" s="544" t="s">
        <v>1857</v>
      </c>
      <c r="B35" s="544"/>
      <c r="C35" s="544"/>
      <c r="D35" s="544"/>
      <c r="E35" s="351" t="s">
        <v>12</v>
      </c>
      <c r="F35" s="172">
        <v>6</v>
      </c>
    </row>
    <row r="36" spans="1:8" s="138" customFormat="1" ht="19.5" customHeight="1" x14ac:dyDescent="0.25">
      <c r="A36" s="357" t="s">
        <v>1858</v>
      </c>
      <c r="B36" s="170"/>
      <c r="C36" s="170"/>
      <c r="D36" s="170"/>
      <c r="E36" s="358" t="s">
        <v>168</v>
      </c>
      <c r="F36" s="372">
        <v>1</v>
      </c>
    </row>
    <row r="37" spans="1:8" s="138" customFormat="1" ht="19.5" customHeight="1" x14ac:dyDescent="0.25">
      <c r="A37" s="357" t="s">
        <v>1859</v>
      </c>
      <c r="B37" s="170"/>
      <c r="C37" s="170"/>
      <c r="D37" s="170"/>
      <c r="E37" s="358" t="s">
        <v>168</v>
      </c>
      <c r="F37" s="372">
        <v>6</v>
      </c>
    </row>
    <row r="38" spans="1:8" s="138" customFormat="1" ht="19.5" customHeight="1" x14ac:dyDescent="0.25">
      <c r="A38" s="357" t="s">
        <v>1860</v>
      </c>
      <c r="B38" s="170"/>
      <c r="C38" s="170"/>
      <c r="D38" s="170"/>
      <c r="E38" s="358" t="s">
        <v>168</v>
      </c>
      <c r="F38" s="372">
        <v>1</v>
      </c>
    </row>
    <row r="39" spans="1:8" s="138" customFormat="1" ht="20.25" customHeight="1" x14ac:dyDescent="0.25">
      <c r="A39" s="355" t="s">
        <v>1866</v>
      </c>
      <c r="B39" s="170"/>
      <c r="C39" s="170"/>
      <c r="D39" s="170"/>
      <c r="E39" s="354" t="s">
        <v>168</v>
      </c>
      <c r="F39" s="372">
        <v>2</v>
      </c>
    </row>
    <row r="40" spans="1:8" s="131" customFormat="1" ht="15" x14ac:dyDescent="0.25">
      <c r="A40" s="170" t="s">
        <v>1861</v>
      </c>
      <c r="B40" s="170"/>
      <c r="C40" s="170"/>
      <c r="D40" s="170"/>
      <c r="E40" s="358" t="s">
        <v>168</v>
      </c>
      <c r="F40" s="136">
        <v>1</v>
      </c>
    </row>
    <row r="41" spans="1:8" s="138" customFormat="1" ht="20.100000000000001" customHeight="1" x14ac:dyDescent="0.25">
      <c r="A41" s="355" t="s">
        <v>1862</v>
      </c>
      <c r="B41" s="170"/>
      <c r="C41" s="170"/>
      <c r="D41" s="170"/>
      <c r="E41" s="358" t="s">
        <v>168</v>
      </c>
      <c r="F41" s="136">
        <v>3</v>
      </c>
    </row>
    <row r="42" spans="1:8" s="138" customFormat="1" ht="19.5" customHeight="1" x14ac:dyDescent="0.25">
      <c r="A42" s="359" t="s">
        <v>1863</v>
      </c>
      <c r="B42" s="170"/>
      <c r="C42" s="170"/>
      <c r="D42" s="170"/>
      <c r="E42" s="354" t="s">
        <v>168</v>
      </c>
      <c r="F42" s="372">
        <v>2</v>
      </c>
    </row>
    <row r="43" spans="1:8" s="138" customFormat="1" ht="19.5" customHeight="1" x14ac:dyDescent="0.25">
      <c r="A43" s="359" t="s">
        <v>1864</v>
      </c>
      <c r="B43" s="170"/>
      <c r="C43" s="170"/>
      <c r="D43" s="170"/>
      <c r="E43" s="354" t="s">
        <v>168</v>
      </c>
      <c r="F43" s="372">
        <v>5</v>
      </c>
    </row>
    <row r="44" spans="1:8" s="138" customFormat="1" ht="22.5" customHeight="1" x14ac:dyDescent="0.25">
      <c r="A44" s="357" t="s">
        <v>1865</v>
      </c>
      <c r="B44" s="170"/>
      <c r="C44" s="170"/>
      <c r="D44" s="170"/>
      <c r="E44" s="354" t="s">
        <v>168</v>
      </c>
      <c r="F44" s="372">
        <v>2</v>
      </c>
    </row>
    <row r="45" spans="1:8" s="131" customFormat="1" ht="30" customHeight="1" x14ac:dyDescent="0.25">
      <c r="A45" s="537" t="s">
        <v>1867</v>
      </c>
      <c r="B45" s="537"/>
      <c r="C45" s="537"/>
      <c r="D45" s="537"/>
      <c r="E45" s="354" t="s">
        <v>168</v>
      </c>
      <c r="F45" s="372">
        <v>7</v>
      </c>
    </row>
    <row r="46" spans="1:8" ht="29.25" customHeight="1" x14ac:dyDescent="0.25">
      <c r="A46" s="537" t="s">
        <v>1868</v>
      </c>
      <c r="B46" s="537"/>
      <c r="C46" s="537"/>
      <c r="D46" s="537"/>
      <c r="E46" s="354" t="s">
        <v>168</v>
      </c>
      <c r="F46" s="372">
        <v>7</v>
      </c>
    </row>
    <row r="47" spans="1:8" ht="29.25" customHeight="1" x14ac:dyDescent="0.25">
      <c r="A47" s="538" t="s">
        <v>1869</v>
      </c>
      <c r="B47" s="538"/>
      <c r="C47" s="538"/>
      <c r="D47" s="538"/>
      <c r="E47" s="179" t="s">
        <v>168</v>
      </c>
      <c r="F47" s="372">
        <v>1</v>
      </c>
    </row>
    <row r="48" spans="1:8" ht="29.25" customHeight="1" x14ac:dyDescent="0.25">
      <c r="A48" s="539" t="s">
        <v>807</v>
      </c>
      <c r="B48" s="539"/>
      <c r="C48" s="539"/>
      <c r="D48" s="539"/>
      <c r="E48" s="349"/>
      <c r="F48" s="349" t="s">
        <v>215</v>
      </c>
      <c r="G48" s="152"/>
      <c r="H48" s="339"/>
    </row>
    <row r="49" spans="1:8" ht="29.25" customHeight="1" x14ac:dyDescent="0.25">
      <c r="A49" s="360" t="s">
        <v>808</v>
      </c>
      <c r="B49" s="131"/>
      <c r="C49" s="131"/>
      <c r="D49" s="131"/>
      <c r="E49" s="179" t="s">
        <v>168</v>
      </c>
      <c r="F49" s="371">
        <v>88</v>
      </c>
      <c r="G49" s="361"/>
      <c r="H49" s="362"/>
    </row>
    <row r="50" spans="1:8" ht="29.25" customHeight="1" x14ac:dyDescent="0.25">
      <c r="A50" s="539" t="s">
        <v>1870</v>
      </c>
      <c r="B50" s="539"/>
      <c r="C50" s="539"/>
      <c r="D50" s="539"/>
      <c r="E50" s="349"/>
      <c r="F50" s="349" t="s">
        <v>215</v>
      </c>
      <c r="G50" s="152"/>
      <c r="H50" s="339"/>
    </row>
    <row r="51" spans="1:8" ht="29.25" customHeight="1" x14ac:dyDescent="0.25">
      <c r="A51" s="284" t="s">
        <v>1871</v>
      </c>
      <c r="B51" s="131"/>
      <c r="C51" s="131"/>
      <c r="D51" s="131"/>
      <c r="E51" s="130" t="s">
        <v>168</v>
      </c>
      <c r="F51" s="365">
        <v>2</v>
      </c>
      <c r="G51" s="363"/>
      <c r="H51" s="363"/>
    </row>
    <row r="52" spans="1:8" ht="29.25" customHeight="1" x14ac:dyDescent="0.25">
      <c r="A52" s="539" t="s">
        <v>1872</v>
      </c>
      <c r="B52" s="539"/>
      <c r="C52" s="539"/>
      <c r="D52" s="539"/>
      <c r="E52" s="349"/>
      <c r="F52" s="349" t="s">
        <v>215</v>
      </c>
      <c r="G52" s="363"/>
      <c r="H52" s="363"/>
    </row>
    <row r="53" spans="1:8" ht="29.25" customHeight="1" x14ac:dyDescent="0.25">
      <c r="A53" s="364" t="s">
        <v>1873</v>
      </c>
      <c r="B53" s="131"/>
      <c r="C53" s="131"/>
      <c r="D53" s="131"/>
      <c r="E53" s="130" t="s">
        <v>12</v>
      </c>
      <c r="F53" s="365">
        <v>8</v>
      </c>
      <c r="G53" s="363"/>
      <c r="H53" s="363"/>
    </row>
    <row r="54" spans="1:8" s="131" customFormat="1" ht="20.100000000000001" customHeight="1" x14ac:dyDescent="0.25">
      <c r="A54" s="217" t="s">
        <v>1874</v>
      </c>
      <c r="E54" s="130" t="s">
        <v>168</v>
      </c>
      <c r="F54" s="368">
        <v>67</v>
      </c>
    </row>
    <row r="55" spans="1:8" ht="29.25" customHeight="1" x14ac:dyDescent="0.25">
      <c r="A55" s="364"/>
      <c r="B55" s="131"/>
      <c r="C55" s="131"/>
      <c r="D55" s="131"/>
      <c r="E55" s="130"/>
      <c r="F55" s="365"/>
      <c r="G55" s="363"/>
      <c r="H55" s="363"/>
    </row>
    <row r="56" spans="1:8" ht="29.25" customHeight="1" x14ac:dyDescent="0.25">
      <c r="A56" s="284"/>
      <c r="B56" s="131"/>
      <c r="C56" s="131"/>
      <c r="D56" s="131"/>
      <c r="E56" s="130"/>
      <c r="F56" s="365"/>
      <c r="G56" s="363"/>
      <c r="H56" s="363"/>
    </row>
    <row r="57" spans="1:8" ht="29.25" customHeight="1" x14ac:dyDescent="0.25">
      <c r="A57" s="284"/>
      <c r="B57" s="131"/>
      <c r="C57" s="131"/>
      <c r="D57" s="131"/>
      <c r="E57" s="130"/>
      <c r="F57" s="365"/>
      <c r="G57" s="363"/>
      <c r="H57" s="363"/>
    </row>
    <row r="58" spans="1:8" ht="29.25" customHeight="1" x14ac:dyDescent="0.25">
      <c r="B58" s="366"/>
    </row>
    <row r="59" spans="1:8" ht="20.100000000000001" customHeight="1" x14ac:dyDescent="0.25">
      <c r="B59" s="366"/>
    </row>
    <row r="60" spans="1:8" ht="20.100000000000001" customHeight="1" x14ac:dyDescent="0.25">
      <c r="B60" s="366"/>
      <c r="C60" s="367"/>
      <c r="E60" s="366"/>
    </row>
    <row r="67" spans="1:6" ht="20.100000000000001" customHeight="1" x14ac:dyDescent="0.25">
      <c r="A67" s="170"/>
      <c r="C67" s="366"/>
      <c r="F67" s="366"/>
    </row>
    <row r="69" spans="1:6" ht="20.100000000000001" customHeight="1" x14ac:dyDescent="0.25">
      <c r="C69" s="366"/>
      <c r="F69" s="366"/>
    </row>
  </sheetData>
  <mergeCells count="3562">
    <mergeCell ref="DM1:DW1"/>
    <mergeCell ref="DX1:EH1"/>
    <mergeCell ref="EI1:ES1"/>
    <mergeCell ref="ET1:FD1"/>
    <mergeCell ref="FE1:FO1"/>
    <mergeCell ref="FP1:FZ1"/>
    <mergeCell ref="AY1:BI1"/>
    <mergeCell ref="BJ1:BT1"/>
    <mergeCell ref="BU1:CE1"/>
    <mergeCell ref="CF1:CP1"/>
    <mergeCell ref="CQ1:DA1"/>
    <mergeCell ref="DB1:DL1"/>
    <mergeCell ref="G1:Q1"/>
    <mergeCell ref="R1:AB1"/>
    <mergeCell ref="AC1:AM1"/>
    <mergeCell ref="AN1:AX1"/>
    <mergeCell ref="LC1:LM1"/>
    <mergeCell ref="LN1:LX1"/>
    <mergeCell ref="LY1:MI1"/>
    <mergeCell ref="MJ1:MT1"/>
    <mergeCell ref="MU1:NE1"/>
    <mergeCell ref="NF1:NP1"/>
    <mergeCell ref="IO1:IY1"/>
    <mergeCell ref="IZ1:JJ1"/>
    <mergeCell ref="JK1:JU1"/>
    <mergeCell ref="JV1:KF1"/>
    <mergeCell ref="KG1:KQ1"/>
    <mergeCell ref="KR1:LB1"/>
    <mergeCell ref="GA1:GK1"/>
    <mergeCell ref="GL1:GV1"/>
    <mergeCell ref="GW1:HG1"/>
    <mergeCell ref="HH1:HR1"/>
    <mergeCell ref="HS1:IC1"/>
    <mergeCell ref="ID1:IN1"/>
    <mergeCell ref="SS1:TC1"/>
    <mergeCell ref="TD1:TN1"/>
    <mergeCell ref="TO1:TY1"/>
    <mergeCell ref="TZ1:UJ1"/>
    <mergeCell ref="UK1:UU1"/>
    <mergeCell ref="UV1:VF1"/>
    <mergeCell ref="QE1:QO1"/>
    <mergeCell ref="QP1:QZ1"/>
    <mergeCell ref="RA1:RK1"/>
    <mergeCell ref="RL1:RV1"/>
    <mergeCell ref="RW1:SG1"/>
    <mergeCell ref="SH1:SR1"/>
    <mergeCell ref="NQ1:OA1"/>
    <mergeCell ref="OB1:OL1"/>
    <mergeCell ref="OM1:OW1"/>
    <mergeCell ref="OX1:PH1"/>
    <mergeCell ref="PI1:PS1"/>
    <mergeCell ref="PT1:QD1"/>
    <mergeCell ref="AAI1:AAS1"/>
    <mergeCell ref="AAT1:ABD1"/>
    <mergeCell ref="ABE1:ABO1"/>
    <mergeCell ref="ABP1:ABZ1"/>
    <mergeCell ref="ACA1:ACK1"/>
    <mergeCell ref="ACL1:ACV1"/>
    <mergeCell ref="XU1:YE1"/>
    <mergeCell ref="YF1:YP1"/>
    <mergeCell ref="YQ1:ZA1"/>
    <mergeCell ref="ZB1:ZL1"/>
    <mergeCell ref="ZM1:ZW1"/>
    <mergeCell ref="ZX1:AAH1"/>
    <mergeCell ref="VG1:VQ1"/>
    <mergeCell ref="VR1:WB1"/>
    <mergeCell ref="WC1:WM1"/>
    <mergeCell ref="WN1:WX1"/>
    <mergeCell ref="WY1:XI1"/>
    <mergeCell ref="XJ1:XT1"/>
    <mergeCell ref="AHY1:AII1"/>
    <mergeCell ref="AIJ1:AIT1"/>
    <mergeCell ref="AIU1:AJE1"/>
    <mergeCell ref="AJF1:AJP1"/>
    <mergeCell ref="AJQ1:AKA1"/>
    <mergeCell ref="AKB1:AKL1"/>
    <mergeCell ref="AFK1:AFU1"/>
    <mergeCell ref="AFV1:AGF1"/>
    <mergeCell ref="AGG1:AGQ1"/>
    <mergeCell ref="AGR1:AHB1"/>
    <mergeCell ref="AHC1:AHM1"/>
    <mergeCell ref="AHN1:AHX1"/>
    <mergeCell ref="ACW1:ADG1"/>
    <mergeCell ref="ADH1:ADR1"/>
    <mergeCell ref="ADS1:AEC1"/>
    <mergeCell ref="AED1:AEN1"/>
    <mergeCell ref="AEO1:AEY1"/>
    <mergeCell ref="AEZ1:AFJ1"/>
    <mergeCell ref="APO1:APY1"/>
    <mergeCell ref="APZ1:AQJ1"/>
    <mergeCell ref="AQK1:AQU1"/>
    <mergeCell ref="AQV1:ARF1"/>
    <mergeCell ref="ARG1:ARQ1"/>
    <mergeCell ref="ARR1:ASB1"/>
    <mergeCell ref="ANA1:ANK1"/>
    <mergeCell ref="ANL1:ANV1"/>
    <mergeCell ref="ANW1:AOG1"/>
    <mergeCell ref="AOH1:AOR1"/>
    <mergeCell ref="AOS1:APC1"/>
    <mergeCell ref="APD1:APN1"/>
    <mergeCell ref="AKM1:AKW1"/>
    <mergeCell ref="AKX1:ALH1"/>
    <mergeCell ref="ALI1:ALS1"/>
    <mergeCell ref="ALT1:AMD1"/>
    <mergeCell ref="AME1:AMO1"/>
    <mergeCell ref="AMP1:AMZ1"/>
    <mergeCell ref="AXE1:AXO1"/>
    <mergeCell ref="AXP1:AXZ1"/>
    <mergeCell ref="AYA1:AYK1"/>
    <mergeCell ref="AYL1:AYV1"/>
    <mergeCell ref="AYW1:AZG1"/>
    <mergeCell ref="AZH1:AZR1"/>
    <mergeCell ref="AUQ1:AVA1"/>
    <mergeCell ref="AVB1:AVL1"/>
    <mergeCell ref="AVM1:AVW1"/>
    <mergeCell ref="AVX1:AWH1"/>
    <mergeCell ref="AWI1:AWS1"/>
    <mergeCell ref="AWT1:AXD1"/>
    <mergeCell ref="ASC1:ASM1"/>
    <mergeCell ref="ASN1:ASX1"/>
    <mergeCell ref="ASY1:ATI1"/>
    <mergeCell ref="ATJ1:ATT1"/>
    <mergeCell ref="ATU1:AUE1"/>
    <mergeCell ref="AUF1:AUP1"/>
    <mergeCell ref="BEU1:BFE1"/>
    <mergeCell ref="BFF1:BFP1"/>
    <mergeCell ref="BFQ1:BGA1"/>
    <mergeCell ref="BGB1:BGL1"/>
    <mergeCell ref="BGM1:BGW1"/>
    <mergeCell ref="BGX1:BHH1"/>
    <mergeCell ref="BCG1:BCQ1"/>
    <mergeCell ref="BCR1:BDB1"/>
    <mergeCell ref="BDC1:BDM1"/>
    <mergeCell ref="BDN1:BDX1"/>
    <mergeCell ref="BDY1:BEI1"/>
    <mergeCell ref="BEJ1:BET1"/>
    <mergeCell ref="AZS1:BAC1"/>
    <mergeCell ref="BAD1:BAN1"/>
    <mergeCell ref="BAO1:BAY1"/>
    <mergeCell ref="BAZ1:BBJ1"/>
    <mergeCell ref="BBK1:BBU1"/>
    <mergeCell ref="BBV1:BCF1"/>
    <mergeCell ref="BMK1:BMU1"/>
    <mergeCell ref="BMV1:BNF1"/>
    <mergeCell ref="BNG1:BNQ1"/>
    <mergeCell ref="BNR1:BOB1"/>
    <mergeCell ref="BOC1:BOM1"/>
    <mergeCell ref="BON1:BOX1"/>
    <mergeCell ref="BJW1:BKG1"/>
    <mergeCell ref="BKH1:BKR1"/>
    <mergeCell ref="BKS1:BLC1"/>
    <mergeCell ref="BLD1:BLN1"/>
    <mergeCell ref="BLO1:BLY1"/>
    <mergeCell ref="BLZ1:BMJ1"/>
    <mergeCell ref="BHI1:BHS1"/>
    <mergeCell ref="BHT1:BID1"/>
    <mergeCell ref="BIE1:BIO1"/>
    <mergeCell ref="BIP1:BIZ1"/>
    <mergeCell ref="BJA1:BJK1"/>
    <mergeCell ref="BJL1:BJV1"/>
    <mergeCell ref="BUA1:BUK1"/>
    <mergeCell ref="BUL1:BUV1"/>
    <mergeCell ref="BUW1:BVG1"/>
    <mergeCell ref="BVH1:BVR1"/>
    <mergeCell ref="BVS1:BWC1"/>
    <mergeCell ref="BWD1:BWN1"/>
    <mergeCell ref="BRM1:BRW1"/>
    <mergeCell ref="BRX1:BSH1"/>
    <mergeCell ref="BSI1:BSS1"/>
    <mergeCell ref="BST1:BTD1"/>
    <mergeCell ref="BTE1:BTO1"/>
    <mergeCell ref="BTP1:BTZ1"/>
    <mergeCell ref="BOY1:BPI1"/>
    <mergeCell ref="BPJ1:BPT1"/>
    <mergeCell ref="BPU1:BQE1"/>
    <mergeCell ref="BQF1:BQP1"/>
    <mergeCell ref="BQQ1:BRA1"/>
    <mergeCell ref="BRB1:BRL1"/>
    <mergeCell ref="CBQ1:CCA1"/>
    <mergeCell ref="CCB1:CCL1"/>
    <mergeCell ref="CCM1:CCW1"/>
    <mergeCell ref="CCX1:CDH1"/>
    <mergeCell ref="CDI1:CDS1"/>
    <mergeCell ref="CDT1:CED1"/>
    <mergeCell ref="BZC1:BZM1"/>
    <mergeCell ref="BZN1:BZX1"/>
    <mergeCell ref="BZY1:CAI1"/>
    <mergeCell ref="CAJ1:CAT1"/>
    <mergeCell ref="CAU1:CBE1"/>
    <mergeCell ref="CBF1:CBP1"/>
    <mergeCell ref="BWO1:BWY1"/>
    <mergeCell ref="BWZ1:BXJ1"/>
    <mergeCell ref="BXK1:BXU1"/>
    <mergeCell ref="BXV1:BYF1"/>
    <mergeCell ref="BYG1:BYQ1"/>
    <mergeCell ref="BYR1:BZB1"/>
    <mergeCell ref="CJG1:CJQ1"/>
    <mergeCell ref="CJR1:CKB1"/>
    <mergeCell ref="CKC1:CKM1"/>
    <mergeCell ref="CKN1:CKX1"/>
    <mergeCell ref="CKY1:CLI1"/>
    <mergeCell ref="CLJ1:CLT1"/>
    <mergeCell ref="CGS1:CHC1"/>
    <mergeCell ref="CHD1:CHN1"/>
    <mergeCell ref="CHO1:CHY1"/>
    <mergeCell ref="CHZ1:CIJ1"/>
    <mergeCell ref="CIK1:CIU1"/>
    <mergeCell ref="CIV1:CJF1"/>
    <mergeCell ref="CEE1:CEO1"/>
    <mergeCell ref="CEP1:CEZ1"/>
    <mergeCell ref="CFA1:CFK1"/>
    <mergeCell ref="CFL1:CFV1"/>
    <mergeCell ref="CFW1:CGG1"/>
    <mergeCell ref="CGH1:CGR1"/>
    <mergeCell ref="CQW1:CRG1"/>
    <mergeCell ref="CRH1:CRR1"/>
    <mergeCell ref="CRS1:CSC1"/>
    <mergeCell ref="CSD1:CSN1"/>
    <mergeCell ref="CSO1:CSY1"/>
    <mergeCell ref="CSZ1:CTJ1"/>
    <mergeCell ref="COI1:COS1"/>
    <mergeCell ref="COT1:CPD1"/>
    <mergeCell ref="CPE1:CPO1"/>
    <mergeCell ref="CPP1:CPZ1"/>
    <mergeCell ref="CQA1:CQK1"/>
    <mergeCell ref="CQL1:CQV1"/>
    <mergeCell ref="CLU1:CME1"/>
    <mergeCell ref="CMF1:CMP1"/>
    <mergeCell ref="CMQ1:CNA1"/>
    <mergeCell ref="CNB1:CNL1"/>
    <mergeCell ref="CNM1:CNW1"/>
    <mergeCell ref="CNX1:COH1"/>
    <mergeCell ref="CYM1:CYW1"/>
    <mergeCell ref="CYX1:CZH1"/>
    <mergeCell ref="CZI1:CZS1"/>
    <mergeCell ref="CZT1:DAD1"/>
    <mergeCell ref="DAE1:DAO1"/>
    <mergeCell ref="DAP1:DAZ1"/>
    <mergeCell ref="CVY1:CWI1"/>
    <mergeCell ref="CWJ1:CWT1"/>
    <mergeCell ref="CWU1:CXE1"/>
    <mergeCell ref="CXF1:CXP1"/>
    <mergeCell ref="CXQ1:CYA1"/>
    <mergeCell ref="CYB1:CYL1"/>
    <mergeCell ref="CTK1:CTU1"/>
    <mergeCell ref="CTV1:CUF1"/>
    <mergeCell ref="CUG1:CUQ1"/>
    <mergeCell ref="CUR1:CVB1"/>
    <mergeCell ref="CVC1:CVM1"/>
    <mergeCell ref="CVN1:CVX1"/>
    <mergeCell ref="DGC1:DGM1"/>
    <mergeCell ref="DGN1:DGX1"/>
    <mergeCell ref="DGY1:DHI1"/>
    <mergeCell ref="DHJ1:DHT1"/>
    <mergeCell ref="DHU1:DIE1"/>
    <mergeCell ref="DIF1:DIP1"/>
    <mergeCell ref="DDO1:DDY1"/>
    <mergeCell ref="DDZ1:DEJ1"/>
    <mergeCell ref="DEK1:DEU1"/>
    <mergeCell ref="DEV1:DFF1"/>
    <mergeCell ref="DFG1:DFQ1"/>
    <mergeCell ref="DFR1:DGB1"/>
    <mergeCell ref="DBA1:DBK1"/>
    <mergeCell ref="DBL1:DBV1"/>
    <mergeCell ref="DBW1:DCG1"/>
    <mergeCell ref="DCH1:DCR1"/>
    <mergeCell ref="DCS1:DDC1"/>
    <mergeCell ref="DDD1:DDN1"/>
    <mergeCell ref="DNS1:DOC1"/>
    <mergeCell ref="DOD1:DON1"/>
    <mergeCell ref="DOO1:DOY1"/>
    <mergeCell ref="DOZ1:DPJ1"/>
    <mergeCell ref="DPK1:DPU1"/>
    <mergeCell ref="DPV1:DQF1"/>
    <mergeCell ref="DLE1:DLO1"/>
    <mergeCell ref="DLP1:DLZ1"/>
    <mergeCell ref="DMA1:DMK1"/>
    <mergeCell ref="DML1:DMV1"/>
    <mergeCell ref="DMW1:DNG1"/>
    <mergeCell ref="DNH1:DNR1"/>
    <mergeCell ref="DIQ1:DJA1"/>
    <mergeCell ref="DJB1:DJL1"/>
    <mergeCell ref="DJM1:DJW1"/>
    <mergeCell ref="DJX1:DKH1"/>
    <mergeCell ref="DKI1:DKS1"/>
    <mergeCell ref="DKT1:DLD1"/>
    <mergeCell ref="DVI1:DVS1"/>
    <mergeCell ref="DVT1:DWD1"/>
    <mergeCell ref="DWE1:DWO1"/>
    <mergeCell ref="DWP1:DWZ1"/>
    <mergeCell ref="DXA1:DXK1"/>
    <mergeCell ref="DXL1:DXV1"/>
    <mergeCell ref="DSU1:DTE1"/>
    <mergeCell ref="DTF1:DTP1"/>
    <mergeCell ref="DTQ1:DUA1"/>
    <mergeCell ref="DUB1:DUL1"/>
    <mergeCell ref="DUM1:DUW1"/>
    <mergeCell ref="DUX1:DVH1"/>
    <mergeCell ref="DQG1:DQQ1"/>
    <mergeCell ref="DQR1:DRB1"/>
    <mergeCell ref="DRC1:DRM1"/>
    <mergeCell ref="DRN1:DRX1"/>
    <mergeCell ref="DRY1:DSI1"/>
    <mergeCell ref="DSJ1:DST1"/>
    <mergeCell ref="ECY1:EDI1"/>
    <mergeCell ref="EDJ1:EDT1"/>
    <mergeCell ref="EDU1:EEE1"/>
    <mergeCell ref="EEF1:EEP1"/>
    <mergeCell ref="EEQ1:EFA1"/>
    <mergeCell ref="EFB1:EFL1"/>
    <mergeCell ref="EAK1:EAU1"/>
    <mergeCell ref="EAV1:EBF1"/>
    <mergeCell ref="EBG1:EBQ1"/>
    <mergeCell ref="EBR1:ECB1"/>
    <mergeCell ref="ECC1:ECM1"/>
    <mergeCell ref="ECN1:ECX1"/>
    <mergeCell ref="DXW1:DYG1"/>
    <mergeCell ref="DYH1:DYR1"/>
    <mergeCell ref="DYS1:DZC1"/>
    <mergeCell ref="DZD1:DZN1"/>
    <mergeCell ref="DZO1:DZY1"/>
    <mergeCell ref="DZZ1:EAJ1"/>
    <mergeCell ref="EKO1:EKY1"/>
    <mergeCell ref="EKZ1:ELJ1"/>
    <mergeCell ref="ELK1:ELU1"/>
    <mergeCell ref="ELV1:EMF1"/>
    <mergeCell ref="EMG1:EMQ1"/>
    <mergeCell ref="EMR1:ENB1"/>
    <mergeCell ref="EIA1:EIK1"/>
    <mergeCell ref="EIL1:EIV1"/>
    <mergeCell ref="EIW1:EJG1"/>
    <mergeCell ref="EJH1:EJR1"/>
    <mergeCell ref="EJS1:EKC1"/>
    <mergeCell ref="EKD1:EKN1"/>
    <mergeCell ref="EFM1:EFW1"/>
    <mergeCell ref="EFX1:EGH1"/>
    <mergeCell ref="EGI1:EGS1"/>
    <mergeCell ref="EGT1:EHD1"/>
    <mergeCell ref="EHE1:EHO1"/>
    <mergeCell ref="EHP1:EHZ1"/>
    <mergeCell ref="ESE1:ESO1"/>
    <mergeCell ref="ESP1:ESZ1"/>
    <mergeCell ref="ETA1:ETK1"/>
    <mergeCell ref="ETL1:ETV1"/>
    <mergeCell ref="ETW1:EUG1"/>
    <mergeCell ref="EUH1:EUR1"/>
    <mergeCell ref="EPQ1:EQA1"/>
    <mergeCell ref="EQB1:EQL1"/>
    <mergeCell ref="EQM1:EQW1"/>
    <mergeCell ref="EQX1:ERH1"/>
    <mergeCell ref="ERI1:ERS1"/>
    <mergeCell ref="ERT1:ESD1"/>
    <mergeCell ref="ENC1:ENM1"/>
    <mergeCell ref="ENN1:ENX1"/>
    <mergeCell ref="ENY1:EOI1"/>
    <mergeCell ref="EOJ1:EOT1"/>
    <mergeCell ref="EOU1:EPE1"/>
    <mergeCell ref="EPF1:EPP1"/>
    <mergeCell ref="EZU1:FAE1"/>
    <mergeCell ref="FAF1:FAP1"/>
    <mergeCell ref="FAQ1:FBA1"/>
    <mergeCell ref="FBB1:FBL1"/>
    <mergeCell ref="FBM1:FBW1"/>
    <mergeCell ref="FBX1:FCH1"/>
    <mergeCell ref="EXG1:EXQ1"/>
    <mergeCell ref="EXR1:EYB1"/>
    <mergeCell ref="EYC1:EYM1"/>
    <mergeCell ref="EYN1:EYX1"/>
    <mergeCell ref="EYY1:EZI1"/>
    <mergeCell ref="EZJ1:EZT1"/>
    <mergeCell ref="EUS1:EVC1"/>
    <mergeCell ref="EVD1:EVN1"/>
    <mergeCell ref="EVO1:EVY1"/>
    <mergeCell ref="EVZ1:EWJ1"/>
    <mergeCell ref="EWK1:EWU1"/>
    <mergeCell ref="EWV1:EXF1"/>
    <mergeCell ref="FHK1:FHU1"/>
    <mergeCell ref="FHV1:FIF1"/>
    <mergeCell ref="FIG1:FIQ1"/>
    <mergeCell ref="FIR1:FJB1"/>
    <mergeCell ref="FJC1:FJM1"/>
    <mergeCell ref="FJN1:FJX1"/>
    <mergeCell ref="FEW1:FFG1"/>
    <mergeCell ref="FFH1:FFR1"/>
    <mergeCell ref="FFS1:FGC1"/>
    <mergeCell ref="FGD1:FGN1"/>
    <mergeCell ref="FGO1:FGY1"/>
    <mergeCell ref="FGZ1:FHJ1"/>
    <mergeCell ref="FCI1:FCS1"/>
    <mergeCell ref="FCT1:FDD1"/>
    <mergeCell ref="FDE1:FDO1"/>
    <mergeCell ref="FDP1:FDZ1"/>
    <mergeCell ref="FEA1:FEK1"/>
    <mergeCell ref="FEL1:FEV1"/>
    <mergeCell ref="FPA1:FPK1"/>
    <mergeCell ref="FPL1:FPV1"/>
    <mergeCell ref="FPW1:FQG1"/>
    <mergeCell ref="FQH1:FQR1"/>
    <mergeCell ref="FQS1:FRC1"/>
    <mergeCell ref="FRD1:FRN1"/>
    <mergeCell ref="FMM1:FMW1"/>
    <mergeCell ref="FMX1:FNH1"/>
    <mergeCell ref="FNI1:FNS1"/>
    <mergeCell ref="FNT1:FOD1"/>
    <mergeCell ref="FOE1:FOO1"/>
    <mergeCell ref="FOP1:FOZ1"/>
    <mergeCell ref="FJY1:FKI1"/>
    <mergeCell ref="FKJ1:FKT1"/>
    <mergeCell ref="FKU1:FLE1"/>
    <mergeCell ref="FLF1:FLP1"/>
    <mergeCell ref="FLQ1:FMA1"/>
    <mergeCell ref="FMB1:FML1"/>
    <mergeCell ref="FWQ1:FXA1"/>
    <mergeCell ref="FXB1:FXL1"/>
    <mergeCell ref="FXM1:FXW1"/>
    <mergeCell ref="FXX1:FYH1"/>
    <mergeCell ref="FYI1:FYS1"/>
    <mergeCell ref="FYT1:FZD1"/>
    <mergeCell ref="FUC1:FUM1"/>
    <mergeCell ref="FUN1:FUX1"/>
    <mergeCell ref="FUY1:FVI1"/>
    <mergeCell ref="FVJ1:FVT1"/>
    <mergeCell ref="FVU1:FWE1"/>
    <mergeCell ref="FWF1:FWP1"/>
    <mergeCell ref="FRO1:FRY1"/>
    <mergeCell ref="FRZ1:FSJ1"/>
    <mergeCell ref="FSK1:FSU1"/>
    <mergeCell ref="FSV1:FTF1"/>
    <mergeCell ref="FTG1:FTQ1"/>
    <mergeCell ref="FTR1:FUB1"/>
    <mergeCell ref="GEG1:GEQ1"/>
    <mergeCell ref="GER1:GFB1"/>
    <mergeCell ref="GFC1:GFM1"/>
    <mergeCell ref="GFN1:GFX1"/>
    <mergeCell ref="GFY1:GGI1"/>
    <mergeCell ref="GGJ1:GGT1"/>
    <mergeCell ref="GBS1:GCC1"/>
    <mergeCell ref="GCD1:GCN1"/>
    <mergeCell ref="GCO1:GCY1"/>
    <mergeCell ref="GCZ1:GDJ1"/>
    <mergeCell ref="GDK1:GDU1"/>
    <mergeCell ref="GDV1:GEF1"/>
    <mergeCell ref="FZE1:FZO1"/>
    <mergeCell ref="FZP1:FZZ1"/>
    <mergeCell ref="GAA1:GAK1"/>
    <mergeCell ref="GAL1:GAV1"/>
    <mergeCell ref="GAW1:GBG1"/>
    <mergeCell ref="GBH1:GBR1"/>
    <mergeCell ref="GLW1:GMG1"/>
    <mergeCell ref="GMH1:GMR1"/>
    <mergeCell ref="GMS1:GNC1"/>
    <mergeCell ref="GND1:GNN1"/>
    <mergeCell ref="GNO1:GNY1"/>
    <mergeCell ref="GNZ1:GOJ1"/>
    <mergeCell ref="GJI1:GJS1"/>
    <mergeCell ref="GJT1:GKD1"/>
    <mergeCell ref="GKE1:GKO1"/>
    <mergeCell ref="GKP1:GKZ1"/>
    <mergeCell ref="GLA1:GLK1"/>
    <mergeCell ref="GLL1:GLV1"/>
    <mergeCell ref="GGU1:GHE1"/>
    <mergeCell ref="GHF1:GHP1"/>
    <mergeCell ref="GHQ1:GIA1"/>
    <mergeCell ref="GIB1:GIL1"/>
    <mergeCell ref="GIM1:GIW1"/>
    <mergeCell ref="GIX1:GJH1"/>
    <mergeCell ref="GTM1:GTW1"/>
    <mergeCell ref="GTX1:GUH1"/>
    <mergeCell ref="GUI1:GUS1"/>
    <mergeCell ref="GUT1:GVD1"/>
    <mergeCell ref="GVE1:GVO1"/>
    <mergeCell ref="GVP1:GVZ1"/>
    <mergeCell ref="GQY1:GRI1"/>
    <mergeCell ref="GRJ1:GRT1"/>
    <mergeCell ref="GRU1:GSE1"/>
    <mergeCell ref="GSF1:GSP1"/>
    <mergeCell ref="GSQ1:GTA1"/>
    <mergeCell ref="GTB1:GTL1"/>
    <mergeCell ref="GOK1:GOU1"/>
    <mergeCell ref="GOV1:GPF1"/>
    <mergeCell ref="GPG1:GPQ1"/>
    <mergeCell ref="GPR1:GQB1"/>
    <mergeCell ref="GQC1:GQM1"/>
    <mergeCell ref="GQN1:GQX1"/>
    <mergeCell ref="HBC1:HBM1"/>
    <mergeCell ref="HBN1:HBX1"/>
    <mergeCell ref="HBY1:HCI1"/>
    <mergeCell ref="HCJ1:HCT1"/>
    <mergeCell ref="HCU1:HDE1"/>
    <mergeCell ref="HDF1:HDP1"/>
    <mergeCell ref="GYO1:GYY1"/>
    <mergeCell ref="GYZ1:GZJ1"/>
    <mergeCell ref="GZK1:GZU1"/>
    <mergeCell ref="GZV1:HAF1"/>
    <mergeCell ref="HAG1:HAQ1"/>
    <mergeCell ref="HAR1:HBB1"/>
    <mergeCell ref="GWA1:GWK1"/>
    <mergeCell ref="GWL1:GWV1"/>
    <mergeCell ref="GWW1:GXG1"/>
    <mergeCell ref="GXH1:GXR1"/>
    <mergeCell ref="GXS1:GYC1"/>
    <mergeCell ref="GYD1:GYN1"/>
    <mergeCell ref="HIS1:HJC1"/>
    <mergeCell ref="HJD1:HJN1"/>
    <mergeCell ref="HJO1:HJY1"/>
    <mergeCell ref="HJZ1:HKJ1"/>
    <mergeCell ref="HKK1:HKU1"/>
    <mergeCell ref="HKV1:HLF1"/>
    <mergeCell ref="HGE1:HGO1"/>
    <mergeCell ref="HGP1:HGZ1"/>
    <mergeCell ref="HHA1:HHK1"/>
    <mergeCell ref="HHL1:HHV1"/>
    <mergeCell ref="HHW1:HIG1"/>
    <mergeCell ref="HIH1:HIR1"/>
    <mergeCell ref="HDQ1:HEA1"/>
    <mergeCell ref="HEB1:HEL1"/>
    <mergeCell ref="HEM1:HEW1"/>
    <mergeCell ref="HEX1:HFH1"/>
    <mergeCell ref="HFI1:HFS1"/>
    <mergeCell ref="HFT1:HGD1"/>
    <mergeCell ref="HQI1:HQS1"/>
    <mergeCell ref="HQT1:HRD1"/>
    <mergeCell ref="HRE1:HRO1"/>
    <mergeCell ref="HRP1:HRZ1"/>
    <mergeCell ref="HSA1:HSK1"/>
    <mergeCell ref="HSL1:HSV1"/>
    <mergeCell ref="HNU1:HOE1"/>
    <mergeCell ref="HOF1:HOP1"/>
    <mergeCell ref="HOQ1:HPA1"/>
    <mergeCell ref="HPB1:HPL1"/>
    <mergeCell ref="HPM1:HPW1"/>
    <mergeCell ref="HPX1:HQH1"/>
    <mergeCell ref="HLG1:HLQ1"/>
    <mergeCell ref="HLR1:HMB1"/>
    <mergeCell ref="HMC1:HMM1"/>
    <mergeCell ref="HMN1:HMX1"/>
    <mergeCell ref="HMY1:HNI1"/>
    <mergeCell ref="HNJ1:HNT1"/>
    <mergeCell ref="HXY1:HYI1"/>
    <mergeCell ref="HYJ1:HYT1"/>
    <mergeCell ref="HYU1:HZE1"/>
    <mergeCell ref="HZF1:HZP1"/>
    <mergeCell ref="HZQ1:IAA1"/>
    <mergeCell ref="IAB1:IAL1"/>
    <mergeCell ref="HVK1:HVU1"/>
    <mergeCell ref="HVV1:HWF1"/>
    <mergeCell ref="HWG1:HWQ1"/>
    <mergeCell ref="HWR1:HXB1"/>
    <mergeCell ref="HXC1:HXM1"/>
    <mergeCell ref="HXN1:HXX1"/>
    <mergeCell ref="HSW1:HTG1"/>
    <mergeCell ref="HTH1:HTR1"/>
    <mergeCell ref="HTS1:HUC1"/>
    <mergeCell ref="HUD1:HUN1"/>
    <mergeCell ref="HUO1:HUY1"/>
    <mergeCell ref="HUZ1:HVJ1"/>
    <mergeCell ref="IFO1:IFY1"/>
    <mergeCell ref="IFZ1:IGJ1"/>
    <mergeCell ref="IGK1:IGU1"/>
    <mergeCell ref="IGV1:IHF1"/>
    <mergeCell ref="IHG1:IHQ1"/>
    <mergeCell ref="IHR1:IIB1"/>
    <mergeCell ref="IDA1:IDK1"/>
    <mergeCell ref="IDL1:IDV1"/>
    <mergeCell ref="IDW1:IEG1"/>
    <mergeCell ref="IEH1:IER1"/>
    <mergeCell ref="IES1:IFC1"/>
    <mergeCell ref="IFD1:IFN1"/>
    <mergeCell ref="IAM1:IAW1"/>
    <mergeCell ref="IAX1:IBH1"/>
    <mergeCell ref="IBI1:IBS1"/>
    <mergeCell ref="IBT1:ICD1"/>
    <mergeCell ref="ICE1:ICO1"/>
    <mergeCell ref="ICP1:ICZ1"/>
    <mergeCell ref="INE1:INO1"/>
    <mergeCell ref="INP1:INZ1"/>
    <mergeCell ref="IOA1:IOK1"/>
    <mergeCell ref="IOL1:IOV1"/>
    <mergeCell ref="IOW1:IPG1"/>
    <mergeCell ref="IPH1:IPR1"/>
    <mergeCell ref="IKQ1:ILA1"/>
    <mergeCell ref="ILB1:ILL1"/>
    <mergeCell ref="ILM1:ILW1"/>
    <mergeCell ref="ILX1:IMH1"/>
    <mergeCell ref="IMI1:IMS1"/>
    <mergeCell ref="IMT1:IND1"/>
    <mergeCell ref="IIC1:IIM1"/>
    <mergeCell ref="IIN1:IIX1"/>
    <mergeCell ref="IIY1:IJI1"/>
    <mergeCell ref="IJJ1:IJT1"/>
    <mergeCell ref="IJU1:IKE1"/>
    <mergeCell ref="IKF1:IKP1"/>
    <mergeCell ref="IUU1:IVE1"/>
    <mergeCell ref="IVF1:IVP1"/>
    <mergeCell ref="IVQ1:IWA1"/>
    <mergeCell ref="IWB1:IWL1"/>
    <mergeCell ref="IWM1:IWW1"/>
    <mergeCell ref="IWX1:IXH1"/>
    <mergeCell ref="ISG1:ISQ1"/>
    <mergeCell ref="ISR1:ITB1"/>
    <mergeCell ref="ITC1:ITM1"/>
    <mergeCell ref="ITN1:ITX1"/>
    <mergeCell ref="ITY1:IUI1"/>
    <mergeCell ref="IUJ1:IUT1"/>
    <mergeCell ref="IPS1:IQC1"/>
    <mergeCell ref="IQD1:IQN1"/>
    <mergeCell ref="IQO1:IQY1"/>
    <mergeCell ref="IQZ1:IRJ1"/>
    <mergeCell ref="IRK1:IRU1"/>
    <mergeCell ref="IRV1:ISF1"/>
    <mergeCell ref="JCK1:JCU1"/>
    <mergeCell ref="JCV1:JDF1"/>
    <mergeCell ref="JDG1:JDQ1"/>
    <mergeCell ref="JDR1:JEB1"/>
    <mergeCell ref="JEC1:JEM1"/>
    <mergeCell ref="JEN1:JEX1"/>
    <mergeCell ref="IZW1:JAG1"/>
    <mergeCell ref="JAH1:JAR1"/>
    <mergeCell ref="JAS1:JBC1"/>
    <mergeCell ref="JBD1:JBN1"/>
    <mergeCell ref="JBO1:JBY1"/>
    <mergeCell ref="JBZ1:JCJ1"/>
    <mergeCell ref="IXI1:IXS1"/>
    <mergeCell ref="IXT1:IYD1"/>
    <mergeCell ref="IYE1:IYO1"/>
    <mergeCell ref="IYP1:IYZ1"/>
    <mergeCell ref="IZA1:IZK1"/>
    <mergeCell ref="IZL1:IZV1"/>
    <mergeCell ref="JKA1:JKK1"/>
    <mergeCell ref="JKL1:JKV1"/>
    <mergeCell ref="JKW1:JLG1"/>
    <mergeCell ref="JLH1:JLR1"/>
    <mergeCell ref="JLS1:JMC1"/>
    <mergeCell ref="JMD1:JMN1"/>
    <mergeCell ref="JHM1:JHW1"/>
    <mergeCell ref="JHX1:JIH1"/>
    <mergeCell ref="JII1:JIS1"/>
    <mergeCell ref="JIT1:JJD1"/>
    <mergeCell ref="JJE1:JJO1"/>
    <mergeCell ref="JJP1:JJZ1"/>
    <mergeCell ref="JEY1:JFI1"/>
    <mergeCell ref="JFJ1:JFT1"/>
    <mergeCell ref="JFU1:JGE1"/>
    <mergeCell ref="JGF1:JGP1"/>
    <mergeCell ref="JGQ1:JHA1"/>
    <mergeCell ref="JHB1:JHL1"/>
    <mergeCell ref="JRQ1:JSA1"/>
    <mergeCell ref="JSB1:JSL1"/>
    <mergeCell ref="JSM1:JSW1"/>
    <mergeCell ref="JSX1:JTH1"/>
    <mergeCell ref="JTI1:JTS1"/>
    <mergeCell ref="JTT1:JUD1"/>
    <mergeCell ref="JPC1:JPM1"/>
    <mergeCell ref="JPN1:JPX1"/>
    <mergeCell ref="JPY1:JQI1"/>
    <mergeCell ref="JQJ1:JQT1"/>
    <mergeCell ref="JQU1:JRE1"/>
    <mergeCell ref="JRF1:JRP1"/>
    <mergeCell ref="JMO1:JMY1"/>
    <mergeCell ref="JMZ1:JNJ1"/>
    <mergeCell ref="JNK1:JNU1"/>
    <mergeCell ref="JNV1:JOF1"/>
    <mergeCell ref="JOG1:JOQ1"/>
    <mergeCell ref="JOR1:JPB1"/>
    <mergeCell ref="JZG1:JZQ1"/>
    <mergeCell ref="JZR1:KAB1"/>
    <mergeCell ref="KAC1:KAM1"/>
    <mergeCell ref="KAN1:KAX1"/>
    <mergeCell ref="KAY1:KBI1"/>
    <mergeCell ref="KBJ1:KBT1"/>
    <mergeCell ref="JWS1:JXC1"/>
    <mergeCell ref="JXD1:JXN1"/>
    <mergeCell ref="JXO1:JXY1"/>
    <mergeCell ref="JXZ1:JYJ1"/>
    <mergeCell ref="JYK1:JYU1"/>
    <mergeCell ref="JYV1:JZF1"/>
    <mergeCell ref="JUE1:JUO1"/>
    <mergeCell ref="JUP1:JUZ1"/>
    <mergeCell ref="JVA1:JVK1"/>
    <mergeCell ref="JVL1:JVV1"/>
    <mergeCell ref="JVW1:JWG1"/>
    <mergeCell ref="JWH1:JWR1"/>
    <mergeCell ref="KGW1:KHG1"/>
    <mergeCell ref="KHH1:KHR1"/>
    <mergeCell ref="KHS1:KIC1"/>
    <mergeCell ref="KID1:KIN1"/>
    <mergeCell ref="KIO1:KIY1"/>
    <mergeCell ref="KIZ1:KJJ1"/>
    <mergeCell ref="KEI1:KES1"/>
    <mergeCell ref="KET1:KFD1"/>
    <mergeCell ref="KFE1:KFO1"/>
    <mergeCell ref="KFP1:KFZ1"/>
    <mergeCell ref="KGA1:KGK1"/>
    <mergeCell ref="KGL1:KGV1"/>
    <mergeCell ref="KBU1:KCE1"/>
    <mergeCell ref="KCF1:KCP1"/>
    <mergeCell ref="KCQ1:KDA1"/>
    <mergeCell ref="KDB1:KDL1"/>
    <mergeCell ref="KDM1:KDW1"/>
    <mergeCell ref="KDX1:KEH1"/>
    <mergeCell ref="KOM1:KOW1"/>
    <mergeCell ref="KOX1:KPH1"/>
    <mergeCell ref="KPI1:KPS1"/>
    <mergeCell ref="KPT1:KQD1"/>
    <mergeCell ref="KQE1:KQO1"/>
    <mergeCell ref="KQP1:KQZ1"/>
    <mergeCell ref="KLY1:KMI1"/>
    <mergeCell ref="KMJ1:KMT1"/>
    <mergeCell ref="KMU1:KNE1"/>
    <mergeCell ref="KNF1:KNP1"/>
    <mergeCell ref="KNQ1:KOA1"/>
    <mergeCell ref="KOB1:KOL1"/>
    <mergeCell ref="KJK1:KJU1"/>
    <mergeCell ref="KJV1:KKF1"/>
    <mergeCell ref="KKG1:KKQ1"/>
    <mergeCell ref="KKR1:KLB1"/>
    <mergeCell ref="KLC1:KLM1"/>
    <mergeCell ref="KLN1:KLX1"/>
    <mergeCell ref="KWC1:KWM1"/>
    <mergeCell ref="KWN1:KWX1"/>
    <mergeCell ref="KWY1:KXI1"/>
    <mergeCell ref="KXJ1:KXT1"/>
    <mergeCell ref="KXU1:KYE1"/>
    <mergeCell ref="KYF1:KYP1"/>
    <mergeCell ref="KTO1:KTY1"/>
    <mergeCell ref="KTZ1:KUJ1"/>
    <mergeCell ref="KUK1:KUU1"/>
    <mergeCell ref="KUV1:KVF1"/>
    <mergeCell ref="KVG1:KVQ1"/>
    <mergeCell ref="KVR1:KWB1"/>
    <mergeCell ref="KRA1:KRK1"/>
    <mergeCell ref="KRL1:KRV1"/>
    <mergeCell ref="KRW1:KSG1"/>
    <mergeCell ref="KSH1:KSR1"/>
    <mergeCell ref="KSS1:KTC1"/>
    <mergeCell ref="KTD1:KTN1"/>
    <mergeCell ref="LDS1:LEC1"/>
    <mergeCell ref="LED1:LEN1"/>
    <mergeCell ref="LEO1:LEY1"/>
    <mergeCell ref="LEZ1:LFJ1"/>
    <mergeCell ref="LFK1:LFU1"/>
    <mergeCell ref="LFV1:LGF1"/>
    <mergeCell ref="LBE1:LBO1"/>
    <mergeCell ref="LBP1:LBZ1"/>
    <mergeCell ref="LCA1:LCK1"/>
    <mergeCell ref="LCL1:LCV1"/>
    <mergeCell ref="LCW1:LDG1"/>
    <mergeCell ref="LDH1:LDR1"/>
    <mergeCell ref="KYQ1:KZA1"/>
    <mergeCell ref="KZB1:KZL1"/>
    <mergeCell ref="KZM1:KZW1"/>
    <mergeCell ref="KZX1:LAH1"/>
    <mergeCell ref="LAI1:LAS1"/>
    <mergeCell ref="LAT1:LBD1"/>
    <mergeCell ref="LLI1:LLS1"/>
    <mergeCell ref="LLT1:LMD1"/>
    <mergeCell ref="LME1:LMO1"/>
    <mergeCell ref="LMP1:LMZ1"/>
    <mergeCell ref="LNA1:LNK1"/>
    <mergeCell ref="LNL1:LNV1"/>
    <mergeCell ref="LIU1:LJE1"/>
    <mergeCell ref="LJF1:LJP1"/>
    <mergeCell ref="LJQ1:LKA1"/>
    <mergeCell ref="LKB1:LKL1"/>
    <mergeCell ref="LKM1:LKW1"/>
    <mergeCell ref="LKX1:LLH1"/>
    <mergeCell ref="LGG1:LGQ1"/>
    <mergeCell ref="LGR1:LHB1"/>
    <mergeCell ref="LHC1:LHM1"/>
    <mergeCell ref="LHN1:LHX1"/>
    <mergeCell ref="LHY1:LII1"/>
    <mergeCell ref="LIJ1:LIT1"/>
    <mergeCell ref="LSY1:LTI1"/>
    <mergeCell ref="LTJ1:LTT1"/>
    <mergeCell ref="LTU1:LUE1"/>
    <mergeCell ref="LUF1:LUP1"/>
    <mergeCell ref="LUQ1:LVA1"/>
    <mergeCell ref="LVB1:LVL1"/>
    <mergeCell ref="LQK1:LQU1"/>
    <mergeCell ref="LQV1:LRF1"/>
    <mergeCell ref="LRG1:LRQ1"/>
    <mergeCell ref="LRR1:LSB1"/>
    <mergeCell ref="LSC1:LSM1"/>
    <mergeCell ref="LSN1:LSX1"/>
    <mergeCell ref="LNW1:LOG1"/>
    <mergeCell ref="LOH1:LOR1"/>
    <mergeCell ref="LOS1:LPC1"/>
    <mergeCell ref="LPD1:LPN1"/>
    <mergeCell ref="LPO1:LPY1"/>
    <mergeCell ref="LPZ1:LQJ1"/>
    <mergeCell ref="MAO1:MAY1"/>
    <mergeCell ref="MAZ1:MBJ1"/>
    <mergeCell ref="MBK1:MBU1"/>
    <mergeCell ref="MBV1:MCF1"/>
    <mergeCell ref="MCG1:MCQ1"/>
    <mergeCell ref="MCR1:MDB1"/>
    <mergeCell ref="LYA1:LYK1"/>
    <mergeCell ref="LYL1:LYV1"/>
    <mergeCell ref="LYW1:LZG1"/>
    <mergeCell ref="LZH1:LZR1"/>
    <mergeCell ref="LZS1:MAC1"/>
    <mergeCell ref="MAD1:MAN1"/>
    <mergeCell ref="LVM1:LVW1"/>
    <mergeCell ref="LVX1:LWH1"/>
    <mergeCell ref="LWI1:LWS1"/>
    <mergeCell ref="LWT1:LXD1"/>
    <mergeCell ref="LXE1:LXO1"/>
    <mergeCell ref="LXP1:LXZ1"/>
    <mergeCell ref="MIE1:MIO1"/>
    <mergeCell ref="MIP1:MIZ1"/>
    <mergeCell ref="MJA1:MJK1"/>
    <mergeCell ref="MJL1:MJV1"/>
    <mergeCell ref="MJW1:MKG1"/>
    <mergeCell ref="MKH1:MKR1"/>
    <mergeCell ref="MFQ1:MGA1"/>
    <mergeCell ref="MGB1:MGL1"/>
    <mergeCell ref="MGM1:MGW1"/>
    <mergeCell ref="MGX1:MHH1"/>
    <mergeCell ref="MHI1:MHS1"/>
    <mergeCell ref="MHT1:MID1"/>
    <mergeCell ref="MDC1:MDM1"/>
    <mergeCell ref="MDN1:MDX1"/>
    <mergeCell ref="MDY1:MEI1"/>
    <mergeCell ref="MEJ1:MET1"/>
    <mergeCell ref="MEU1:MFE1"/>
    <mergeCell ref="MFF1:MFP1"/>
    <mergeCell ref="MPU1:MQE1"/>
    <mergeCell ref="MQF1:MQP1"/>
    <mergeCell ref="MQQ1:MRA1"/>
    <mergeCell ref="MRB1:MRL1"/>
    <mergeCell ref="MRM1:MRW1"/>
    <mergeCell ref="MRX1:MSH1"/>
    <mergeCell ref="MNG1:MNQ1"/>
    <mergeCell ref="MNR1:MOB1"/>
    <mergeCell ref="MOC1:MOM1"/>
    <mergeCell ref="MON1:MOX1"/>
    <mergeCell ref="MOY1:MPI1"/>
    <mergeCell ref="MPJ1:MPT1"/>
    <mergeCell ref="MKS1:MLC1"/>
    <mergeCell ref="MLD1:MLN1"/>
    <mergeCell ref="MLO1:MLY1"/>
    <mergeCell ref="MLZ1:MMJ1"/>
    <mergeCell ref="MMK1:MMU1"/>
    <mergeCell ref="MMV1:MNF1"/>
    <mergeCell ref="MXK1:MXU1"/>
    <mergeCell ref="MXV1:MYF1"/>
    <mergeCell ref="MYG1:MYQ1"/>
    <mergeCell ref="MYR1:MZB1"/>
    <mergeCell ref="MZC1:MZM1"/>
    <mergeCell ref="MZN1:MZX1"/>
    <mergeCell ref="MUW1:MVG1"/>
    <mergeCell ref="MVH1:MVR1"/>
    <mergeCell ref="MVS1:MWC1"/>
    <mergeCell ref="MWD1:MWN1"/>
    <mergeCell ref="MWO1:MWY1"/>
    <mergeCell ref="MWZ1:MXJ1"/>
    <mergeCell ref="MSI1:MSS1"/>
    <mergeCell ref="MST1:MTD1"/>
    <mergeCell ref="MTE1:MTO1"/>
    <mergeCell ref="MTP1:MTZ1"/>
    <mergeCell ref="MUA1:MUK1"/>
    <mergeCell ref="MUL1:MUV1"/>
    <mergeCell ref="NFA1:NFK1"/>
    <mergeCell ref="NFL1:NFV1"/>
    <mergeCell ref="NFW1:NGG1"/>
    <mergeCell ref="NGH1:NGR1"/>
    <mergeCell ref="NGS1:NHC1"/>
    <mergeCell ref="NHD1:NHN1"/>
    <mergeCell ref="NCM1:NCW1"/>
    <mergeCell ref="NCX1:NDH1"/>
    <mergeCell ref="NDI1:NDS1"/>
    <mergeCell ref="NDT1:NED1"/>
    <mergeCell ref="NEE1:NEO1"/>
    <mergeCell ref="NEP1:NEZ1"/>
    <mergeCell ref="MZY1:NAI1"/>
    <mergeCell ref="NAJ1:NAT1"/>
    <mergeCell ref="NAU1:NBE1"/>
    <mergeCell ref="NBF1:NBP1"/>
    <mergeCell ref="NBQ1:NCA1"/>
    <mergeCell ref="NCB1:NCL1"/>
    <mergeCell ref="NMQ1:NNA1"/>
    <mergeCell ref="NNB1:NNL1"/>
    <mergeCell ref="NNM1:NNW1"/>
    <mergeCell ref="NNX1:NOH1"/>
    <mergeCell ref="NOI1:NOS1"/>
    <mergeCell ref="NOT1:NPD1"/>
    <mergeCell ref="NKC1:NKM1"/>
    <mergeCell ref="NKN1:NKX1"/>
    <mergeCell ref="NKY1:NLI1"/>
    <mergeCell ref="NLJ1:NLT1"/>
    <mergeCell ref="NLU1:NME1"/>
    <mergeCell ref="NMF1:NMP1"/>
    <mergeCell ref="NHO1:NHY1"/>
    <mergeCell ref="NHZ1:NIJ1"/>
    <mergeCell ref="NIK1:NIU1"/>
    <mergeCell ref="NIV1:NJF1"/>
    <mergeCell ref="NJG1:NJQ1"/>
    <mergeCell ref="NJR1:NKB1"/>
    <mergeCell ref="NUG1:NUQ1"/>
    <mergeCell ref="NUR1:NVB1"/>
    <mergeCell ref="NVC1:NVM1"/>
    <mergeCell ref="NVN1:NVX1"/>
    <mergeCell ref="NVY1:NWI1"/>
    <mergeCell ref="NWJ1:NWT1"/>
    <mergeCell ref="NRS1:NSC1"/>
    <mergeCell ref="NSD1:NSN1"/>
    <mergeCell ref="NSO1:NSY1"/>
    <mergeCell ref="NSZ1:NTJ1"/>
    <mergeCell ref="NTK1:NTU1"/>
    <mergeCell ref="NTV1:NUF1"/>
    <mergeCell ref="NPE1:NPO1"/>
    <mergeCell ref="NPP1:NPZ1"/>
    <mergeCell ref="NQA1:NQK1"/>
    <mergeCell ref="NQL1:NQV1"/>
    <mergeCell ref="NQW1:NRG1"/>
    <mergeCell ref="NRH1:NRR1"/>
    <mergeCell ref="OBW1:OCG1"/>
    <mergeCell ref="OCH1:OCR1"/>
    <mergeCell ref="OCS1:ODC1"/>
    <mergeCell ref="ODD1:ODN1"/>
    <mergeCell ref="ODO1:ODY1"/>
    <mergeCell ref="ODZ1:OEJ1"/>
    <mergeCell ref="NZI1:NZS1"/>
    <mergeCell ref="NZT1:OAD1"/>
    <mergeCell ref="OAE1:OAO1"/>
    <mergeCell ref="OAP1:OAZ1"/>
    <mergeCell ref="OBA1:OBK1"/>
    <mergeCell ref="OBL1:OBV1"/>
    <mergeCell ref="NWU1:NXE1"/>
    <mergeCell ref="NXF1:NXP1"/>
    <mergeCell ref="NXQ1:NYA1"/>
    <mergeCell ref="NYB1:NYL1"/>
    <mergeCell ref="NYM1:NYW1"/>
    <mergeCell ref="NYX1:NZH1"/>
    <mergeCell ref="OJM1:OJW1"/>
    <mergeCell ref="OJX1:OKH1"/>
    <mergeCell ref="OKI1:OKS1"/>
    <mergeCell ref="OKT1:OLD1"/>
    <mergeCell ref="OLE1:OLO1"/>
    <mergeCell ref="OLP1:OLZ1"/>
    <mergeCell ref="OGY1:OHI1"/>
    <mergeCell ref="OHJ1:OHT1"/>
    <mergeCell ref="OHU1:OIE1"/>
    <mergeCell ref="OIF1:OIP1"/>
    <mergeCell ref="OIQ1:OJA1"/>
    <mergeCell ref="OJB1:OJL1"/>
    <mergeCell ref="OEK1:OEU1"/>
    <mergeCell ref="OEV1:OFF1"/>
    <mergeCell ref="OFG1:OFQ1"/>
    <mergeCell ref="OFR1:OGB1"/>
    <mergeCell ref="OGC1:OGM1"/>
    <mergeCell ref="OGN1:OGX1"/>
    <mergeCell ref="ORC1:ORM1"/>
    <mergeCell ref="ORN1:ORX1"/>
    <mergeCell ref="ORY1:OSI1"/>
    <mergeCell ref="OSJ1:OST1"/>
    <mergeCell ref="OSU1:OTE1"/>
    <mergeCell ref="OTF1:OTP1"/>
    <mergeCell ref="OOO1:OOY1"/>
    <mergeCell ref="OOZ1:OPJ1"/>
    <mergeCell ref="OPK1:OPU1"/>
    <mergeCell ref="OPV1:OQF1"/>
    <mergeCell ref="OQG1:OQQ1"/>
    <mergeCell ref="OQR1:ORB1"/>
    <mergeCell ref="OMA1:OMK1"/>
    <mergeCell ref="OML1:OMV1"/>
    <mergeCell ref="OMW1:ONG1"/>
    <mergeCell ref="ONH1:ONR1"/>
    <mergeCell ref="ONS1:OOC1"/>
    <mergeCell ref="OOD1:OON1"/>
    <mergeCell ref="OYS1:OZC1"/>
    <mergeCell ref="OZD1:OZN1"/>
    <mergeCell ref="OZO1:OZY1"/>
    <mergeCell ref="OZZ1:PAJ1"/>
    <mergeCell ref="PAK1:PAU1"/>
    <mergeCell ref="PAV1:PBF1"/>
    <mergeCell ref="OWE1:OWO1"/>
    <mergeCell ref="OWP1:OWZ1"/>
    <mergeCell ref="OXA1:OXK1"/>
    <mergeCell ref="OXL1:OXV1"/>
    <mergeCell ref="OXW1:OYG1"/>
    <mergeCell ref="OYH1:OYR1"/>
    <mergeCell ref="OTQ1:OUA1"/>
    <mergeCell ref="OUB1:OUL1"/>
    <mergeCell ref="OUM1:OUW1"/>
    <mergeCell ref="OUX1:OVH1"/>
    <mergeCell ref="OVI1:OVS1"/>
    <mergeCell ref="OVT1:OWD1"/>
    <mergeCell ref="PGI1:PGS1"/>
    <mergeCell ref="PGT1:PHD1"/>
    <mergeCell ref="PHE1:PHO1"/>
    <mergeCell ref="PHP1:PHZ1"/>
    <mergeCell ref="PIA1:PIK1"/>
    <mergeCell ref="PIL1:PIV1"/>
    <mergeCell ref="PDU1:PEE1"/>
    <mergeCell ref="PEF1:PEP1"/>
    <mergeCell ref="PEQ1:PFA1"/>
    <mergeCell ref="PFB1:PFL1"/>
    <mergeCell ref="PFM1:PFW1"/>
    <mergeCell ref="PFX1:PGH1"/>
    <mergeCell ref="PBG1:PBQ1"/>
    <mergeCell ref="PBR1:PCB1"/>
    <mergeCell ref="PCC1:PCM1"/>
    <mergeCell ref="PCN1:PCX1"/>
    <mergeCell ref="PCY1:PDI1"/>
    <mergeCell ref="PDJ1:PDT1"/>
    <mergeCell ref="PNY1:POI1"/>
    <mergeCell ref="POJ1:POT1"/>
    <mergeCell ref="POU1:PPE1"/>
    <mergeCell ref="PPF1:PPP1"/>
    <mergeCell ref="PPQ1:PQA1"/>
    <mergeCell ref="PQB1:PQL1"/>
    <mergeCell ref="PLK1:PLU1"/>
    <mergeCell ref="PLV1:PMF1"/>
    <mergeCell ref="PMG1:PMQ1"/>
    <mergeCell ref="PMR1:PNB1"/>
    <mergeCell ref="PNC1:PNM1"/>
    <mergeCell ref="PNN1:PNX1"/>
    <mergeCell ref="PIW1:PJG1"/>
    <mergeCell ref="PJH1:PJR1"/>
    <mergeCell ref="PJS1:PKC1"/>
    <mergeCell ref="PKD1:PKN1"/>
    <mergeCell ref="PKO1:PKY1"/>
    <mergeCell ref="PKZ1:PLJ1"/>
    <mergeCell ref="PVO1:PVY1"/>
    <mergeCell ref="PVZ1:PWJ1"/>
    <mergeCell ref="PWK1:PWU1"/>
    <mergeCell ref="PWV1:PXF1"/>
    <mergeCell ref="PXG1:PXQ1"/>
    <mergeCell ref="PXR1:PYB1"/>
    <mergeCell ref="PTA1:PTK1"/>
    <mergeCell ref="PTL1:PTV1"/>
    <mergeCell ref="PTW1:PUG1"/>
    <mergeCell ref="PUH1:PUR1"/>
    <mergeCell ref="PUS1:PVC1"/>
    <mergeCell ref="PVD1:PVN1"/>
    <mergeCell ref="PQM1:PQW1"/>
    <mergeCell ref="PQX1:PRH1"/>
    <mergeCell ref="PRI1:PRS1"/>
    <mergeCell ref="PRT1:PSD1"/>
    <mergeCell ref="PSE1:PSO1"/>
    <mergeCell ref="PSP1:PSZ1"/>
    <mergeCell ref="QDE1:QDO1"/>
    <mergeCell ref="QDP1:QDZ1"/>
    <mergeCell ref="QEA1:QEK1"/>
    <mergeCell ref="QEL1:QEV1"/>
    <mergeCell ref="QEW1:QFG1"/>
    <mergeCell ref="QFH1:QFR1"/>
    <mergeCell ref="QAQ1:QBA1"/>
    <mergeCell ref="QBB1:QBL1"/>
    <mergeCell ref="QBM1:QBW1"/>
    <mergeCell ref="QBX1:QCH1"/>
    <mergeCell ref="QCI1:QCS1"/>
    <mergeCell ref="QCT1:QDD1"/>
    <mergeCell ref="PYC1:PYM1"/>
    <mergeCell ref="PYN1:PYX1"/>
    <mergeCell ref="PYY1:PZI1"/>
    <mergeCell ref="PZJ1:PZT1"/>
    <mergeCell ref="PZU1:QAE1"/>
    <mergeCell ref="QAF1:QAP1"/>
    <mergeCell ref="QKU1:QLE1"/>
    <mergeCell ref="QLF1:QLP1"/>
    <mergeCell ref="QLQ1:QMA1"/>
    <mergeCell ref="QMB1:QML1"/>
    <mergeCell ref="QMM1:QMW1"/>
    <mergeCell ref="QMX1:QNH1"/>
    <mergeCell ref="QIG1:QIQ1"/>
    <mergeCell ref="QIR1:QJB1"/>
    <mergeCell ref="QJC1:QJM1"/>
    <mergeCell ref="QJN1:QJX1"/>
    <mergeCell ref="QJY1:QKI1"/>
    <mergeCell ref="QKJ1:QKT1"/>
    <mergeCell ref="QFS1:QGC1"/>
    <mergeCell ref="QGD1:QGN1"/>
    <mergeCell ref="QGO1:QGY1"/>
    <mergeCell ref="QGZ1:QHJ1"/>
    <mergeCell ref="QHK1:QHU1"/>
    <mergeCell ref="QHV1:QIF1"/>
    <mergeCell ref="QSK1:QSU1"/>
    <mergeCell ref="QSV1:QTF1"/>
    <mergeCell ref="QTG1:QTQ1"/>
    <mergeCell ref="QTR1:QUB1"/>
    <mergeCell ref="QUC1:QUM1"/>
    <mergeCell ref="QUN1:QUX1"/>
    <mergeCell ref="QPW1:QQG1"/>
    <mergeCell ref="QQH1:QQR1"/>
    <mergeCell ref="QQS1:QRC1"/>
    <mergeCell ref="QRD1:QRN1"/>
    <mergeCell ref="QRO1:QRY1"/>
    <mergeCell ref="QRZ1:QSJ1"/>
    <mergeCell ref="QNI1:QNS1"/>
    <mergeCell ref="QNT1:QOD1"/>
    <mergeCell ref="QOE1:QOO1"/>
    <mergeCell ref="QOP1:QOZ1"/>
    <mergeCell ref="QPA1:QPK1"/>
    <mergeCell ref="QPL1:QPV1"/>
    <mergeCell ref="RAA1:RAK1"/>
    <mergeCell ref="RAL1:RAV1"/>
    <mergeCell ref="RAW1:RBG1"/>
    <mergeCell ref="RBH1:RBR1"/>
    <mergeCell ref="RBS1:RCC1"/>
    <mergeCell ref="RCD1:RCN1"/>
    <mergeCell ref="QXM1:QXW1"/>
    <mergeCell ref="QXX1:QYH1"/>
    <mergeCell ref="QYI1:QYS1"/>
    <mergeCell ref="QYT1:QZD1"/>
    <mergeCell ref="QZE1:QZO1"/>
    <mergeCell ref="QZP1:QZZ1"/>
    <mergeCell ref="QUY1:QVI1"/>
    <mergeCell ref="QVJ1:QVT1"/>
    <mergeCell ref="QVU1:QWE1"/>
    <mergeCell ref="QWF1:QWP1"/>
    <mergeCell ref="QWQ1:QXA1"/>
    <mergeCell ref="QXB1:QXL1"/>
    <mergeCell ref="RHQ1:RIA1"/>
    <mergeCell ref="RIB1:RIL1"/>
    <mergeCell ref="RIM1:RIW1"/>
    <mergeCell ref="RIX1:RJH1"/>
    <mergeCell ref="RJI1:RJS1"/>
    <mergeCell ref="RJT1:RKD1"/>
    <mergeCell ref="RFC1:RFM1"/>
    <mergeCell ref="RFN1:RFX1"/>
    <mergeCell ref="RFY1:RGI1"/>
    <mergeCell ref="RGJ1:RGT1"/>
    <mergeCell ref="RGU1:RHE1"/>
    <mergeCell ref="RHF1:RHP1"/>
    <mergeCell ref="RCO1:RCY1"/>
    <mergeCell ref="RCZ1:RDJ1"/>
    <mergeCell ref="RDK1:RDU1"/>
    <mergeCell ref="RDV1:REF1"/>
    <mergeCell ref="REG1:REQ1"/>
    <mergeCell ref="RER1:RFB1"/>
    <mergeCell ref="RPG1:RPQ1"/>
    <mergeCell ref="RPR1:RQB1"/>
    <mergeCell ref="RQC1:RQM1"/>
    <mergeCell ref="RQN1:RQX1"/>
    <mergeCell ref="RQY1:RRI1"/>
    <mergeCell ref="RRJ1:RRT1"/>
    <mergeCell ref="RMS1:RNC1"/>
    <mergeCell ref="RND1:RNN1"/>
    <mergeCell ref="RNO1:RNY1"/>
    <mergeCell ref="RNZ1:ROJ1"/>
    <mergeCell ref="ROK1:ROU1"/>
    <mergeCell ref="ROV1:RPF1"/>
    <mergeCell ref="RKE1:RKO1"/>
    <mergeCell ref="RKP1:RKZ1"/>
    <mergeCell ref="RLA1:RLK1"/>
    <mergeCell ref="RLL1:RLV1"/>
    <mergeCell ref="RLW1:RMG1"/>
    <mergeCell ref="RMH1:RMR1"/>
    <mergeCell ref="RWW1:RXG1"/>
    <mergeCell ref="RXH1:RXR1"/>
    <mergeCell ref="RXS1:RYC1"/>
    <mergeCell ref="RYD1:RYN1"/>
    <mergeCell ref="RYO1:RYY1"/>
    <mergeCell ref="RYZ1:RZJ1"/>
    <mergeCell ref="RUI1:RUS1"/>
    <mergeCell ref="RUT1:RVD1"/>
    <mergeCell ref="RVE1:RVO1"/>
    <mergeCell ref="RVP1:RVZ1"/>
    <mergeCell ref="RWA1:RWK1"/>
    <mergeCell ref="RWL1:RWV1"/>
    <mergeCell ref="RRU1:RSE1"/>
    <mergeCell ref="RSF1:RSP1"/>
    <mergeCell ref="RSQ1:RTA1"/>
    <mergeCell ref="RTB1:RTL1"/>
    <mergeCell ref="RTM1:RTW1"/>
    <mergeCell ref="RTX1:RUH1"/>
    <mergeCell ref="SEM1:SEW1"/>
    <mergeCell ref="SEX1:SFH1"/>
    <mergeCell ref="SFI1:SFS1"/>
    <mergeCell ref="SFT1:SGD1"/>
    <mergeCell ref="SGE1:SGO1"/>
    <mergeCell ref="SGP1:SGZ1"/>
    <mergeCell ref="SBY1:SCI1"/>
    <mergeCell ref="SCJ1:SCT1"/>
    <mergeCell ref="SCU1:SDE1"/>
    <mergeCell ref="SDF1:SDP1"/>
    <mergeCell ref="SDQ1:SEA1"/>
    <mergeCell ref="SEB1:SEL1"/>
    <mergeCell ref="RZK1:RZU1"/>
    <mergeCell ref="RZV1:SAF1"/>
    <mergeCell ref="SAG1:SAQ1"/>
    <mergeCell ref="SAR1:SBB1"/>
    <mergeCell ref="SBC1:SBM1"/>
    <mergeCell ref="SBN1:SBX1"/>
    <mergeCell ref="SMC1:SMM1"/>
    <mergeCell ref="SMN1:SMX1"/>
    <mergeCell ref="SMY1:SNI1"/>
    <mergeCell ref="SNJ1:SNT1"/>
    <mergeCell ref="SNU1:SOE1"/>
    <mergeCell ref="SOF1:SOP1"/>
    <mergeCell ref="SJO1:SJY1"/>
    <mergeCell ref="SJZ1:SKJ1"/>
    <mergeCell ref="SKK1:SKU1"/>
    <mergeCell ref="SKV1:SLF1"/>
    <mergeCell ref="SLG1:SLQ1"/>
    <mergeCell ref="SLR1:SMB1"/>
    <mergeCell ref="SHA1:SHK1"/>
    <mergeCell ref="SHL1:SHV1"/>
    <mergeCell ref="SHW1:SIG1"/>
    <mergeCell ref="SIH1:SIR1"/>
    <mergeCell ref="SIS1:SJC1"/>
    <mergeCell ref="SJD1:SJN1"/>
    <mergeCell ref="STS1:SUC1"/>
    <mergeCell ref="SUD1:SUN1"/>
    <mergeCell ref="SUO1:SUY1"/>
    <mergeCell ref="SUZ1:SVJ1"/>
    <mergeCell ref="SVK1:SVU1"/>
    <mergeCell ref="SVV1:SWF1"/>
    <mergeCell ref="SRE1:SRO1"/>
    <mergeCell ref="SRP1:SRZ1"/>
    <mergeCell ref="SSA1:SSK1"/>
    <mergeCell ref="SSL1:SSV1"/>
    <mergeCell ref="SSW1:STG1"/>
    <mergeCell ref="STH1:STR1"/>
    <mergeCell ref="SOQ1:SPA1"/>
    <mergeCell ref="SPB1:SPL1"/>
    <mergeCell ref="SPM1:SPW1"/>
    <mergeCell ref="SPX1:SQH1"/>
    <mergeCell ref="SQI1:SQS1"/>
    <mergeCell ref="SQT1:SRD1"/>
    <mergeCell ref="TBI1:TBS1"/>
    <mergeCell ref="TBT1:TCD1"/>
    <mergeCell ref="TCE1:TCO1"/>
    <mergeCell ref="TCP1:TCZ1"/>
    <mergeCell ref="TDA1:TDK1"/>
    <mergeCell ref="TDL1:TDV1"/>
    <mergeCell ref="SYU1:SZE1"/>
    <mergeCell ref="SZF1:SZP1"/>
    <mergeCell ref="SZQ1:TAA1"/>
    <mergeCell ref="TAB1:TAL1"/>
    <mergeCell ref="TAM1:TAW1"/>
    <mergeCell ref="TAX1:TBH1"/>
    <mergeCell ref="SWG1:SWQ1"/>
    <mergeCell ref="SWR1:SXB1"/>
    <mergeCell ref="SXC1:SXM1"/>
    <mergeCell ref="SXN1:SXX1"/>
    <mergeCell ref="SXY1:SYI1"/>
    <mergeCell ref="SYJ1:SYT1"/>
    <mergeCell ref="TIY1:TJI1"/>
    <mergeCell ref="TJJ1:TJT1"/>
    <mergeCell ref="TJU1:TKE1"/>
    <mergeCell ref="TKF1:TKP1"/>
    <mergeCell ref="TKQ1:TLA1"/>
    <mergeCell ref="TLB1:TLL1"/>
    <mergeCell ref="TGK1:TGU1"/>
    <mergeCell ref="TGV1:THF1"/>
    <mergeCell ref="THG1:THQ1"/>
    <mergeCell ref="THR1:TIB1"/>
    <mergeCell ref="TIC1:TIM1"/>
    <mergeCell ref="TIN1:TIX1"/>
    <mergeCell ref="TDW1:TEG1"/>
    <mergeCell ref="TEH1:TER1"/>
    <mergeCell ref="TES1:TFC1"/>
    <mergeCell ref="TFD1:TFN1"/>
    <mergeCell ref="TFO1:TFY1"/>
    <mergeCell ref="TFZ1:TGJ1"/>
    <mergeCell ref="TQO1:TQY1"/>
    <mergeCell ref="TQZ1:TRJ1"/>
    <mergeCell ref="TRK1:TRU1"/>
    <mergeCell ref="TRV1:TSF1"/>
    <mergeCell ref="TSG1:TSQ1"/>
    <mergeCell ref="TSR1:TTB1"/>
    <mergeCell ref="TOA1:TOK1"/>
    <mergeCell ref="TOL1:TOV1"/>
    <mergeCell ref="TOW1:TPG1"/>
    <mergeCell ref="TPH1:TPR1"/>
    <mergeCell ref="TPS1:TQC1"/>
    <mergeCell ref="TQD1:TQN1"/>
    <mergeCell ref="TLM1:TLW1"/>
    <mergeCell ref="TLX1:TMH1"/>
    <mergeCell ref="TMI1:TMS1"/>
    <mergeCell ref="TMT1:TND1"/>
    <mergeCell ref="TNE1:TNO1"/>
    <mergeCell ref="TNP1:TNZ1"/>
    <mergeCell ref="TYE1:TYO1"/>
    <mergeCell ref="TYP1:TYZ1"/>
    <mergeCell ref="TZA1:TZK1"/>
    <mergeCell ref="TZL1:TZV1"/>
    <mergeCell ref="TZW1:UAG1"/>
    <mergeCell ref="UAH1:UAR1"/>
    <mergeCell ref="TVQ1:TWA1"/>
    <mergeCell ref="TWB1:TWL1"/>
    <mergeCell ref="TWM1:TWW1"/>
    <mergeCell ref="TWX1:TXH1"/>
    <mergeCell ref="TXI1:TXS1"/>
    <mergeCell ref="TXT1:TYD1"/>
    <mergeCell ref="TTC1:TTM1"/>
    <mergeCell ref="TTN1:TTX1"/>
    <mergeCell ref="TTY1:TUI1"/>
    <mergeCell ref="TUJ1:TUT1"/>
    <mergeCell ref="TUU1:TVE1"/>
    <mergeCell ref="TVF1:TVP1"/>
    <mergeCell ref="UFU1:UGE1"/>
    <mergeCell ref="UGF1:UGP1"/>
    <mergeCell ref="UGQ1:UHA1"/>
    <mergeCell ref="UHB1:UHL1"/>
    <mergeCell ref="UHM1:UHW1"/>
    <mergeCell ref="UHX1:UIH1"/>
    <mergeCell ref="UDG1:UDQ1"/>
    <mergeCell ref="UDR1:UEB1"/>
    <mergeCell ref="UEC1:UEM1"/>
    <mergeCell ref="UEN1:UEX1"/>
    <mergeCell ref="UEY1:UFI1"/>
    <mergeCell ref="UFJ1:UFT1"/>
    <mergeCell ref="UAS1:UBC1"/>
    <mergeCell ref="UBD1:UBN1"/>
    <mergeCell ref="UBO1:UBY1"/>
    <mergeCell ref="UBZ1:UCJ1"/>
    <mergeCell ref="UCK1:UCU1"/>
    <mergeCell ref="UCV1:UDF1"/>
    <mergeCell ref="UNK1:UNU1"/>
    <mergeCell ref="UNV1:UOF1"/>
    <mergeCell ref="UOG1:UOQ1"/>
    <mergeCell ref="UOR1:UPB1"/>
    <mergeCell ref="UPC1:UPM1"/>
    <mergeCell ref="UPN1:UPX1"/>
    <mergeCell ref="UKW1:ULG1"/>
    <mergeCell ref="ULH1:ULR1"/>
    <mergeCell ref="ULS1:UMC1"/>
    <mergeCell ref="UMD1:UMN1"/>
    <mergeCell ref="UMO1:UMY1"/>
    <mergeCell ref="UMZ1:UNJ1"/>
    <mergeCell ref="UII1:UIS1"/>
    <mergeCell ref="UIT1:UJD1"/>
    <mergeCell ref="UJE1:UJO1"/>
    <mergeCell ref="UJP1:UJZ1"/>
    <mergeCell ref="UKA1:UKK1"/>
    <mergeCell ref="UKL1:UKV1"/>
    <mergeCell ref="UVA1:UVK1"/>
    <mergeCell ref="UVL1:UVV1"/>
    <mergeCell ref="UVW1:UWG1"/>
    <mergeCell ref="UWH1:UWR1"/>
    <mergeCell ref="UWS1:UXC1"/>
    <mergeCell ref="UXD1:UXN1"/>
    <mergeCell ref="USM1:USW1"/>
    <mergeCell ref="USX1:UTH1"/>
    <mergeCell ref="UTI1:UTS1"/>
    <mergeCell ref="UTT1:UUD1"/>
    <mergeCell ref="UUE1:UUO1"/>
    <mergeCell ref="UUP1:UUZ1"/>
    <mergeCell ref="UPY1:UQI1"/>
    <mergeCell ref="UQJ1:UQT1"/>
    <mergeCell ref="UQU1:URE1"/>
    <mergeCell ref="URF1:URP1"/>
    <mergeCell ref="URQ1:USA1"/>
    <mergeCell ref="USB1:USL1"/>
    <mergeCell ref="VCQ1:VDA1"/>
    <mergeCell ref="VDB1:VDL1"/>
    <mergeCell ref="VDM1:VDW1"/>
    <mergeCell ref="VDX1:VEH1"/>
    <mergeCell ref="VEI1:VES1"/>
    <mergeCell ref="VET1:VFD1"/>
    <mergeCell ref="VAC1:VAM1"/>
    <mergeCell ref="VAN1:VAX1"/>
    <mergeCell ref="VAY1:VBI1"/>
    <mergeCell ref="VBJ1:VBT1"/>
    <mergeCell ref="VBU1:VCE1"/>
    <mergeCell ref="VCF1:VCP1"/>
    <mergeCell ref="UXO1:UXY1"/>
    <mergeCell ref="UXZ1:UYJ1"/>
    <mergeCell ref="UYK1:UYU1"/>
    <mergeCell ref="UYV1:UZF1"/>
    <mergeCell ref="UZG1:UZQ1"/>
    <mergeCell ref="UZR1:VAB1"/>
    <mergeCell ref="VKG1:VKQ1"/>
    <mergeCell ref="VKR1:VLB1"/>
    <mergeCell ref="VLC1:VLM1"/>
    <mergeCell ref="VLN1:VLX1"/>
    <mergeCell ref="VLY1:VMI1"/>
    <mergeCell ref="VMJ1:VMT1"/>
    <mergeCell ref="VHS1:VIC1"/>
    <mergeCell ref="VID1:VIN1"/>
    <mergeCell ref="VIO1:VIY1"/>
    <mergeCell ref="VIZ1:VJJ1"/>
    <mergeCell ref="VJK1:VJU1"/>
    <mergeCell ref="VJV1:VKF1"/>
    <mergeCell ref="VFE1:VFO1"/>
    <mergeCell ref="VFP1:VFZ1"/>
    <mergeCell ref="VGA1:VGK1"/>
    <mergeCell ref="VGL1:VGV1"/>
    <mergeCell ref="VGW1:VHG1"/>
    <mergeCell ref="VHH1:VHR1"/>
    <mergeCell ref="VRW1:VSG1"/>
    <mergeCell ref="VSH1:VSR1"/>
    <mergeCell ref="VSS1:VTC1"/>
    <mergeCell ref="VTD1:VTN1"/>
    <mergeCell ref="VTO1:VTY1"/>
    <mergeCell ref="VTZ1:VUJ1"/>
    <mergeCell ref="VPI1:VPS1"/>
    <mergeCell ref="VPT1:VQD1"/>
    <mergeCell ref="VQE1:VQO1"/>
    <mergeCell ref="VQP1:VQZ1"/>
    <mergeCell ref="VRA1:VRK1"/>
    <mergeCell ref="VRL1:VRV1"/>
    <mergeCell ref="VMU1:VNE1"/>
    <mergeCell ref="VNF1:VNP1"/>
    <mergeCell ref="VNQ1:VOA1"/>
    <mergeCell ref="VOB1:VOL1"/>
    <mergeCell ref="VOM1:VOW1"/>
    <mergeCell ref="VOX1:VPH1"/>
    <mergeCell ref="VZM1:VZW1"/>
    <mergeCell ref="VZX1:WAH1"/>
    <mergeCell ref="WAI1:WAS1"/>
    <mergeCell ref="WAT1:WBD1"/>
    <mergeCell ref="WBE1:WBO1"/>
    <mergeCell ref="WBP1:WBZ1"/>
    <mergeCell ref="VWY1:VXI1"/>
    <mergeCell ref="VXJ1:VXT1"/>
    <mergeCell ref="VXU1:VYE1"/>
    <mergeCell ref="VYF1:VYP1"/>
    <mergeCell ref="VYQ1:VZA1"/>
    <mergeCell ref="VZB1:VZL1"/>
    <mergeCell ref="VUK1:VUU1"/>
    <mergeCell ref="VUV1:VVF1"/>
    <mergeCell ref="VVG1:VVQ1"/>
    <mergeCell ref="VVR1:VWB1"/>
    <mergeCell ref="VWC1:VWM1"/>
    <mergeCell ref="VWN1:VWX1"/>
    <mergeCell ref="WHC1:WHM1"/>
    <mergeCell ref="WHN1:WHX1"/>
    <mergeCell ref="WHY1:WII1"/>
    <mergeCell ref="WIJ1:WIT1"/>
    <mergeCell ref="WIU1:WJE1"/>
    <mergeCell ref="WJF1:WJP1"/>
    <mergeCell ref="WEO1:WEY1"/>
    <mergeCell ref="WEZ1:WFJ1"/>
    <mergeCell ref="WFK1:WFU1"/>
    <mergeCell ref="WFV1:WGF1"/>
    <mergeCell ref="WGG1:WGQ1"/>
    <mergeCell ref="WGR1:WHB1"/>
    <mergeCell ref="WCA1:WCK1"/>
    <mergeCell ref="WCL1:WCV1"/>
    <mergeCell ref="WCW1:WDG1"/>
    <mergeCell ref="WDH1:WDR1"/>
    <mergeCell ref="WDS1:WEC1"/>
    <mergeCell ref="WED1:WEN1"/>
    <mergeCell ref="WSC1:WSM1"/>
    <mergeCell ref="WSN1:WSX1"/>
    <mergeCell ref="WSY1:WTI1"/>
    <mergeCell ref="WTJ1:WTT1"/>
    <mergeCell ref="WOS1:WPC1"/>
    <mergeCell ref="WPD1:WPN1"/>
    <mergeCell ref="WPO1:WPY1"/>
    <mergeCell ref="WPZ1:WQJ1"/>
    <mergeCell ref="WQK1:WQU1"/>
    <mergeCell ref="WQV1:WRF1"/>
    <mergeCell ref="WME1:WMO1"/>
    <mergeCell ref="WMP1:WMZ1"/>
    <mergeCell ref="WNA1:WNK1"/>
    <mergeCell ref="WNL1:WNV1"/>
    <mergeCell ref="WNW1:WOG1"/>
    <mergeCell ref="WOH1:WOR1"/>
    <mergeCell ref="WJQ1:WKA1"/>
    <mergeCell ref="WKB1:WKL1"/>
    <mergeCell ref="WKM1:WKW1"/>
    <mergeCell ref="WKX1:WLH1"/>
    <mergeCell ref="WLI1:WLS1"/>
    <mergeCell ref="WLT1:WMD1"/>
    <mergeCell ref="XDY1:XEI1"/>
    <mergeCell ref="XEJ1:XET1"/>
    <mergeCell ref="XEU1:XEY1"/>
    <mergeCell ref="A2:D2"/>
    <mergeCell ref="A3:D3"/>
    <mergeCell ref="A4:D4"/>
    <mergeCell ref="XBK1:XBU1"/>
    <mergeCell ref="XBV1:XCF1"/>
    <mergeCell ref="XCG1:XCQ1"/>
    <mergeCell ref="XCR1:XDB1"/>
    <mergeCell ref="XDC1:XDM1"/>
    <mergeCell ref="XDN1:XDX1"/>
    <mergeCell ref="WYW1:WZG1"/>
    <mergeCell ref="WZH1:WZR1"/>
    <mergeCell ref="WZS1:XAC1"/>
    <mergeCell ref="XAD1:XAN1"/>
    <mergeCell ref="XAO1:XAY1"/>
    <mergeCell ref="XAZ1:XBJ1"/>
    <mergeCell ref="WWI1:WWS1"/>
    <mergeCell ref="WWT1:WXD1"/>
    <mergeCell ref="WXE1:WXO1"/>
    <mergeCell ref="WXP1:WXZ1"/>
    <mergeCell ref="WYA1:WYK1"/>
    <mergeCell ref="WYL1:WYV1"/>
    <mergeCell ref="WTU1:WUE1"/>
    <mergeCell ref="WUF1:WUP1"/>
    <mergeCell ref="WUQ1:WVA1"/>
    <mergeCell ref="WVB1:WVL1"/>
    <mergeCell ref="WVM1:WVW1"/>
    <mergeCell ref="WVX1:WWH1"/>
    <mergeCell ref="WRG1:WRQ1"/>
    <mergeCell ref="WRR1:WSB1"/>
    <mergeCell ref="CI6:CL6"/>
    <mergeCell ref="CQ6:CT6"/>
    <mergeCell ref="CY6:DB6"/>
    <mergeCell ref="DG6:DJ6"/>
    <mergeCell ref="DO6:DR6"/>
    <mergeCell ref="DW6:DZ6"/>
    <mergeCell ref="AM6:AP6"/>
    <mergeCell ref="AU6:AX6"/>
    <mergeCell ref="BC6:BF6"/>
    <mergeCell ref="BK6:BN6"/>
    <mergeCell ref="BS6:BV6"/>
    <mergeCell ref="CA6:CD6"/>
    <mergeCell ref="A5:D5"/>
    <mergeCell ref="A6:D6"/>
    <mergeCell ref="G6:J6"/>
    <mergeCell ref="O6:R6"/>
    <mergeCell ref="W6:Z6"/>
    <mergeCell ref="AE6:AH6"/>
    <mergeCell ref="HW6:HZ6"/>
    <mergeCell ref="IE6:IH6"/>
    <mergeCell ref="IM6:IP6"/>
    <mergeCell ref="IU6:IX6"/>
    <mergeCell ref="JC6:JF6"/>
    <mergeCell ref="JK6:JN6"/>
    <mergeCell ref="GA6:GD6"/>
    <mergeCell ref="GI6:GL6"/>
    <mergeCell ref="GQ6:GT6"/>
    <mergeCell ref="GY6:HB6"/>
    <mergeCell ref="HG6:HJ6"/>
    <mergeCell ref="HO6:HR6"/>
    <mergeCell ref="EE6:EH6"/>
    <mergeCell ref="EM6:EP6"/>
    <mergeCell ref="EU6:EX6"/>
    <mergeCell ref="FC6:FF6"/>
    <mergeCell ref="FK6:FN6"/>
    <mergeCell ref="FS6:FV6"/>
    <mergeCell ref="NK6:NN6"/>
    <mergeCell ref="NS6:NV6"/>
    <mergeCell ref="OA6:OD6"/>
    <mergeCell ref="OI6:OL6"/>
    <mergeCell ref="OQ6:OT6"/>
    <mergeCell ref="OY6:PB6"/>
    <mergeCell ref="LO6:LR6"/>
    <mergeCell ref="LW6:LZ6"/>
    <mergeCell ref="ME6:MH6"/>
    <mergeCell ref="MM6:MP6"/>
    <mergeCell ref="MU6:MX6"/>
    <mergeCell ref="NC6:NF6"/>
    <mergeCell ref="JS6:JV6"/>
    <mergeCell ref="KA6:KD6"/>
    <mergeCell ref="KI6:KL6"/>
    <mergeCell ref="KQ6:KT6"/>
    <mergeCell ref="KY6:LB6"/>
    <mergeCell ref="LG6:LJ6"/>
    <mergeCell ref="SY6:TB6"/>
    <mergeCell ref="TG6:TJ6"/>
    <mergeCell ref="TO6:TR6"/>
    <mergeCell ref="TW6:TZ6"/>
    <mergeCell ref="UE6:UH6"/>
    <mergeCell ref="UM6:UP6"/>
    <mergeCell ref="RC6:RF6"/>
    <mergeCell ref="RK6:RN6"/>
    <mergeCell ref="RS6:RV6"/>
    <mergeCell ref="SA6:SD6"/>
    <mergeCell ref="SI6:SL6"/>
    <mergeCell ref="SQ6:ST6"/>
    <mergeCell ref="PG6:PJ6"/>
    <mergeCell ref="PO6:PR6"/>
    <mergeCell ref="PW6:PZ6"/>
    <mergeCell ref="QE6:QH6"/>
    <mergeCell ref="QM6:QP6"/>
    <mergeCell ref="QU6:QX6"/>
    <mergeCell ref="YM6:YP6"/>
    <mergeCell ref="YU6:YX6"/>
    <mergeCell ref="ZC6:ZF6"/>
    <mergeCell ref="ZK6:ZN6"/>
    <mergeCell ref="ZS6:ZV6"/>
    <mergeCell ref="AAA6:AAD6"/>
    <mergeCell ref="WQ6:WT6"/>
    <mergeCell ref="WY6:XB6"/>
    <mergeCell ref="XG6:XJ6"/>
    <mergeCell ref="XO6:XR6"/>
    <mergeCell ref="XW6:XZ6"/>
    <mergeCell ref="YE6:YH6"/>
    <mergeCell ref="UU6:UX6"/>
    <mergeCell ref="VC6:VF6"/>
    <mergeCell ref="VK6:VN6"/>
    <mergeCell ref="VS6:VV6"/>
    <mergeCell ref="WA6:WD6"/>
    <mergeCell ref="WI6:WL6"/>
    <mergeCell ref="AEA6:AED6"/>
    <mergeCell ref="AEI6:AEL6"/>
    <mergeCell ref="AEQ6:AET6"/>
    <mergeCell ref="AEY6:AFB6"/>
    <mergeCell ref="AFG6:AFJ6"/>
    <mergeCell ref="AFO6:AFR6"/>
    <mergeCell ref="ACE6:ACH6"/>
    <mergeCell ref="ACM6:ACP6"/>
    <mergeCell ref="ACU6:ACX6"/>
    <mergeCell ref="ADC6:ADF6"/>
    <mergeCell ref="ADK6:ADN6"/>
    <mergeCell ref="ADS6:ADV6"/>
    <mergeCell ref="AAI6:AAL6"/>
    <mergeCell ref="AAQ6:AAT6"/>
    <mergeCell ref="AAY6:ABB6"/>
    <mergeCell ref="ABG6:ABJ6"/>
    <mergeCell ref="ABO6:ABR6"/>
    <mergeCell ref="ABW6:ABZ6"/>
    <mergeCell ref="AJO6:AJR6"/>
    <mergeCell ref="AJW6:AJZ6"/>
    <mergeCell ref="AKE6:AKH6"/>
    <mergeCell ref="AKM6:AKP6"/>
    <mergeCell ref="AKU6:AKX6"/>
    <mergeCell ref="ALC6:ALF6"/>
    <mergeCell ref="AHS6:AHV6"/>
    <mergeCell ref="AIA6:AID6"/>
    <mergeCell ref="AII6:AIL6"/>
    <mergeCell ref="AIQ6:AIT6"/>
    <mergeCell ref="AIY6:AJB6"/>
    <mergeCell ref="AJG6:AJJ6"/>
    <mergeCell ref="AFW6:AFZ6"/>
    <mergeCell ref="AGE6:AGH6"/>
    <mergeCell ref="AGM6:AGP6"/>
    <mergeCell ref="AGU6:AGX6"/>
    <mergeCell ref="AHC6:AHF6"/>
    <mergeCell ref="AHK6:AHN6"/>
    <mergeCell ref="APC6:APF6"/>
    <mergeCell ref="APK6:APN6"/>
    <mergeCell ref="APS6:APV6"/>
    <mergeCell ref="AQA6:AQD6"/>
    <mergeCell ref="AQI6:AQL6"/>
    <mergeCell ref="AQQ6:AQT6"/>
    <mergeCell ref="ANG6:ANJ6"/>
    <mergeCell ref="ANO6:ANR6"/>
    <mergeCell ref="ANW6:ANZ6"/>
    <mergeCell ref="AOE6:AOH6"/>
    <mergeCell ref="AOM6:AOP6"/>
    <mergeCell ref="AOU6:AOX6"/>
    <mergeCell ref="ALK6:ALN6"/>
    <mergeCell ref="ALS6:ALV6"/>
    <mergeCell ref="AMA6:AMD6"/>
    <mergeCell ref="AMI6:AML6"/>
    <mergeCell ref="AMQ6:AMT6"/>
    <mergeCell ref="AMY6:ANB6"/>
    <mergeCell ref="AUQ6:AUT6"/>
    <mergeCell ref="AUY6:AVB6"/>
    <mergeCell ref="AVG6:AVJ6"/>
    <mergeCell ref="AVO6:AVR6"/>
    <mergeCell ref="AVW6:AVZ6"/>
    <mergeCell ref="AWE6:AWH6"/>
    <mergeCell ref="ASU6:ASX6"/>
    <mergeCell ref="ATC6:ATF6"/>
    <mergeCell ref="ATK6:ATN6"/>
    <mergeCell ref="ATS6:ATV6"/>
    <mergeCell ref="AUA6:AUD6"/>
    <mergeCell ref="AUI6:AUL6"/>
    <mergeCell ref="AQY6:ARB6"/>
    <mergeCell ref="ARG6:ARJ6"/>
    <mergeCell ref="ARO6:ARR6"/>
    <mergeCell ref="ARW6:ARZ6"/>
    <mergeCell ref="ASE6:ASH6"/>
    <mergeCell ref="ASM6:ASP6"/>
    <mergeCell ref="BAE6:BAH6"/>
    <mergeCell ref="BAM6:BAP6"/>
    <mergeCell ref="BAU6:BAX6"/>
    <mergeCell ref="BBC6:BBF6"/>
    <mergeCell ref="BBK6:BBN6"/>
    <mergeCell ref="BBS6:BBV6"/>
    <mergeCell ref="AYI6:AYL6"/>
    <mergeCell ref="AYQ6:AYT6"/>
    <mergeCell ref="AYY6:AZB6"/>
    <mergeCell ref="AZG6:AZJ6"/>
    <mergeCell ref="AZO6:AZR6"/>
    <mergeCell ref="AZW6:AZZ6"/>
    <mergeCell ref="AWM6:AWP6"/>
    <mergeCell ref="AWU6:AWX6"/>
    <mergeCell ref="AXC6:AXF6"/>
    <mergeCell ref="AXK6:AXN6"/>
    <mergeCell ref="AXS6:AXV6"/>
    <mergeCell ref="AYA6:AYD6"/>
    <mergeCell ref="BFS6:BFV6"/>
    <mergeCell ref="BGA6:BGD6"/>
    <mergeCell ref="BGI6:BGL6"/>
    <mergeCell ref="BGQ6:BGT6"/>
    <mergeCell ref="BGY6:BHB6"/>
    <mergeCell ref="BHG6:BHJ6"/>
    <mergeCell ref="BDW6:BDZ6"/>
    <mergeCell ref="BEE6:BEH6"/>
    <mergeCell ref="BEM6:BEP6"/>
    <mergeCell ref="BEU6:BEX6"/>
    <mergeCell ref="BFC6:BFF6"/>
    <mergeCell ref="BFK6:BFN6"/>
    <mergeCell ref="BCA6:BCD6"/>
    <mergeCell ref="BCI6:BCL6"/>
    <mergeCell ref="BCQ6:BCT6"/>
    <mergeCell ref="BCY6:BDB6"/>
    <mergeCell ref="BDG6:BDJ6"/>
    <mergeCell ref="BDO6:BDR6"/>
    <mergeCell ref="BLG6:BLJ6"/>
    <mergeCell ref="BLO6:BLR6"/>
    <mergeCell ref="BLW6:BLZ6"/>
    <mergeCell ref="BME6:BMH6"/>
    <mergeCell ref="BMM6:BMP6"/>
    <mergeCell ref="BMU6:BMX6"/>
    <mergeCell ref="BJK6:BJN6"/>
    <mergeCell ref="BJS6:BJV6"/>
    <mergeCell ref="BKA6:BKD6"/>
    <mergeCell ref="BKI6:BKL6"/>
    <mergeCell ref="BKQ6:BKT6"/>
    <mergeCell ref="BKY6:BLB6"/>
    <mergeCell ref="BHO6:BHR6"/>
    <mergeCell ref="BHW6:BHZ6"/>
    <mergeCell ref="BIE6:BIH6"/>
    <mergeCell ref="BIM6:BIP6"/>
    <mergeCell ref="BIU6:BIX6"/>
    <mergeCell ref="BJC6:BJF6"/>
    <mergeCell ref="BQU6:BQX6"/>
    <mergeCell ref="BRC6:BRF6"/>
    <mergeCell ref="BRK6:BRN6"/>
    <mergeCell ref="BRS6:BRV6"/>
    <mergeCell ref="BSA6:BSD6"/>
    <mergeCell ref="BSI6:BSL6"/>
    <mergeCell ref="BOY6:BPB6"/>
    <mergeCell ref="BPG6:BPJ6"/>
    <mergeCell ref="BPO6:BPR6"/>
    <mergeCell ref="BPW6:BPZ6"/>
    <mergeCell ref="BQE6:BQH6"/>
    <mergeCell ref="BQM6:BQP6"/>
    <mergeCell ref="BNC6:BNF6"/>
    <mergeCell ref="BNK6:BNN6"/>
    <mergeCell ref="BNS6:BNV6"/>
    <mergeCell ref="BOA6:BOD6"/>
    <mergeCell ref="BOI6:BOL6"/>
    <mergeCell ref="BOQ6:BOT6"/>
    <mergeCell ref="BWI6:BWL6"/>
    <mergeCell ref="BWQ6:BWT6"/>
    <mergeCell ref="BWY6:BXB6"/>
    <mergeCell ref="BXG6:BXJ6"/>
    <mergeCell ref="BXO6:BXR6"/>
    <mergeCell ref="BXW6:BXZ6"/>
    <mergeCell ref="BUM6:BUP6"/>
    <mergeCell ref="BUU6:BUX6"/>
    <mergeCell ref="BVC6:BVF6"/>
    <mergeCell ref="BVK6:BVN6"/>
    <mergeCell ref="BVS6:BVV6"/>
    <mergeCell ref="BWA6:BWD6"/>
    <mergeCell ref="BSQ6:BST6"/>
    <mergeCell ref="BSY6:BTB6"/>
    <mergeCell ref="BTG6:BTJ6"/>
    <mergeCell ref="BTO6:BTR6"/>
    <mergeCell ref="BTW6:BTZ6"/>
    <mergeCell ref="BUE6:BUH6"/>
    <mergeCell ref="CBW6:CBZ6"/>
    <mergeCell ref="CCE6:CCH6"/>
    <mergeCell ref="CCM6:CCP6"/>
    <mergeCell ref="CCU6:CCX6"/>
    <mergeCell ref="CDC6:CDF6"/>
    <mergeCell ref="CDK6:CDN6"/>
    <mergeCell ref="CAA6:CAD6"/>
    <mergeCell ref="CAI6:CAL6"/>
    <mergeCell ref="CAQ6:CAT6"/>
    <mergeCell ref="CAY6:CBB6"/>
    <mergeCell ref="CBG6:CBJ6"/>
    <mergeCell ref="CBO6:CBR6"/>
    <mergeCell ref="BYE6:BYH6"/>
    <mergeCell ref="BYM6:BYP6"/>
    <mergeCell ref="BYU6:BYX6"/>
    <mergeCell ref="BZC6:BZF6"/>
    <mergeCell ref="BZK6:BZN6"/>
    <mergeCell ref="BZS6:BZV6"/>
    <mergeCell ref="CHK6:CHN6"/>
    <mergeCell ref="CHS6:CHV6"/>
    <mergeCell ref="CIA6:CID6"/>
    <mergeCell ref="CII6:CIL6"/>
    <mergeCell ref="CIQ6:CIT6"/>
    <mergeCell ref="CIY6:CJB6"/>
    <mergeCell ref="CFO6:CFR6"/>
    <mergeCell ref="CFW6:CFZ6"/>
    <mergeCell ref="CGE6:CGH6"/>
    <mergeCell ref="CGM6:CGP6"/>
    <mergeCell ref="CGU6:CGX6"/>
    <mergeCell ref="CHC6:CHF6"/>
    <mergeCell ref="CDS6:CDV6"/>
    <mergeCell ref="CEA6:CED6"/>
    <mergeCell ref="CEI6:CEL6"/>
    <mergeCell ref="CEQ6:CET6"/>
    <mergeCell ref="CEY6:CFB6"/>
    <mergeCell ref="CFG6:CFJ6"/>
    <mergeCell ref="CMY6:CNB6"/>
    <mergeCell ref="CNG6:CNJ6"/>
    <mergeCell ref="CNO6:CNR6"/>
    <mergeCell ref="CNW6:CNZ6"/>
    <mergeCell ref="COE6:COH6"/>
    <mergeCell ref="COM6:COP6"/>
    <mergeCell ref="CLC6:CLF6"/>
    <mergeCell ref="CLK6:CLN6"/>
    <mergeCell ref="CLS6:CLV6"/>
    <mergeCell ref="CMA6:CMD6"/>
    <mergeCell ref="CMI6:CML6"/>
    <mergeCell ref="CMQ6:CMT6"/>
    <mergeCell ref="CJG6:CJJ6"/>
    <mergeCell ref="CJO6:CJR6"/>
    <mergeCell ref="CJW6:CJZ6"/>
    <mergeCell ref="CKE6:CKH6"/>
    <mergeCell ref="CKM6:CKP6"/>
    <mergeCell ref="CKU6:CKX6"/>
    <mergeCell ref="CSM6:CSP6"/>
    <mergeCell ref="CSU6:CSX6"/>
    <mergeCell ref="CTC6:CTF6"/>
    <mergeCell ref="CTK6:CTN6"/>
    <mergeCell ref="CTS6:CTV6"/>
    <mergeCell ref="CUA6:CUD6"/>
    <mergeCell ref="CQQ6:CQT6"/>
    <mergeCell ref="CQY6:CRB6"/>
    <mergeCell ref="CRG6:CRJ6"/>
    <mergeCell ref="CRO6:CRR6"/>
    <mergeCell ref="CRW6:CRZ6"/>
    <mergeCell ref="CSE6:CSH6"/>
    <mergeCell ref="COU6:COX6"/>
    <mergeCell ref="CPC6:CPF6"/>
    <mergeCell ref="CPK6:CPN6"/>
    <mergeCell ref="CPS6:CPV6"/>
    <mergeCell ref="CQA6:CQD6"/>
    <mergeCell ref="CQI6:CQL6"/>
    <mergeCell ref="CYA6:CYD6"/>
    <mergeCell ref="CYI6:CYL6"/>
    <mergeCell ref="CYQ6:CYT6"/>
    <mergeCell ref="CYY6:CZB6"/>
    <mergeCell ref="CZG6:CZJ6"/>
    <mergeCell ref="CZO6:CZR6"/>
    <mergeCell ref="CWE6:CWH6"/>
    <mergeCell ref="CWM6:CWP6"/>
    <mergeCell ref="CWU6:CWX6"/>
    <mergeCell ref="CXC6:CXF6"/>
    <mergeCell ref="CXK6:CXN6"/>
    <mergeCell ref="CXS6:CXV6"/>
    <mergeCell ref="CUI6:CUL6"/>
    <mergeCell ref="CUQ6:CUT6"/>
    <mergeCell ref="CUY6:CVB6"/>
    <mergeCell ref="CVG6:CVJ6"/>
    <mergeCell ref="CVO6:CVR6"/>
    <mergeCell ref="CVW6:CVZ6"/>
    <mergeCell ref="DDO6:DDR6"/>
    <mergeCell ref="DDW6:DDZ6"/>
    <mergeCell ref="DEE6:DEH6"/>
    <mergeCell ref="DEM6:DEP6"/>
    <mergeCell ref="DEU6:DEX6"/>
    <mergeCell ref="DFC6:DFF6"/>
    <mergeCell ref="DBS6:DBV6"/>
    <mergeCell ref="DCA6:DCD6"/>
    <mergeCell ref="DCI6:DCL6"/>
    <mergeCell ref="DCQ6:DCT6"/>
    <mergeCell ref="DCY6:DDB6"/>
    <mergeCell ref="DDG6:DDJ6"/>
    <mergeCell ref="CZW6:CZZ6"/>
    <mergeCell ref="DAE6:DAH6"/>
    <mergeCell ref="DAM6:DAP6"/>
    <mergeCell ref="DAU6:DAX6"/>
    <mergeCell ref="DBC6:DBF6"/>
    <mergeCell ref="DBK6:DBN6"/>
    <mergeCell ref="DJC6:DJF6"/>
    <mergeCell ref="DJK6:DJN6"/>
    <mergeCell ref="DJS6:DJV6"/>
    <mergeCell ref="DKA6:DKD6"/>
    <mergeCell ref="DKI6:DKL6"/>
    <mergeCell ref="DKQ6:DKT6"/>
    <mergeCell ref="DHG6:DHJ6"/>
    <mergeCell ref="DHO6:DHR6"/>
    <mergeCell ref="DHW6:DHZ6"/>
    <mergeCell ref="DIE6:DIH6"/>
    <mergeCell ref="DIM6:DIP6"/>
    <mergeCell ref="DIU6:DIX6"/>
    <mergeCell ref="DFK6:DFN6"/>
    <mergeCell ref="DFS6:DFV6"/>
    <mergeCell ref="DGA6:DGD6"/>
    <mergeCell ref="DGI6:DGL6"/>
    <mergeCell ref="DGQ6:DGT6"/>
    <mergeCell ref="DGY6:DHB6"/>
    <mergeCell ref="DOQ6:DOT6"/>
    <mergeCell ref="DOY6:DPB6"/>
    <mergeCell ref="DPG6:DPJ6"/>
    <mergeCell ref="DPO6:DPR6"/>
    <mergeCell ref="DPW6:DPZ6"/>
    <mergeCell ref="DQE6:DQH6"/>
    <mergeCell ref="DMU6:DMX6"/>
    <mergeCell ref="DNC6:DNF6"/>
    <mergeCell ref="DNK6:DNN6"/>
    <mergeCell ref="DNS6:DNV6"/>
    <mergeCell ref="DOA6:DOD6"/>
    <mergeCell ref="DOI6:DOL6"/>
    <mergeCell ref="DKY6:DLB6"/>
    <mergeCell ref="DLG6:DLJ6"/>
    <mergeCell ref="DLO6:DLR6"/>
    <mergeCell ref="DLW6:DLZ6"/>
    <mergeCell ref="DME6:DMH6"/>
    <mergeCell ref="DMM6:DMP6"/>
    <mergeCell ref="DUE6:DUH6"/>
    <mergeCell ref="DUM6:DUP6"/>
    <mergeCell ref="DUU6:DUX6"/>
    <mergeCell ref="DVC6:DVF6"/>
    <mergeCell ref="DVK6:DVN6"/>
    <mergeCell ref="DVS6:DVV6"/>
    <mergeCell ref="DSI6:DSL6"/>
    <mergeCell ref="DSQ6:DST6"/>
    <mergeCell ref="DSY6:DTB6"/>
    <mergeCell ref="DTG6:DTJ6"/>
    <mergeCell ref="DTO6:DTR6"/>
    <mergeCell ref="DTW6:DTZ6"/>
    <mergeCell ref="DQM6:DQP6"/>
    <mergeCell ref="DQU6:DQX6"/>
    <mergeCell ref="DRC6:DRF6"/>
    <mergeCell ref="DRK6:DRN6"/>
    <mergeCell ref="DRS6:DRV6"/>
    <mergeCell ref="DSA6:DSD6"/>
    <mergeCell ref="DZS6:DZV6"/>
    <mergeCell ref="EAA6:EAD6"/>
    <mergeCell ref="EAI6:EAL6"/>
    <mergeCell ref="EAQ6:EAT6"/>
    <mergeCell ref="EAY6:EBB6"/>
    <mergeCell ref="EBG6:EBJ6"/>
    <mergeCell ref="DXW6:DXZ6"/>
    <mergeCell ref="DYE6:DYH6"/>
    <mergeCell ref="DYM6:DYP6"/>
    <mergeCell ref="DYU6:DYX6"/>
    <mergeCell ref="DZC6:DZF6"/>
    <mergeCell ref="DZK6:DZN6"/>
    <mergeCell ref="DWA6:DWD6"/>
    <mergeCell ref="DWI6:DWL6"/>
    <mergeCell ref="DWQ6:DWT6"/>
    <mergeCell ref="DWY6:DXB6"/>
    <mergeCell ref="DXG6:DXJ6"/>
    <mergeCell ref="DXO6:DXR6"/>
    <mergeCell ref="EFG6:EFJ6"/>
    <mergeCell ref="EFO6:EFR6"/>
    <mergeCell ref="EFW6:EFZ6"/>
    <mergeCell ref="EGE6:EGH6"/>
    <mergeCell ref="EGM6:EGP6"/>
    <mergeCell ref="EGU6:EGX6"/>
    <mergeCell ref="EDK6:EDN6"/>
    <mergeCell ref="EDS6:EDV6"/>
    <mergeCell ref="EEA6:EED6"/>
    <mergeCell ref="EEI6:EEL6"/>
    <mergeCell ref="EEQ6:EET6"/>
    <mergeCell ref="EEY6:EFB6"/>
    <mergeCell ref="EBO6:EBR6"/>
    <mergeCell ref="EBW6:EBZ6"/>
    <mergeCell ref="ECE6:ECH6"/>
    <mergeCell ref="ECM6:ECP6"/>
    <mergeCell ref="ECU6:ECX6"/>
    <mergeCell ref="EDC6:EDF6"/>
    <mergeCell ref="EKU6:EKX6"/>
    <mergeCell ref="ELC6:ELF6"/>
    <mergeCell ref="ELK6:ELN6"/>
    <mergeCell ref="ELS6:ELV6"/>
    <mergeCell ref="EMA6:EMD6"/>
    <mergeCell ref="EMI6:EML6"/>
    <mergeCell ref="EIY6:EJB6"/>
    <mergeCell ref="EJG6:EJJ6"/>
    <mergeCell ref="EJO6:EJR6"/>
    <mergeCell ref="EJW6:EJZ6"/>
    <mergeCell ref="EKE6:EKH6"/>
    <mergeCell ref="EKM6:EKP6"/>
    <mergeCell ref="EHC6:EHF6"/>
    <mergeCell ref="EHK6:EHN6"/>
    <mergeCell ref="EHS6:EHV6"/>
    <mergeCell ref="EIA6:EID6"/>
    <mergeCell ref="EII6:EIL6"/>
    <mergeCell ref="EIQ6:EIT6"/>
    <mergeCell ref="EQI6:EQL6"/>
    <mergeCell ref="EQQ6:EQT6"/>
    <mergeCell ref="EQY6:ERB6"/>
    <mergeCell ref="ERG6:ERJ6"/>
    <mergeCell ref="ERO6:ERR6"/>
    <mergeCell ref="ERW6:ERZ6"/>
    <mergeCell ref="EOM6:EOP6"/>
    <mergeCell ref="EOU6:EOX6"/>
    <mergeCell ref="EPC6:EPF6"/>
    <mergeCell ref="EPK6:EPN6"/>
    <mergeCell ref="EPS6:EPV6"/>
    <mergeCell ref="EQA6:EQD6"/>
    <mergeCell ref="EMQ6:EMT6"/>
    <mergeCell ref="EMY6:ENB6"/>
    <mergeCell ref="ENG6:ENJ6"/>
    <mergeCell ref="ENO6:ENR6"/>
    <mergeCell ref="ENW6:ENZ6"/>
    <mergeCell ref="EOE6:EOH6"/>
    <mergeCell ref="EVW6:EVZ6"/>
    <mergeCell ref="EWE6:EWH6"/>
    <mergeCell ref="EWM6:EWP6"/>
    <mergeCell ref="EWU6:EWX6"/>
    <mergeCell ref="EXC6:EXF6"/>
    <mergeCell ref="EXK6:EXN6"/>
    <mergeCell ref="EUA6:EUD6"/>
    <mergeCell ref="EUI6:EUL6"/>
    <mergeCell ref="EUQ6:EUT6"/>
    <mergeCell ref="EUY6:EVB6"/>
    <mergeCell ref="EVG6:EVJ6"/>
    <mergeCell ref="EVO6:EVR6"/>
    <mergeCell ref="ESE6:ESH6"/>
    <mergeCell ref="ESM6:ESP6"/>
    <mergeCell ref="ESU6:ESX6"/>
    <mergeCell ref="ETC6:ETF6"/>
    <mergeCell ref="ETK6:ETN6"/>
    <mergeCell ref="ETS6:ETV6"/>
    <mergeCell ref="FBK6:FBN6"/>
    <mergeCell ref="FBS6:FBV6"/>
    <mergeCell ref="FCA6:FCD6"/>
    <mergeCell ref="FCI6:FCL6"/>
    <mergeCell ref="FCQ6:FCT6"/>
    <mergeCell ref="FCY6:FDB6"/>
    <mergeCell ref="EZO6:EZR6"/>
    <mergeCell ref="EZW6:EZZ6"/>
    <mergeCell ref="FAE6:FAH6"/>
    <mergeCell ref="FAM6:FAP6"/>
    <mergeCell ref="FAU6:FAX6"/>
    <mergeCell ref="FBC6:FBF6"/>
    <mergeCell ref="EXS6:EXV6"/>
    <mergeCell ref="EYA6:EYD6"/>
    <mergeCell ref="EYI6:EYL6"/>
    <mergeCell ref="EYQ6:EYT6"/>
    <mergeCell ref="EYY6:EZB6"/>
    <mergeCell ref="EZG6:EZJ6"/>
    <mergeCell ref="FGY6:FHB6"/>
    <mergeCell ref="FHG6:FHJ6"/>
    <mergeCell ref="FHO6:FHR6"/>
    <mergeCell ref="FHW6:FHZ6"/>
    <mergeCell ref="FIE6:FIH6"/>
    <mergeCell ref="FIM6:FIP6"/>
    <mergeCell ref="FFC6:FFF6"/>
    <mergeCell ref="FFK6:FFN6"/>
    <mergeCell ref="FFS6:FFV6"/>
    <mergeCell ref="FGA6:FGD6"/>
    <mergeCell ref="FGI6:FGL6"/>
    <mergeCell ref="FGQ6:FGT6"/>
    <mergeCell ref="FDG6:FDJ6"/>
    <mergeCell ref="FDO6:FDR6"/>
    <mergeCell ref="FDW6:FDZ6"/>
    <mergeCell ref="FEE6:FEH6"/>
    <mergeCell ref="FEM6:FEP6"/>
    <mergeCell ref="FEU6:FEX6"/>
    <mergeCell ref="FMM6:FMP6"/>
    <mergeCell ref="FMU6:FMX6"/>
    <mergeCell ref="FNC6:FNF6"/>
    <mergeCell ref="FNK6:FNN6"/>
    <mergeCell ref="FNS6:FNV6"/>
    <mergeCell ref="FOA6:FOD6"/>
    <mergeCell ref="FKQ6:FKT6"/>
    <mergeCell ref="FKY6:FLB6"/>
    <mergeCell ref="FLG6:FLJ6"/>
    <mergeCell ref="FLO6:FLR6"/>
    <mergeCell ref="FLW6:FLZ6"/>
    <mergeCell ref="FME6:FMH6"/>
    <mergeCell ref="FIU6:FIX6"/>
    <mergeCell ref="FJC6:FJF6"/>
    <mergeCell ref="FJK6:FJN6"/>
    <mergeCell ref="FJS6:FJV6"/>
    <mergeCell ref="FKA6:FKD6"/>
    <mergeCell ref="FKI6:FKL6"/>
    <mergeCell ref="FSA6:FSD6"/>
    <mergeCell ref="FSI6:FSL6"/>
    <mergeCell ref="FSQ6:FST6"/>
    <mergeCell ref="FSY6:FTB6"/>
    <mergeCell ref="FTG6:FTJ6"/>
    <mergeCell ref="FTO6:FTR6"/>
    <mergeCell ref="FQE6:FQH6"/>
    <mergeCell ref="FQM6:FQP6"/>
    <mergeCell ref="FQU6:FQX6"/>
    <mergeCell ref="FRC6:FRF6"/>
    <mergeCell ref="FRK6:FRN6"/>
    <mergeCell ref="FRS6:FRV6"/>
    <mergeCell ref="FOI6:FOL6"/>
    <mergeCell ref="FOQ6:FOT6"/>
    <mergeCell ref="FOY6:FPB6"/>
    <mergeCell ref="FPG6:FPJ6"/>
    <mergeCell ref="FPO6:FPR6"/>
    <mergeCell ref="FPW6:FPZ6"/>
    <mergeCell ref="FXO6:FXR6"/>
    <mergeCell ref="FXW6:FXZ6"/>
    <mergeCell ref="FYE6:FYH6"/>
    <mergeCell ref="FYM6:FYP6"/>
    <mergeCell ref="FYU6:FYX6"/>
    <mergeCell ref="FZC6:FZF6"/>
    <mergeCell ref="FVS6:FVV6"/>
    <mergeCell ref="FWA6:FWD6"/>
    <mergeCell ref="FWI6:FWL6"/>
    <mergeCell ref="FWQ6:FWT6"/>
    <mergeCell ref="FWY6:FXB6"/>
    <mergeCell ref="FXG6:FXJ6"/>
    <mergeCell ref="FTW6:FTZ6"/>
    <mergeCell ref="FUE6:FUH6"/>
    <mergeCell ref="FUM6:FUP6"/>
    <mergeCell ref="FUU6:FUX6"/>
    <mergeCell ref="FVC6:FVF6"/>
    <mergeCell ref="FVK6:FVN6"/>
    <mergeCell ref="GDC6:GDF6"/>
    <mergeCell ref="GDK6:GDN6"/>
    <mergeCell ref="GDS6:GDV6"/>
    <mergeCell ref="GEA6:GED6"/>
    <mergeCell ref="GEI6:GEL6"/>
    <mergeCell ref="GEQ6:GET6"/>
    <mergeCell ref="GBG6:GBJ6"/>
    <mergeCell ref="GBO6:GBR6"/>
    <mergeCell ref="GBW6:GBZ6"/>
    <mergeCell ref="GCE6:GCH6"/>
    <mergeCell ref="GCM6:GCP6"/>
    <mergeCell ref="GCU6:GCX6"/>
    <mergeCell ref="FZK6:FZN6"/>
    <mergeCell ref="FZS6:FZV6"/>
    <mergeCell ref="GAA6:GAD6"/>
    <mergeCell ref="GAI6:GAL6"/>
    <mergeCell ref="GAQ6:GAT6"/>
    <mergeCell ref="GAY6:GBB6"/>
    <mergeCell ref="GIQ6:GIT6"/>
    <mergeCell ref="GIY6:GJB6"/>
    <mergeCell ref="GJG6:GJJ6"/>
    <mergeCell ref="GJO6:GJR6"/>
    <mergeCell ref="GJW6:GJZ6"/>
    <mergeCell ref="GKE6:GKH6"/>
    <mergeCell ref="GGU6:GGX6"/>
    <mergeCell ref="GHC6:GHF6"/>
    <mergeCell ref="GHK6:GHN6"/>
    <mergeCell ref="GHS6:GHV6"/>
    <mergeCell ref="GIA6:GID6"/>
    <mergeCell ref="GII6:GIL6"/>
    <mergeCell ref="GEY6:GFB6"/>
    <mergeCell ref="GFG6:GFJ6"/>
    <mergeCell ref="GFO6:GFR6"/>
    <mergeCell ref="GFW6:GFZ6"/>
    <mergeCell ref="GGE6:GGH6"/>
    <mergeCell ref="GGM6:GGP6"/>
    <mergeCell ref="GOE6:GOH6"/>
    <mergeCell ref="GOM6:GOP6"/>
    <mergeCell ref="GOU6:GOX6"/>
    <mergeCell ref="GPC6:GPF6"/>
    <mergeCell ref="GPK6:GPN6"/>
    <mergeCell ref="GPS6:GPV6"/>
    <mergeCell ref="GMI6:GML6"/>
    <mergeCell ref="GMQ6:GMT6"/>
    <mergeCell ref="GMY6:GNB6"/>
    <mergeCell ref="GNG6:GNJ6"/>
    <mergeCell ref="GNO6:GNR6"/>
    <mergeCell ref="GNW6:GNZ6"/>
    <mergeCell ref="GKM6:GKP6"/>
    <mergeCell ref="GKU6:GKX6"/>
    <mergeCell ref="GLC6:GLF6"/>
    <mergeCell ref="GLK6:GLN6"/>
    <mergeCell ref="GLS6:GLV6"/>
    <mergeCell ref="GMA6:GMD6"/>
    <mergeCell ref="GTS6:GTV6"/>
    <mergeCell ref="GUA6:GUD6"/>
    <mergeCell ref="GUI6:GUL6"/>
    <mergeCell ref="GUQ6:GUT6"/>
    <mergeCell ref="GUY6:GVB6"/>
    <mergeCell ref="GVG6:GVJ6"/>
    <mergeCell ref="GRW6:GRZ6"/>
    <mergeCell ref="GSE6:GSH6"/>
    <mergeCell ref="GSM6:GSP6"/>
    <mergeCell ref="GSU6:GSX6"/>
    <mergeCell ref="GTC6:GTF6"/>
    <mergeCell ref="GTK6:GTN6"/>
    <mergeCell ref="GQA6:GQD6"/>
    <mergeCell ref="GQI6:GQL6"/>
    <mergeCell ref="GQQ6:GQT6"/>
    <mergeCell ref="GQY6:GRB6"/>
    <mergeCell ref="GRG6:GRJ6"/>
    <mergeCell ref="GRO6:GRR6"/>
    <mergeCell ref="GZG6:GZJ6"/>
    <mergeCell ref="GZO6:GZR6"/>
    <mergeCell ref="GZW6:GZZ6"/>
    <mergeCell ref="HAE6:HAH6"/>
    <mergeCell ref="HAM6:HAP6"/>
    <mergeCell ref="HAU6:HAX6"/>
    <mergeCell ref="GXK6:GXN6"/>
    <mergeCell ref="GXS6:GXV6"/>
    <mergeCell ref="GYA6:GYD6"/>
    <mergeCell ref="GYI6:GYL6"/>
    <mergeCell ref="GYQ6:GYT6"/>
    <mergeCell ref="GYY6:GZB6"/>
    <mergeCell ref="GVO6:GVR6"/>
    <mergeCell ref="GVW6:GVZ6"/>
    <mergeCell ref="GWE6:GWH6"/>
    <mergeCell ref="GWM6:GWP6"/>
    <mergeCell ref="GWU6:GWX6"/>
    <mergeCell ref="GXC6:GXF6"/>
    <mergeCell ref="HEU6:HEX6"/>
    <mergeCell ref="HFC6:HFF6"/>
    <mergeCell ref="HFK6:HFN6"/>
    <mergeCell ref="HFS6:HFV6"/>
    <mergeCell ref="HGA6:HGD6"/>
    <mergeCell ref="HGI6:HGL6"/>
    <mergeCell ref="HCY6:HDB6"/>
    <mergeCell ref="HDG6:HDJ6"/>
    <mergeCell ref="HDO6:HDR6"/>
    <mergeCell ref="HDW6:HDZ6"/>
    <mergeCell ref="HEE6:HEH6"/>
    <mergeCell ref="HEM6:HEP6"/>
    <mergeCell ref="HBC6:HBF6"/>
    <mergeCell ref="HBK6:HBN6"/>
    <mergeCell ref="HBS6:HBV6"/>
    <mergeCell ref="HCA6:HCD6"/>
    <mergeCell ref="HCI6:HCL6"/>
    <mergeCell ref="HCQ6:HCT6"/>
    <mergeCell ref="HKI6:HKL6"/>
    <mergeCell ref="HKQ6:HKT6"/>
    <mergeCell ref="HKY6:HLB6"/>
    <mergeCell ref="HLG6:HLJ6"/>
    <mergeCell ref="HLO6:HLR6"/>
    <mergeCell ref="HLW6:HLZ6"/>
    <mergeCell ref="HIM6:HIP6"/>
    <mergeCell ref="HIU6:HIX6"/>
    <mergeCell ref="HJC6:HJF6"/>
    <mergeCell ref="HJK6:HJN6"/>
    <mergeCell ref="HJS6:HJV6"/>
    <mergeCell ref="HKA6:HKD6"/>
    <mergeCell ref="HGQ6:HGT6"/>
    <mergeCell ref="HGY6:HHB6"/>
    <mergeCell ref="HHG6:HHJ6"/>
    <mergeCell ref="HHO6:HHR6"/>
    <mergeCell ref="HHW6:HHZ6"/>
    <mergeCell ref="HIE6:HIH6"/>
    <mergeCell ref="HPW6:HPZ6"/>
    <mergeCell ref="HQE6:HQH6"/>
    <mergeCell ref="HQM6:HQP6"/>
    <mergeCell ref="HQU6:HQX6"/>
    <mergeCell ref="HRC6:HRF6"/>
    <mergeCell ref="HRK6:HRN6"/>
    <mergeCell ref="HOA6:HOD6"/>
    <mergeCell ref="HOI6:HOL6"/>
    <mergeCell ref="HOQ6:HOT6"/>
    <mergeCell ref="HOY6:HPB6"/>
    <mergeCell ref="HPG6:HPJ6"/>
    <mergeCell ref="HPO6:HPR6"/>
    <mergeCell ref="HME6:HMH6"/>
    <mergeCell ref="HMM6:HMP6"/>
    <mergeCell ref="HMU6:HMX6"/>
    <mergeCell ref="HNC6:HNF6"/>
    <mergeCell ref="HNK6:HNN6"/>
    <mergeCell ref="HNS6:HNV6"/>
    <mergeCell ref="HVK6:HVN6"/>
    <mergeCell ref="HVS6:HVV6"/>
    <mergeCell ref="HWA6:HWD6"/>
    <mergeCell ref="HWI6:HWL6"/>
    <mergeCell ref="HWQ6:HWT6"/>
    <mergeCell ref="HWY6:HXB6"/>
    <mergeCell ref="HTO6:HTR6"/>
    <mergeCell ref="HTW6:HTZ6"/>
    <mergeCell ref="HUE6:HUH6"/>
    <mergeCell ref="HUM6:HUP6"/>
    <mergeCell ref="HUU6:HUX6"/>
    <mergeCell ref="HVC6:HVF6"/>
    <mergeCell ref="HRS6:HRV6"/>
    <mergeCell ref="HSA6:HSD6"/>
    <mergeCell ref="HSI6:HSL6"/>
    <mergeCell ref="HSQ6:HST6"/>
    <mergeCell ref="HSY6:HTB6"/>
    <mergeCell ref="HTG6:HTJ6"/>
    <mergeCell ref="IAY6:IBB6"/>
    <mergeCell ref="IBG6:IBJ6"/>
    <mergeCell ref="IBO6:IBR6"/>
    <mergeCell ref="IBW6:IBZ6"/>
    <mergeCell ref="ICE6:ICH6"/>
    <mergeCell ref="ICM6:ICP6"/>
    <mergeCell ref="HZC6:HZF6"/>
    <mergeCell ref="HZK6:HZN6"/>
    <mergeCell ref="HZS6:HZV6"/>
    <mergeCell ref="IAA6:IAD6"/>
    <mergeCell ref="IAI6:IAL6"/>
    <mergeCell ref="IAQ6:IAT6"/>
    <mergeCell ref="HXG6:HXJ6"/>
    <mergeCell ref="HXO6:HXR6"/>
    <mergeCell ref="HXW6:HXZ6"/>
    <mergeCell ref="HYE6:HYH6"/>
    <mergeCell ref="HYM6:HYP6"/>
    <mergeCell ref="HYU6:HYX6"/>
    <mergeCell ref="IGM6:IGP6"/>
    <mergeCell ref="IGU6:IGX6"/>
    <mergeCell ref="IHC6:IHF6"/>
    <mergeCell ref="IHK6:IHN6"/>
    <mergeCell ref="IHS6:IHV6"/>
    <mergeCell ref="IIA6:IID6"/>
    <mergeCell ref="IEQ6:IET6"/>
    <mergeCell ref="IEY6:IFB6"/>
    <mergeCell ref="IFG6:IFJ6"/>
    <mergeCell ref="IFO6:IFR6"/>
    <mergeCell ref="IFW6:IFZ6"/>
    <mergeCell ref="IGE6:IGH6"/>
    <mergeCell ref="ICU6:ICX6"/>
    <mergeCell ref="IDC6:IDF6"/>
    <mergeCell ref="IDK6:IDN6"/>
    <mergeCell ref="IDS6:IDV6"/>
    <mergeCell ref="IEA6:IED6"/>
    <mergeCell ref="IEI6:IEL6"/>
    <mergeCell ref="IMA6:IMD6"/>
    <mergeCell ref="IMI6:IML6"/>
    <mergeCell ref="IMQ6:IMT6"/>
    <mergeCell ref="IMY6:INB6"/>
    <mergeCell ref="ING6:INJ6"/>
    <mergeCell ref="INO6:INR6"/>
    <mergeCell ref="IKE6:IKH6"/>
    <mergeCell ref="IKM6:IKP6"/>
    <mergeCell ref="IKU6:IKX6"/>
    <mergeCell ref="ILC6:ILF6"/>
    <mergeCell ref="ILK6:ILN6"/>
    <mergeCell ref="ILS6:ILV6"/>
    <mergeCell ref="III6:IIL6"/>
    <mergeCell ref="IIQ6:IIT6"/>
    <mergeCell ref="IIY6:IJB6"/>
    <mergeCell ref="IJG6:IJJ6"/>
    <mergeCell ref="IJO6:IJR6"/>
    <mergeCell ref="IJW6:IJZ6"/>
    <mergeCell ref="IRO6:IRR6"/>
    <mergeCell ref="IRW6:IRZ6"/>
    <mergeCell ref="ISE6:ISH6"/>
    <mergeCell ref="ISM6:ISP6"/>
    <mergeCell ref="ISU6:ISX6"/>
    <mergeCell ref="ITC6:ITF6"/>
    <mergeCell ref="IPS6:IPV6"/>
    <mergeCell ref="IQA6:IQD6"/>
    <mergeCell ref="IQI6:IQL6"/>
    <mergeCell ref="IQQ6:IQT6"/>
    <mergeCell ref="IQY6:IRB6"/>
    <mergeCell ref="IRG6:IRJ6"/>
    <mergeCell ref="INW6:INZ6"/>
    <mergeCell ref="IOE6:IOH6"/>
    <mergeCell ref="IOM6:IOP6"/>
    <mergeCell ref="IOU6:IOX6"/>
    <mergeCell ref="IPC6:IPF6"/>
    <mergeCell ref="IPK6:IPN6"/>
    <mergeCell ref="IXC6:IXF6"/>
    <mergeCell ref="IXK6:IXN6"/>
    <mergeCell ref="IXS6:IXV6"/>
    <mergeCell ref="IYA6:IYD6"/>
    <mergeCell ref="IYI6:IYL6"/>
    <mergeCell ref="IYQ6:IYT6"/>
    <mergeCell ref="IVG6:IVJ6"/>
    <mergeCell ref="IVO6:IVR6"/>
    <mergeCell ref="IVW6:IVZ6"/>
    <mergeCell ref="IWE6:IWH6"/>
    <mergeCell ref="IWM6:IWP6"/>
    <mergeCell ref="IWU6:IWX6"/>
    <mergeCell ref="ITK6:ITN6"/>
    <mergeCell ref="ITS6:ITV6"/>
    <mergeCell ref="IUA6:IUD6"/>
    <mergeCell ref="IUI6:IUL6"/>
    <mergeCell ref="IUQ6:IUT6"/>
    <mergeCell ref="IUY6:IVB6"/>
    <mergeCell ref="JCQ6:JCT6"/>
    <mergeCell ref="JCY6:JDB6"/>
    <mergeCell ref="JDG6:JDJ6"/>
    <mergeCell ref="JDO6:JDR6"/>
    <mergeCell ref="JDW6:JDZ6"/>
    <mergeCell ref="JEE6:JEH6"/>
    <mergeCell ref="JAU6:JAX6"/>
    <mergeCell ref="JBC6:JBF6"/>
    <mergeCell ref="JBK6:JBN6"/>
    <mergeCell ref="JBS6:JBV6"/>
    <mergeCell ref="JCA6:JCD6"/>
    <mergeCell ref="JCI6:JCL6"/>
    <mergeCell ref="IYY6:IZB6"/>
    <mergeCell ref="IZG6:IZJ6"/>
    <mergeCell ref="IZO6:IZR6"/>
    <mergeCell ref="IZW6:IZZ6"/>
    <mergeCell ref="JAE6:JAH6"/>
    <mergeCell ref="JAM6:JAP6"/>
    <mergeCell ref="JIE6:JIH6"/>
    <mergeCell ref="JIM6:JIP6"/>
    <mergeCell ref="JIU6:JIX6"/>
    <mergeCell ref="JJC6:JJF6"/>
    <mergeCell ref="JJK6:JJN6"/>
    <mergeCell ref="JJS6:JJV6"/>
    <mergeCell ref="JGI6:JGL6"/>
    <mergeCell ref="JGQ6:JGT6"/>
    <mergeCell ref="JGY6:JHB6"/>
    <mergeCell ref="JHG6:JHJ6"/>
    <mergeCell ref="JHO6:JHR6"/>
    <mergeCell ref="JHW6:JHZ6"/>
    <mergeCell ref="JEM6:JEP6"/>
    <mergeCell ref="JEU6:JEX6"/>
    <mergeCell ref="JFC6:JFF6"/>
    <mergeCell ref="JFK6:JFN6"/>
    <mergeCell ref="JFS6:JFV6"/>
    <mergeCell ref="JGA6:JGD6"/>
    <mergeCell ref="JNS6:JNV6"/>
    <mergeCell ref="JOA6:JOD6"/>
    <mergeCell ref="JOI6:JOL6"/>
    <mergeCell ref="JOQ6:JOT6"/>
    <mergeCell ref="JOY6:JPB6"/>
    <mergeCell ref="JPG6:JPJ6"/>
    <mergeCell ref="JLW6:JLZ6"/>
    <mergeCell ref="JME6:JMH6"/>
    <mergeCell ref="JMM6:JMP6"/>
    <mergeCell ref="JMU6:JMX6"/>
    <mergeCell ref="JNC6:JNF6"/>
    <mergeCell ref="JNK6:JNN6"/>
    <mergeCell ref="JKA6:JKD6"/>
    <mergeCell ref="JKI6:JKL6"/>
    <mergeCell ref="JKQ6:JKT6"/>
    <mergeCell ref="JKY6:JLB6"/>
    <mergeCell ref="JLG6:JLJ6"/>
    <mergeCell ref="JLO6:JLR6"/>
    <mergeCell ref="JTG6:JTJ6"/>
    <mergeCell ref="JTO6:JTR6"/>
    <mergeCell ref="JTW6:JTZ6"/>
    <mergeCell ref="JUE6:JUH6"/>
    <mergeCell ref="JUM6:JUP6"/>
    <mergeCell ref="JUU6:JUX6"/>
    <mergeCell ref="JRK6:JRN6"/>
    <mergeCell ref="JRS6:JRV6"/>
    <mergeCell ref="JSA6:JSD6"/>
    <mergeCell ref="JSI6:JSL6"/>
    <mergeCell ref="JSQ6:JST6"/>
    <mergeCell ref="JSY6:JTB6"/>
    <mergeCell ref="JPO6:JPR6"/>
    <mergeCell ref="JPW6:JPZ6"/>
    <mergeCell ref="JQE6:JQH6"/>
    <mergeCell ref="JQM6:JQP6"/>
    <mergeCell ref="JQU6:JQX6"/>
    <mergeCell ref="JRC6:JRF6"/>
    <mergeCell ref="JYU6:JYX6"/>
    <mergeCell ref="JZC6:JZF6"/>
    <mergeCell ref="JZK6:JZN6"/>
    <mergeCell ref="JZS6:JZV6"/>
    <mergeCell ref="KAA6:KAD6"/>
    <mergeCell ref="KAI6:KAL6"/>
    <mergeCell ref="JWY6:JXB6"/>
    <mergeCell ref="JXG6:JXJ6"/>
    <mergeCell ref="JXO6:JXR6"/>
    <mergeCell ref="JXW6:JXZ6"/>
    <mergeCell ref="JYE6:JYH6"/>
    <mergeCell ref="JYM6:JYP6"/>
    <mergeCell ref="JVC6:JVF6"/>
    <mergeCell ref="JVK6:JVN6"/>
    <mergeCell ref="JVS6:JVV6"/>
    <mergeCell ref="JWA6:JWD6"/>
    <mergeCell ref="JWI6:JWL6"/>
    <mergeCell ref="JWQ6:JWT6"/>
    <mergeCell ref="KEI6:KEL6"/>
    <mergeCell ref="KEQ6:KET6"/>
    <mergeCell ref="KEY6:KFB6"/>
    <mergeCell ref="KFG6:KFJ6"/>
    <mergeCell ref="KFO6:KFR6"/>
    <mergeCell ref="KFW6:KFZ6"/>
    <mergeCell ref="KCM6:KCP6"/>
    <mergeCell ref="KCU6:KCX6"/>
    <mergeCell ref="KDC6:KDF6"/>
    <mergeCell ref="KDK6:KDN6"/>
    <mergeCell ref="KDS6:KDV6"/>
    <mergeCell ref="KEA6:KED6"/>
    <mergeCell ref="KAQ6:KAT6"/>
    <mergeCell ref="KAY6:KBB6"/>
    <mergeCell ref="KBG6:KBJ6"/>
    <mergeCell ref="KBO6:KBR6"/>
    <mergeCell ref="KBW6:KBZ6"/>
    <mergeCell ref="KCE6:KCH6"/>
    <mergeCell ref="KJW6:KJZ6"/>
    <mergeCell ref="KKE6:KKH6"/>
    <mergeCell ref="KKM6:KKP6"/>
    <mergeCell ref="KKU6:KKX6"/>
    <mergeCell ref="KLC6:KLF6"/>
    <mergeCell ref="KLK6:KLN6"/>
    <mergeCell ref="KIA6:KID6"/>
    <mergeCell ref="KII6:KIL6"/>
    <mergeCell ref="KIQ6:KIT6"/>
    <mergeCell ref="KIY6:KJB6"/>
    <mergeCell ref="KJG6:KJJ6"/>
    <mergeCell ref="KJO6:KJR6"/>
    <mergeCell ref="KGE6:KGH6"/>
    <mergeCell ref="KGM6:KGP6"/>
    <mergeCell ref="KGU6:KGX6"/>
    <mergeCell ref="KHC6:KHF6"/>
    <mergeCell ref="KHK6:KHN6"/>
    <mergeCell ref="KHS6:KHV6"/>
    <mergeCell ref="KPK6:KPN6"/>
    <mergeCell ref="KPS6:KPV6"/>
    <mergeCell ref="KQA6:KQD6"/>
    <mergeCell ref="KQI6:KQL6"/>
    <mergeCell ref="KQQ6:KQT6"/>
    <mergeCell ref="KQY6:KRB6"/>
    <mergeCell ref="KNO6:KNR6"/>
    <mergeCell ref="KNW6:KNZ6"/>
    <mergeCell ref="KOE6:KOH6"/>
    <mergeCell ref="KOM6:KOP6"/>
    <mergeCell ref="KOU6:KOX6"/>
    <mergeCell ref="KPC6:KPF6"/>
    <mergeCell ref="KLS6:KLV6"/>
    <mergeCell ref="KMA6:KMD6"/>
    <mergeCell ref="KMI6:KML6"/>
    <mergeCell ref="KMQ6:KMT6"/>
    <mergeCell ref="KMY6:KNB6"/>
    <mergeCell ref="KNG6:KNJ6"/>
    <mergeCell ref="KUY6:KVB6"/>
    <mergeCell ref="KVG6:KVJ6"/>
    <mergeCell ref="KVO6:KVR6"/>
    <mergeCell ref="KVW6:KVZ6"/>
    <mergeCell ref="KWE6:KWH6"/>
    <mergeCell ref="KWM6:KWP6"/>
    <mergeCell ref="KTC6:KTF6"/>
    <mergeCell ref="KTK6:KTN6"/>
    <mergeCell ref="KTS6:KTV6"/>
    <mergeCell ref="KUA6:KUD6"/>
    <mergeCell ref="KUI6:KUL6"/>
    <mergeCell ref="KUQ6:KUT6"/>
    <mergeCell ref="KRG6:KRJ6"/>
    <mergeCell ref="KRO6:KRR6"/>
    <mergeCell ref="KRW6:KRZ6"/>
    <mergeCell ref="KSE6:KSH6"/>
    <mergeCell ref="KSM6:KSP6"/>
    <mergeCell ref="KSU6:KSX6"/>
    <mergeCell ref="LAM6:LAP6"/>
    <mergeCell ref="LAU6:LAX6"/>
    <mergeCell ref="LBC6:LBF6"/>
    <mergeCell ref="LBK6:LBN6"/>
    <mergeCell ref="LBS6:LBV6"/>
    <mergeCell ref="LCA6:LCD6"/>
    <mergeCell ref="KYQ6:KYT6"/>
    <mergeCell ref="KYY6:KZB6"/>
    <mergeCell ref="KZG6:KZJ6"/>
    <mergeCell ref="KZO6:KZR6"/>
    <mergeCell ref="KZW6:KZZ6"/>
    <mergeCell ref="LAE6:LAH6"/>
    <mergeCell ref="KWU6:KWX6"/>
    <mergeCell ref="KXC6:KXF6"/>
    <mergeCell ref="KXK6:KXN6"/>
    <mergeCell ref="KXS6:KXV6"/>
    <mergeCell ref="KYA6:KYD6"/>
    <mergeCell ref="KYI6:KYL6"/>
    <mergeCell ref="LGA6:LGD6"/>
    <mergeCell ref="LGI6:LGL6"/>
    <mergeCell ref="LGQ6:LGT6"/>
    <mergeCell ref="LGY6:LHB6"/>
    <mergeCell ref="LHG6:LHJ6"/>
    <mergeCell ref="LHO6:LHR6"/>
    <mergeCell ref="LEE6:LEH6"/>
    <mergeCell ref="LEM6:LEP6"/>
    <mergeCell ref="LEU6:LEX6"/>
    <mergeCell ref="LFC6:LFF6"/>
    <mergeCell ref="LFK6:LFN6"/>
    <mergeCell ref="LFS6:LFV6"/>
    <mergeCell ref="LCI6:LCL6"/>
    <mergeCell ref="LCQ6:LCT6"/>
    <mergeCell ref="LCY6:LDB6"/>
    <mergeCell ref="LDG6:LDJ6"/>
    <mergeCell ref="LDO6:LDR6"/>
    <mergeCell ref="LDW6:LDZ6"/>
    <mergeCell ref="LLO6:LLR6"/>
    <mergeCell ref="LLW6:LLZ6"/>
    <mergeCell ref="LME6:LMH6"/>
    <mergeCell ref="LMM6:LMP6"/>
    <mergeCell ref="LMU6:LMX6"/>
    <mergeCell ref="LNC6:LNF6"/>
    <mergeCell ref="LJS6:LJV6"/>
    <mergeCell ref="LKA6:LKD6"/>
    <mergeCell ref="LKI6:LKL6"/>
    <mergeCell ref="LKQ6:LKT6"/>
    <mergeCell ref="LKY6:LLB6"/>
    <mergeCell ref="LLG6:LLJ6"/>
    <mergeCell ref="LHW6:LHZ6"/>
    <mergeCell ref="LIE6:LIH6"/>
    <mergeCell ref="LIM6:LIP6"/>
    <mergeCell ref="LIU6:LIX6"/>
    <mergeCell ref="LJC6:LJF6"/>
    <mergeCell ref="LJK6:LJN6"/>
    <mergeCell ref="LRC6:LRF6"/>
    <mergeCell ref="LRK6:LRN6"/>
    <mergeCell ref="LRS6:LRV6"/>
    <mergeCell ref="LSA6:LSD6"/>
    <mergeCell ref="LSI6:LSL6"/>
    <mergeCell ref="LSQ6:LST6"/>
    <mergeCell ref="LPG6:LPJ6"/>
    <mergeCell ref="LPO6:LPR6"/>
    <mergeCell ref="LPW6:LPZ6"/>
    <mergeCell ref="LQE6:LQH6"/>
    <mergeCell ref="LQM6:LQP6"/>
    <mergeCell ref="LQU6:LQX6"/>
    <mergeCell ref="LNK6:LNN6"/>
    <mergeCell ref="LNS6:LNV6"/>
    <mergeCell ref="LOA6:LOD6"/>
    <mergeCell ref="LOI6:LOL6"/>
    <mergeCell ref="LOQ6:LOT6"/>
    <mergeCell ref="LOY6:LPB6"/>
    <mergeCell ref="LWQ6:LWT6"/>
    <mergeCell ref="LWY6:LXB6"/>
    <mergeCell ref="LXG6:LXJ6"/>
    <mergeCell ref="LXO6:LXR6"/>
    <mergeCell ref="LXW6:LXZ6"/>
    <mergeCell ref="LYE6:LYH6"/>
    <mergeCell ref="LUU6:LUX6"/>
    <mergeCell ref="LVC6:LVF6"/>
    <mergeCell ref="LVK6:LVN6"/>
    <mergeCell ref="LVS6:LVV6"/>
    <mergeCell ref="LWA6:LWD6"/>
    <mergeCell ref="LWI6:LWL6"/>
    <mergeCell ref="LSY6:LTB6"/>
    <mergeCell ref="LTG6:LTJ6"/>
    <mergeCell ref="LTO6:LTR6"/>
    <mergeCell ref="LTW6:LTZ6"/>
    <mergeCell ref="LUE6:LUH6"/>
    <mergeCell ref="LUM6:LUP6"/>
    <mergeCell ref="MCE6:MCH6"/>
    <mergeCell ref="MCM6:MCP6"/>
    <mergeCell ref="MCU6:MCX6"/>
    <mergeCell ref="MDC6:MDF6"/>
    <mergeCell ref="MDK6:MDN6"/>
    <mergeCell ref="MDS6:MDV6"/>
    <mergeCell ref="MAI6:MAL6"/>
    <mergeCell ref="MAQ6:MAT6"/>
    <mergeCell ref="MAY6:MBB6"/>
    <mergeCell ref="MBG6:MBJ6"/>
    <mergeCell ref="MBO6:MBR6"/>
    <mergeCell ref="MBW6:MBZ6"/>
    <mergeCell ref="LYM6:LYP6"/>
    <mergeCell ref="LYU6:LYX6"/>
    <mergeCell ref="LZC6:LZF6"/>
    <mergeCell ref="LZK6:LZN6"/>
    <mergeCell ref="LZS6:LZV6"/>
    <mergeCell ref="MAA6:MAD6"/>
    <mergeCell ref="MHS6:MHV6"/>
    <mergeCell ref="MIA6:MID6"/>
    <mergeCell ref="MII6:MIL6"/>
    <mergeCell ref="MIQ6:MIT6"/>
    <mergeCell ref="MIY6:MJB6"/>
    <mergeCell ref="MJG6:MJJ6"/>
    <mergeCell ref="MFW6:MFZ6"/>
    <mergeCell ref="MGE6:MGH6"/>
    <mergeCell ref="MGM6:MGP6"/>
    <mergeCell ref="MGU6:MGX6"/>
    <mergeCell ref="MHC6:MHF6"/>
    <mergeCell ref="MHK6:MHN6"/>
    <mergeCell ref="MEA6:MED6"/>
    <mergeCell ref="MEI6:MEL6"/>
    <mergeCell ref="MEQ6:MET6"/>
    <mergeCell ref="MEY6:MFB6"/>
    <mergeCell ref="MFG6:MFJ6"/>
    <mergeCell ref="MFO6:MFR6"/>
    <mergeCell ref="MNG6:MNJ6"/>
    <mergeCell ref="MNO6:MNR6"/>
    <mergeCell ref="MNW6:MNZ6"/>
    <mergeCell ref="MOE6:MOH6"/>
    <mergeCell ref="MOM6:MOP6"/>
    <mergeCell ref="MOU6:MOX6"/>
    <mergeCell ref="MLK6:MLN6"/>
    <mergeCell ref="MLS6:MLV6"/>
    <mergeCell ref="MMA6:MMD6"/>
    <mergeCell ref="MMI6:MML6"/>
    <mergeCell ref="MMQ6:MMT6"/>
    <mergeCell ref="MMY6:MNB6"/>
    <mergeCell ref="MJO6:MJR6"/>
    <mergeCell ref="MJW6:MJZ6"/>
    <mergeCell ref="MKE6:MKH6"/>
    <mergeCell ref="MKM6:MKP6"/>
    <mergeCell ref="MKU6:MKX6"/>
    <mergeCell ref="MLC6:MLF6"/>
    <mergeCell ref="MSU6:MSX6"/>
    <mergeCell ref="MTC6:MTF6"/>
    <mergeCell ref="MTK6:MTN6"/>
    <mergeCell ref="MTS6:MTV6"/>
    <mergeCell ref="MUA6:MUD6"/>
    <mergeCell ref="MUI6:MUL6"/>
    <mergeCell ref="MQY6:MRB6"/>
    <mergeCell ref="MRG6:MRJ6"/>
    <mergeCell ref="MRO6:MRR6"/>
    <mergeCell ref="MRW6:MRZ6"/>
    <mergeCell ref="MSE6:MSH6"/>
    <mergeCell ref="MSM6:MSP6"/>
    <mergeCell ref="MPC6:MPF6"/>
    <mergeCell ref="MPK6:MPN6"/>
    <mergeCell ref="MPS6:MPV6"/>
    <mergeCell ref="MQA6:MQD6"/>
    <mergeCell ref="MQI6:MQL6"/>
    <mergeCell ref="MQQ6:MQT6"/>
    <mergeCell ref="MYI6:MYL6"/>
    <mergeCell ref="MYQ6:MYT6"/>
    <mergeCell ref="MYY6:MZB6"/>
    <mergeCell ref="MZG6:MZJ6"/>
    <mergeCell ref="MZO6:MZR6"/>
    <mergeCell ref="MZW6:MZZ6"/>
    <mergeCell ref="MWM6:MWP6"/>
    <mergeCell ref="MWU6:MWX6"/>
    <mergeCell ref="MXC6:MXF6"/>
    <mergeCell ref="MXK6:MXN6"/>
    <mergeCell ref="MXS6:MXV6"/>
    <mergeCell ref="MYA6:MYD6"/>
    <mergeCell ref="MUQ6:MUT6"/>
    <mergeCell ref="MUY6:MVB6"/>
    <mergeCell ref="MVG6:MVJ6"/>
    <mergeCell ref="MVO6:MVR6"/>
    <mergeCell ref="MVW6:MVZ6"/>
    <mergeCell ref="MWE6:MWH6"/>
    <mergeCell ref="NDW6:NDZ6"/>
    <mergeCell ref="NEE6:NEH6"/>
    <mergeCell ref="NEM6:NEP6"/>
    <mergeCell ref="NEU6:NEX6"/>
    <mergeCell ref="NFC6:NFF6"/>
    <mergeCell ref="NFK6:NFN6"/>
    <mergeCell ref="NCA6:NCD6"/>
    <mergeCell ref="NCI6:NCL6"/>
    <mergeCell ref="NCQ6:NCT6"/>
    <mergeCell ref="NCY6:NDB6"/>
    <mergeCell ref="NDG6:NDJ6"/>
    <mergeCell ref="NDO6:NDR6"/>
    <mergeCell ref="NAE6:NAH6"/>
    <mergeCell ref="NAM6:NAP6"/>
    <mergeCell ref="NAU6:NAX6"/>
    <mergeCell ref="NBC6:NBF6"/>
    <mergeCell ref="NBK6:NBN6"/>
    <mergeCell ref="NBS6:NBV6"/>
    <mergeCell ref="NJK6:NJN6"/>
    <mergeCell ref="NJS6:NJV6"/>
    <mergeCell ref="NKA6:NKD6"/>
    <mergeCell ref="NKI6:NKL6"/>
    <mergeCell ref="NKQ6:NKT6"/>
    <mergeCell ref="NKY6:NLB6"/>
    <mergeCell ref="NHO6:NHR6"/>
    <mergeCell ref="NHW6:NHZ6"/>
    <mergeCell ref="NIE6:NIH6"/>
    <mergeCell ref="NIM6:NIP6"/>
    <mergeCell ref="NIU6:NIX6"/>
    <mergeCell ref="NJC6:NJF6"/>
    <mergeCell ref="NFS6:NFV6"/>
    <mergeCell ref="NGA6:NGD6"/>
    <mergeCell ref="NGI6:NGL6"/>
    <mergeCell ref="NGQ6:NGT6"/>
    <mergeCell ref="NGY6:NHB6"/>
    <mergeCell ref="NHG6:NHJ6"/>
    <mergeCell ref="NOY6:NPB6"/>
    <mergeCell ref="NPG6:NPJ6"/>
    <mergeCell ref="NPO6:NPR6"/>
    <mergeCell ref="NPW6:NPZ6"/>
    <mergeCell ref="NQE6:NQH6"/>
    <mergeCell ref="NQM6:NQP6"/>
    <mergeCell ref="NNC6:NNF6"/>
    <mergeCell ref="NNK6:NNN6"/>
    <mergeCell ref="NNS6:NNV6"/>
    <mergeCell ref="NOA6:NOD6"/>
    <mergeCell ref="NOI6:NOL6"/>
    <mergeCell ref="NOQ6:NOT6"/>
    <mergeCell ref="NLG6:NLJ6"/>
    <mergeCell ref="NLO6:NLR6"/>
    <mergeCell ref="NLW6:NLZ6"/>
    <mergeCell ref="NME6:NMH6"/>
    <mergeCell ref="NMM6:NMP6"/>
    <mergeCell ref="NMU6:NMX6"/>
    <mergeCell ref="NUM6:NUP6"/>
    <mergeCell ref="NUU6:NUX6"/>
    <mergeCell ref="NVC6:NVF6"/>
    <mergeCell ref="NVK6:NVN6"/>
    <mergeCell ref="NVS6:NVV6"/>
    <mergeCell ref="NWA6:NWD6"/>
    <mergeCell ref="NSQ6:NST6"/>
    <mergeCell ref="NSY6:NTB6"/>
    <mergeCell ref="NTG6:NTJ6"/>
    <mergeCell ref="NTO6:NTR6"/>
    <mergeCell ref="NTW6:NTZ6"/>
    <mergeCell ref="NUE6:NUH6"/>
    <mergeCell ref="NQU6:NQX6"/>
    <mergeCell ref="NRC6:NRF6"/>
    <mergeCell ref="NRK6:NRN6"/>
    <mergeCell ref="NRS6:NRV6"/>
    <mergeCell ref="NSA6:NSD6"/>
    <mergeCell ref="NSI6:NSL6"/>
    <mergeCell ref="OAA6:OAD6"/>
    <mergeCell ref="OAI6:OAL6"/>
    <mergeCell ref="OAQ6:OAT6"/>
    <mergeCell ref="OAY6:OBB6"/>
    <mergeCell ref="OBG6:OBJ6"/>
    <mergeCell ref="OBO6:OBR6"/>
    <mergeCell ref="NYE6:NYH6"/>
    <mergeCell ref="NYM6:NYP6"/>
    <mergeCell ref="NYU6:NYX6"/>
    <mergeCell ref="NZC6:NZF6"/>
    <mergeCell ref="NZK6:NZN6"/>
    <mergeCell ref="NZS6:NZV6"/>
    <mergeCell ref="NWI6:NWL6"/>
    <mergeCell ref="NWQ6:NWT6"/>
    <mergeCell ref="NWY6:NXB6"/>
    <mergeCell ref="NXG6:NXJ6"/>
    <mergeCell ref="NXO6:NXR6"/>
    <mergeCell ref="NXW6:NXZ6"/>
    <mergeCell ref="OFO6:OFR6"/>
    <mergeCell ref="OFW6:OFZ6"/>
    <mergeCell ref="OGE6:OGH6"/>
    <mergeCell ref="OGM6:OGP6"/>
    <mergeCell ref="OGU6:OGX6"/>
    <mergeCell ref="OHC6:OHF6"/>
    <mergeCell ref="ODS6:ODV6"/>
    <mergeCell ref="OEA6:OED6"/>
    <mergeCell ref="OEI6:OEL6"/>
    <mergeCell ref="OEQ6:OET6"/>
    <mergeCell ref="OEY6:OFB6"/>
    <mergeCell ref="OFG6:OFJ6"/>
    <mergeCell ref="OBW6:OBZ6"/>
    <mergeCell ref="OCE6:OCH6"/>
    <mergeCell ref="OCM6:OCP6"/>
    <mergeCell ref="OCU6:OCX6"/>
    <mergeCell ref="ODC6:ODF6"/>
    <mergeCell ref="ODK6:ODN6"/>
    <mergeCell ref="OLC6:OLF6"/>
    <mergeCell ref="OLK6:OLN6"/>
    <mergeCell ref="OLS6:OLV6"/>
    <mergeCell ref="OMA6:OMD6"/>
    <mergeCell ref="OMI6:OML6"/>
    <mergeCell ref="OMQ6:OMT6"/>
    <mergeCell ref="OJG6:OJJ6"/>
    <mergeCell ref="OJO6:OJR6"/>
    <mergeCell ref="OJW6:OJZ6"/>
    <mergeCell ref="OKE6:OKH6"/>
    <mergeCell ref="OKM6:OKP6"/>
    <mergeCell ref="OKU6:OKX6"/>
    <mergeCell ref="OHK6:OHN6"/>
    <mergeCell ref="OHS6:OHV6"/>
    <mergeCell ref="OIA6:OID6"/>
    <mergeCell ref="OII6:OIL6"/>
    <mergeCell ref="OIQ6:OIT6"/>
    <mergeCell ref="OIY6:OJB6"/>
    <mergeCell ref="OQQ6:OQT6"/>
    <mergeCell ref="OQY6:ORB6"/>
    <mergeCell ref="ORG6:ORJ6"/>
    <mergeCell ref="ORO6:ORR6"/>
    <mergeCell ref="ORW6:ORZ6"/>
    <mergeCell ref="OSE6:OSH6"/>
    <mergeCell ref="OOU6:OOX6"/>
    <mergeCell ref="OPC6:OPF6"/>
    <mergeCell ref="OPK6:OPN6"/>
    <mergeCell ref="OPS6:OPV6"/>
    <mergeCell ref="OQA6:OQD6"/>
    <mergeCell ref="OQI6:OQL6"/>
    <mergeCell ref="OMY6:ONB6"/>
    <mergeCell ref="ONG6:ONJ6"/>
    <mergeCell ref="ONO6:ONR6"/>
    <mergeCell ref="ONW6:ONZ6"/>
    <mergeCell ref="OOE6:OOH6"/>
    <mergeCell ref="OOM6:OOP6"/>
    <mergeCell ref="OWE6:OWH6"/>
    <mergeCell ref="OWM6:OWP6"/>
    <mergeCell ref="OWU6:OWX6"/>
    <mergeCell ref="OXC6:OXF6"/>
    <mergeCell ref="OXK6:OXN6"/>
    <mergeCell ref="OXS6:OXV6"/>
    <mergeCell ref="OUI6:OUL6"/>
    <mergeCell ref="OUQ6:OUT6"/>
    <mergeCell ref="OUY6:OVB6"/>
    <mergeCell ref="OVG6:OVJ6"/>
    <mergeCell ref="OVO6:OVR6"/>
    <mergeCell ref="OVW6:OVZ6"/>
    <mergeCell ref="OSM6:OSP6"/>
    <mergeCell ref="OSU6:OSX6"/>
    <mergeCell ref="OTC6:OTF6"/>
    <mergeCell ref="OTK6:OTN6"/>
    <mergeCell ref="OTS6:OTV6"/>
    <mergeCell ref="OUA6:OUD6"/>
    <mergeCell ref="PBS6:PBV6"/>
    <mergeCell ref="PCA6:PCD6"/>
    <mergeCell ref="PCI6:PCL6"/>
    <mergeCell ref="PCQ6:PCT6"/>
    <mergeCell ref="PCY6:PDB6"/>
    <mergeCell ref="PDG6:PDJ6"/>
    <mergeCell ref="OZW6:OZZ6"/>
    <mergeCell ref="PAE6:PAH6"/>
    <mergeCell ref="PAM6:PAP6"/>
    <mergeCell ref="PAU6:PAX6"/>
    <mergeCell ref="PBC6:PBF6"/>
    <mergeCell ref="PBK6:PBN6"/>
    <mergeCell ref="OYA6:OYD6"/>
    <mergeCell ref="OYI6:OYL6"/>
    <mergeCell ref="OYQ6:OYT6"/>
    <mergeCell ref="OYY6:OZB6"/>
    <mergeCell ref="OZG6:OZJ6"/>
    <mergeCell ref="OZO6:OZR6"/>
    <mergeCell ref="PHG6:PHJ6"/>
    <mergeCell ref="PHO6:PHR6"/>
    <mergeCell ref="PHW6:PHZ6"/>
    <mergeCell ref="PIE6:PIH6"/>
    <mergeCell ref="PIM6:PIP6"/>
    <mergeCell ref="PIU6:PIX6"/>
    <mergeCell ref="PFK6:PFN6"/>
    <mergeCell ref="PFS6:PFV6"/>
    <mergeCell ref="PGA6:PGD6"/>
    <mergeCell ref="PGI6:PGL6"/>
    <mergeCell ref="PGQ6:PGT6"/>
    <mergeCell ref="PGY6:PHB6"/>
    <mergeCell ref="PDO6:PDR6"/>
    <mergeCell ref="PDW6:PDZ6"/>
    <mergeCell ref="PEE6:PEH6"/>
    <mergeCell ref="PEM6:PEP6"/>
    <mergeCell ref="PEU6:PEX6"/>
    <mergeCell ref="PFC6:PFF6"/>
    <mergeCell ref="PMU6:PMX6"/>
    <mergeCell ref="PNC6:PNF6"/>
    <mergeCell ref="PNK6:PNN6"/>
    <mergeCell ref="PNS6:PNV6"/>
    <mergeCell ref="POA6:POD6"/>
    <mergeCell ref="POI6:POL6"/>
    <mergeCell ref="PKY6:PLB6"/>
    <mergeCell ref="PLG6:PLJ6"/>
    <mergeCell ref="PLO6:PLR6"/>
    <mergeCell ref="PLW6:PLZ6"/>
    <mergeCell ref="PME6:PMH6"/>
    <mergeCell ref="PMM6:PMP6"/>
    <mergeCell ref="PJC6:PJF6"/>
    <mergeCell ref="PJK6:PJN6"/>
    <mergeCell ref="PJS6:PJV6"/>
    <mergeCell ref="PKA6:PKD6"/>
    <mergeCell ref="PKI6:PKL6"/>
    <mergeCell ref="PKQ6:PKT6"/>
    <mergeCell ref="PSI6:PSL6"/>
    <mergeCell ref="PSQ6:PST6"/>
    <mergeCell ref="PSY6:PTB6"/>
    <mergeCell ref="PTG6:PTJ6"/>
    <mergeCell ref="PTO6:PTR6"/>
    <mergeCell ref="PTW6:PTZ6"/>
    <mergeCell ref="PQM6:PQP6"/>
    <mergeCell ref="PQU6:PQX6"/>
    <mergeCell ref="PRC6:PRF6"/>
    <mergeCell ref="PRK6:PRN6"/>
    <mergeCell ref="PRS6:PRV6"/>
    <mergeCell ref="PSA6:PSD6"/>
    <mergeCell ref="POQ6:POT6"/>
    <mergeCell ref="POY6:PPB6"/>
    <mergeCell ref="PPG6:PPJ6"/>
    <mergeCell ref="PPO6:PPR6"/>
    <mergeCell ref="PPW6:PPZ6"/>
    <mergeCell ref="PQE6:PQH6"/>
    <mergeCell ref="PXW6:PXZ6"/>
    <mergeCell ref="PYE6:PYH6"/>
    <mergeCell ref="PYM6:PYP6"/>
    <mergeCell ref="PYU6:PYX6"/>
    <mergeCell ref="PZC6:PZF6"/>
    <mergeCell ref="PZK6:PZN6"/>
    <mergeCell ref="PWA6:PWD6"/>
    <mergeCell ref="PWI6:PWL6"/>
    <mergeCell ref="PWQ6:PWT6"/>
    <mergeCell ref="PWY6:PXB6"/>
    <mergeCell ref="PXG6:PXJ6"/>
    <mergeCell ref="PXO6:PXR6"/>
    <mergeCell ref="PUE6:PUH6"/>
    <mergeCell ref="PUM6:PUP6"/>
    <mergeCell ref="PUU6:PUX6"/>
    <mergeCell ref="PVC6:PVF6"/>
    <mergeCell ref="PVK6:PVN6"/>
    <mergeCell ref="PVS6:PVV6"/>
    <mergeCell ref="QDK6:QDN6"/>
    <mergeCell ref="QDS6:QDV6"/>
    <mergeCell ref="QEA6:QED6"/>
    <mergeCell ref="QEI6:QEL6"/>
    <mergeCell ref="QEQ6:QET6"/>
    <mergeCell ref="QEY6:QFB6"/>
    <mergeCell ref="QBO6:QBR6"/>
    <mergeCell ref="QBW6:QBZ6"/>
    <mergeCell ref="QCE6:QCH6"/>
    <mergeCell ref="QCM6:QCP6"/>
    <mergeCell ref="QCU6:QCX6"/>
    <mergeCell ref="QDC6:QDF6"/>
    <mergeCell ref="PZS6:PZV6"/>
    <mergeCell ref="QAA6:QAD6"/>
    <mergeCell ref="QAI6:QAL6"/>
    <mergeCell ref="QAQ6:QAT6"/>
    <mergeCell ref="QAY6:QBB6"/>
    <mergeCell ref="QBG6:QBJ6"/>
    <mergeCell ref="QIY6:QJB6"/>
    <mergeCell ref="QJG6:QJJ6"/>
    <mergeCell ref="QJO6:QJR6"/>
    <mergeCell ref="QJW6:QJZ6"/>
    <mergeCell ref="QKE6:QKH6"/>
    <mergeCell ref="QKM6:QKP6"/>
    <mergeCell ref="QHC6:QHF6"/>
    <mergeCell ref="QHK6:QHN6"/>
    <mergeCell ref="QHS6:QHV6"/>
    <mergeCell ref="QIA6:QID6"/>
    <mergeCell ref="QII6:QIL6"/>
    <mergeCell ref="QIQ6:QIT6"/>
    <mergeCell ref="QFG6:QFJ6"/>
    <mergeCell ref="QFO6:QFR6"/>
    <mergeCell ref="QFW6:QFZ6"/>
    <mergeCell ref="QGE6:QGH6"/>
    <mergeCell ref="QGM6:QGP6"/>
    <mergeCell ref="QGU6:QGX6"/>
    <mergeCell ref="QOM6:QOP6"/>
    <mergeCell ref="QOU6:QOX6"/>
    <mergeCell ref="QPC6:QPF6"/>
    <mergeCell ref="QPK6:QPN6"/>
    <mergeCell ref="QPS6:QPV6"/>
    <mergeCell ref="QQA6:QQD6"/>
    <mergeCell ref="QMQ6:QMT6"/>
    <mergeCell ref="QMY6:QNB6"/>
    <mergeCell ref="QNG6:QNJ6"/>
    <mergeCell ref="QNO6:QNR6"/>
    <mergeCell ref="QNW6:QNZ6"/>
    <mergeCell ref="QOE6:QOH6"/>
    <mergeCell ref="QKU6:QKX6"/>
    <mergeCell ref="QLC6:QLF6"/>
    <mergeCell ref="QLK6:QLN6"/>
    <mergeCell ref="QLS6:QLV6"/>
    <mergeCell ref="QMA6:QMD6"/>
    <mergeCell ref="QMI6:QML6"/>
    <mergeCell ref="QUA6:QUD6"/>
    <mergeCell ref="QUI6:QUL6"/>
    <mergeCell ref="QUQ6:QUT6"/>
    <mergeCell ref="QUY6:QVB6"/>
    <mergeCell ref="QVG6:QVJ6"/>
    <mergeCell ref="QVO6:QVR6"/>
    <mergeCell ref="QSE6:QSH6"/>
    <mergeCell ref="QSM6:QSP6"/>
    <mergeCell ref="QSU6:QSX6"/>
    <mergeCell ref="QTC6:QTF6"/>
    <mergeCell ref="QTK6:QTN6"/>
    <mergeCell ref="QTS6:QTV6"/>
    <mergeCell ref="QQI6:QQL6"/>
    <mergeCell ref="QQQ6:QQT6"/>
    <mergeCell ref="QQY6:QRB6"/>
    <mergeCell ref="QRG6:QRJ6"/>
    <mergeCell ref="QRO6:QRR6"/>
    <mergeCell ref="QRW6:QRZ6"/>
    <mergeCell ref="QZO6:QZR6"/>
    <mergeCell ref="QZW6:QZZ6"/>
    <mergeCell ref="RAE6:RAH6"/>
    <mergeCell ref="RAM6:RAP6"/>
    <mergeCell ref="RAU6:RAX6"/>
    <mergeCell ref="RBC6:RBF6"/>
    <mergeCell ref="QXS6:QXV6"/>
    <mergeCell ref="QYA6:QYD6"/>
    <mergeCell ref="QYI6:QYL6"/>
    <mergeCell ref="QYQ6:QYT6"/>
    <mergeCell ref="QYY6:QZB6"/>
    <mergeCell ref="QZG6:QZJ6"/>
    <mergeCell ref="QVW6:QVZ6"/>
    <mergeCell ref="QWE6:QWH6"/>
    <mergeCell ref="QWM6:QWP6"/>
    <mergeCell ref="QWU6:QWX6"/>
    <mergeCell ref="QXC6:QXF6"/>
    <mergeCell ref="QXK6:QXN6"/>
    <mergeCell ref="RFC6:RFF6"/>
    <mergeCell ref="RFK6:RFN6"/>
    <mergeCell ref="RFS6:RFV6"/>
    <mergeCell ref="RGA6:RGD6"/>
    <mergeCell ref="RGI6:RGL6"/>
    <mergeCell ref="RGQ6:RGT6"/>
    <mergeCell ref="RDG6:RDJ6"/>
    <mergeCell ref="RDO6:RDR6"/>
    <mergeCell ref="RDW6:RDZ6"/>
    <mergeCell ref="REE6:REH6"/>
    <mergeCell ref="REM6:REP6"/>
    <mergeCell ref="REU6:REX6"/>
    <mergeCell ref="RBK6:RBN6"/>
    <mergeCell ref="RBS6:RBV6"/>
    <mergeCell ref="RCA6:RCD6"/>
    <mergeCell ref="RCI6:RCL6"/>
    <mergeCell ref="RCQ6:RCT6"/>
    <mergeCell ref="RCY6:RDB6"/>
    <mergeCell ref="RKQ6:RKT6"/>
    <mergeCell ref="RKY6:RLB6"/>
    <mergeCell ref="RLG6:RLJ6"/>
    <mergeCell ref="RLO6:RLR6"/>
    <mergeCell ref="RLW6:RLZ6"/>
    <mergeCell ref="RME6:RMH6"/>
    <mergeCell ref="RIU6:RIX6"/>
    <mergeCell ref="RJC6:RJF6"/>
    <mergeCell ref="RJK6:RJN6"/>
    <mergeCell ref="RJS6:RJV6"/>
    <mergeCell ref="RKA6:RKD6"/>
    <mergeCell ref="RKI6:RKL6"/>
    <mergeCell ref="RGY6:RHB6"/>
    <mergeCell ref="RHG6:RHJ6"/>
    <mergeCell ref="RHO6:RHR6"/>
    <mergeCell ref="RHW6:RHZ6"/>
    <mergeCell ref="RIE6:RIH6"/>
    <mergeCell ref="RIM6:RIP6"/>
    <mergeCell ref="RQE6:RQH6"/>
    <mergeCell ref="RQM6:RQP6"/>
    <mergeCell ref="RQU6:RQX6"/>
    <mergeCell ref="RRC6:RRF6"/>
    <mergeCell ref="RRK6:RRN6"/>
    <mergeCell ref="RRS6:RRV6"/>
    <mergeCell ref="ROI6:ROL6"/>
    <mergeCell ref="ROQ6:ROT6"/>
    <mergeCell ref="ROY6:RPB6"/>
    <mergeCell ref="RPG6:RPJ6"/>
    <mergeCell ref="RPO6:RPR6"/>
    <mergeCell ref="RPW6:RPZ6"/>
    <mergeCell ref="RMM6:RMP6"/>
    <mergeCell ref="RMU6:RMX6"/>
    <mergeCell ref="RNC6:RNF6"/>
    <mergeCell ref="RNK6:RNN6"/>
    <mergeCell ref="RNS6:RNV6"/>
    <mergeCell ref="ROA6:ROD6"/>
    <mergeCell ref="RVS6:RVV6"/>
    <mergeCell ref="RWA6:RWD6"/>
    <mergeCell ref="RWI6:RWL6"/>
    <mergeCell ref="RWQ6:RWT6"/>
    <mergeCell ref="RWY6:RXB6"/>
    <mergeCell ref="RXG6:RXJ6"/>
    <mergeCell ref="RTW6:RTZ6"/>
    <mergeCell ref="RUE6:RUH6"/>
    <mergeCell ref="RUM6:RUP6"/>
    <mergeCell ref="RUU6:RUX6"/>
    <mergeCell ref="RVC6:RVF6"/>
    <mergeCell ref="RVK6:RVN6"/>
    <mergeCell ref="RSA6:RSD6"/>
    <mergeCell ref="RSI6:RSL6"/>
    <mergeCell ref="RSQ6:RST6"/>
    <mergeCell ref="RSY6:RTB6"/>
    <mergeCell ref="RTG6:RTJ6"/>
    <mergeCell ref="RTO6:RTR6"/>
    <mergeCell ref="SBG6:SBJ6"/>
    <mergeCell ref="SBO6:SBR6"/>
    <mergeCell ref="SBW6:SBZ6"/>
    <mergeCell ref="SCE6:SCH6"/>
    <mergeCell ref="SCM6:SCP6"/>
    <mergeCell ref="SCU6:SCX6"/>
    <mergeCell ref="RZK6:RZN6"/>
    <mergeCell ref="RZS6:RZV6"/>
    <mergeCell ref="SAA6:SAD6"/>
    <mergeCell ref="SAI6:SAL6"/>
    <mergeCell ref="SAQ6:SAT6"/>
    <mergeCell ref="SAY6:SBB6"/>
    <mergeCell ref="RXO6:RXR6"/>
    <mergeCell ref="RXW6:RXZ6"/>
    <mergeCell ref="RYE6:RYH6"/>
    <mergeCell ref="RYM6:RYP6"/>
    <mergeCell ref="RYU6:RYX6"/>
    <mergeCell ref="RZC6:RZF6"/>
    <mergeCell ref="SGU6:SGX6"/>
    <mergeCell ref="SHC6:SHF6"/>
    <mergeCell ref="SHK6:SHN6"/>
    <mergeCell ref="SHS6:SHV6"/>
    <mergeCell ref="SIA6:SID6"/>
    <mergeCell ref="SII6:SIL6"/>
    <mergeCell ref="SEY6:SFB6"/>
    <mergeCell ref="SFG6:SFJ6"/>
    <mergeCell ref="SFO6:SFR6"/>
    <mergeCell ref="SFW6:SFZ6"/>
    <mergeCell ref="SGE6:SGH6"/>
    <mergeCell ref="SGM6:SGP6"/>
    <mergeCell ref="SDC6:SDF6"/>
    <mergeCell ref="SDK6:SDN6"/>
    <mergeCell ref="SDS6:SDV6"/>
    <mergeCell ref="SEA6:SED6"/>
    <mergeCell ref="SEI6:SEL6"/>
    <mergeCell ref="SEQ6:SET6"/>
    <mergeCell ref="SMI6:SML6"/>
    <mergeCell ref="SMQ6:SMT6"/>
    <mergeCell ref="SMY6:SNB6"/>
    <mergeCell ref="SNG6:SNJ6"/>
    <mergeCell ref="SNO6:SNR6"/>
    <mergeCell ref="SNW6:SNZ6"/>
    <mergeCell ref="SKM6:SKP6"/>
    <mergeCell ref="SKU6:SKX6"/>
    <mergeCell ref="SLC6:SLF6"/>
    <mergeCell ref="SLK6:SLN6"/>
    <mergeCell ref="SLS6:SLV6"/>
    <mergeCell ref="SMA6:SMD6"/>
    <mergeCell ref="SIQ6:SIT6"/>
    <mergeCell ref="SIY6:SJB6"/>
    <mergeCell ref="SJG6:SJJ6"/>
    <mergeCell ref="SJO6:SJR6"/>
    <mergeCell ref="SJW6:SJZ6"/>
    <mergeCell ref="SKE6:SKH6"/>
    <mergeCell ref="SRW6:SRZ6"/>
    <mergeCell ref="SSE6:SSH6"/>
    <mergeCell ref="SSM6:SSP6"/>
    <mergeCell ref="SSU6:SSX6"/>
    <mergeCell ref="STC6:STF6"/>
    <mergeCell ref="STK6:STN6"/>
    <mergeCell ref="SQA6:SQD6"/>
    <mergeCell ref="SQI6:SQL6"/>
    <mergeCell ref="SQQ6:SQT6"/>
    <mergeCell ref="SQY6:SRB6"/>
    <mergeCell ref="SRG6:SRJ6"/>
    <mergeCell ref="SRO6:SRR6"/>
    <mergeCell ref="SOE6:SOH6"/>
    <mergeCell ref="SOM6:SOP6"/>
    <mergeCell ref="SOU6:SOX6"/>
    <mergeCell ref="SPC6:SPF6"/>
    <mergeCell ref="SPK6:SPN6"/>
    <mergeCell ref="SPS6:SPV6"/>
    <mergeCell ref="SXK6:SXN6"/>
    <mergeCell ref="SXS6:SXV6"/>
    <mergeCell ref="SYA6:SYD6"/>
    <mergeCell ref="SYI6:SYL6"/>
    <mergeCell ref="SYQ6:SYT6"/>
    <mergeCell ref="SYY6:SZB6"/>
    <mergeCell ref="SVO6:SVR6"/>
    <mergeCell ref="SVW6:SVZ6"/>
    <mergeCell ref="SWE6:SWH6"/>
    <mergeCell ref="SWM6:SWP6"/>
    <mergeCell ref="SWU6:SWX6"/>
    <mergeCell ref="SXC6:SXF6"/>
    <mergeCell ref="STS6:STV6"/>
    <mergeCell ref="SUA6:SUD6"/>
    <mergeCell ref="SUI6:SUL6"/>
    <mergeCell ref="SUQ6:SUT6"/>
    <mergeCell ref="SUY6:SVB6"/>
    <mergeCell ref="SVG6:SVJ6"/>
    <mergeCell ref="TCY6:TDB6"/>
    <mergeCell ref="TDG6:TDJ6"/>
    <mergeCell ref="TDO6:TDR6"/>
    <mergeCell ref="TDW6:TDZ6"/>
    <mergeCell ref="TEE6:TEH6"/>
    <mergeCell ref="TEM6:TEP6"/>
    <mergeCell ref="TBC6:TBF6"/>
    <mergeCell ref="TBK6:TBN6"/>
    <mergeCell ref="TBS6:TBV6"/>
    <mergeCell ref="TCA6:TCD6"/>
    <mergeCell ref="TCI6:TCL6"/>
    <mergeCell ref="TCQ6:TCT6"/>
    <mergeCell ref="SZG6:SZJ6"/>
    <mergeCell ref="SZO6:SZR6"/>
    <mergeCell ref="SZW6:SZZ6"/>
    <mergeCell ref="TAE6:TAH6"/>
    <mergeCell ref="TAM6:TAP6"/>
    <mergeCell ref="TAU6:TAX6"/>
    <mergeCell ref="TIM6:TIP6"/>
    <mergeCell ref="TIU6:TIX6"/>
    <mergeCell ref="TJC6:TJF6"/>
    <mergeCell ref="TJK6:TJN6"/>
    <mergeCell ref="TJS6:TJV6"/>
    <mergeCell ref="TKA6:TKD6"/>
    <mergeCell ref="TGQ6:TGT6"/>
    <mergeCell ref="TGY6:THB6"/>
    <mergeCell ref="THG6:THJ6"/>
    <mergeCell ref="THO6:THR6"/>
    <mergeCell ref="THW6:THZ6"/>
    <mergeCell ref="TIE6:TIH6"/>
    <mergeCell ref="TEU6:TEX6"/>
    <mergeCell ref="TFC6:TFF6"/>
    <mergeCell ref="TFK6:TFN6"/>
    <mergeCell ref="TFS6:TFV6"/>
    <mergeCell ref="TGA6:TGD6"/>
    <mergeCell ref="TGI6:TGL6"/>
    <mergeCell ref="TOA6:TOD6"/>
    <mergeCell ref="TOI6:TOL6"/>
    <mergeCell ref="TOQ6:TOT6"/>
    <mergeCell ref="TOY6:TPB6"/>
    <mergeCell ref="TPG6:TPJ6"/>
    <mergeCell ref="TPO6:TPR6"/>
    <mergeCell ref="TME6:TMH6"/>
    <mergeCell ref="TMM6:TMP6"/>
    <mergeCell ref="TMU6:TMX6"/>
    <mergeCell ref="TNC6:TNF6"/>
    <mergeCell ref="TNK6:TNN6"/>
    <mergeCell ref="TNS6:TNV6"/>
    <mergeCell ref="TKI6:TKL6"/>
    <mergeCell ref="TKQ6:TKT6"/>
    <mergeCell ref="TKY6:TLB6"/>
    <mergeCell ref="TLG6:TLJ6"/>
    <mergeCell ref="TLO6:TLR6"/>
    <mergeCell ref="TLW6:TLZ6"/>
    <mergeCell ref="TTO6:TTR6"/>
    <mergeCell ref="TTW6:TTZ6"/>
    <mergeCell ref="TUE6:TUH6"/>
    <mergeCell ref="TUM6:TUP6"/>
    <mergeCell ref="TUU6:TUX6"/>
    <mergeCell ref="TVC6:TVF6"/>
    <mergeCell ref="TRS6:TRV6"/>
    <mergeCell ref="TSA6:TSD6"/>
    <mergeCell ref="TSI6:TSL6"/>
    <mergeCell ref="TSQ6:TST6"/>
    <mergeCell ref="TSY6:TTB6"/>
    <mergeCell ref="TTG6:TTJ6"/>
    <mergeCell ref="TPW6:TPZ6"/>
    <mergeCell ref="TQE6:TQH6"/>
    <mergeCell ref="TQM6:TQP6"/>
    <mergeCell ref="TQU6:TQX6"/>
    <mergeCell ref="TRC6:TRF6"/>
    <mergeCell ref="TRK6:TRN6"/>
    <mergeCell ref="TZC6:TZF6"/>
    <mergeCell ref="TZK6:TZN6"/>
    <mergeCell ref="TZS6:TZV6"/>
    <mergeCell ref="UAA6:UAD6"/>
    <mergeCell ref="UAI6:UAL6"/>
    <mergeCell ref="UAQ6:UAT6"/>
    <mergeCell ref="TXG6:TXJ6"/>
    <mergeCell ref="TXO6:TXR6"/>
    <mergeCell ref="TXW6:TXZ6"/>
    <mergeCell ref="TYE6:TYH6"/>
    <mergeCell ref="TYM6:TYP6"/>
    <mergeCell ref="TYU6:TYX6"/>
    <mergeCell ref="TVK6:TVN6"/>
    <mergeCell ref="TVS6:TVV6"/>
    <mergeCell ref="TWA6:TWD6"/>
    <mergeCell ref="TWI6:TWL6"/>
    <mergeCell ref="TWQ6:TWT6"/>
    <mergeCell ref="TWY6:TXB6"/>
    <mergeCell ref="UEQ6:UET6"/>
    <mergeCell ref="UEY6:UFB6"/>
    <mergeCell ref="UFG6:UFJ6"/>
    <mergeCell ref="UFO6:UFR6"/>
    <mergeCell ref="UFW6:UFZ6"/>
    <mergeCell ref="UGE6:UGH6"/>
    <mergeCell ref="UCU6:UCX6"/>
    <mergeCell ref="UDC6:UDF6"/>
    <mergeCell ref="UDK6:UDN6"/>
    <mergeCell ref="UDS6:UDV6"/>
    <mergeCell ref="UEA6:UED6"/>
    <mergeCell ref="UEI6:UEL6"/>
    <mergeCell ref="UAY6:UBB6"/>
    <mergeCell ref="UBG6:UBJ6"/>
    <mergeCell ref="UBO6:UBR6"/>
    <mergeCell ref="UBW6:UBZ6"/>
    <mergeCell ref="UCE6:UCH6"/>
    <mergeCell ref="UCM6:UCP6"/>
    <mergeCell ref="UKE6:UKH6"/>
    <mergeCell ref="UKM6:UKP6"/>
    <mergeCell ref="UKU6:UKX6"/>
    <mergeCell ref="ULC6:ULF6"/>
    <mergeCell ref="ULK6:ULN6"/>
    <mergeCell ref="ULS6:ULV6"/>
    <mergeCell ref="UII6:UIL6"/>
    <mergeCell ref="UIQ6:UIT6"/>
    <mergeCell ref="UIY6:UJB6"/>
    <mergeCell ref="UJG6:UJJ6"/>
    <mergeCell ref="UJO6:UJR6"/>
    <mergeCell ref="UJW6:UJZ6"/>
    <mergeCell ref="UGM6:UGP6"/>
    <mergeCell ref="UGU6:UGX6"/>
    <mergeCell ref="UHC6:UHF6"/>
    <mergeCell ref="UHK6:UHN6"/>
    <mergeCell ref="UHS6:UHV6"/>
    <mergeCell ref="UIA6:UID6"/>
    <mergeCell ref="UPS6:UPV6"/>
    <mergeCell ref="UQA6:UQD6"/>
    <mergeCell ref="UQI6:UQL6"/>
    <mergeCell ref="UQQ6:UQT6"/>
    <mergeCell ref="UQY6:URB6"/>
    <mergeCell ref="URG6:URJ6"/>
    <mergeCell ref="UNW6:UNZ6"/>
    <mergeCell ref="UOE6:UOH6"/>
    <mergeCell ref="UOM6:UOP6"/>
    <mergeCell ref="UOU6:UOX6"/>
    <mergeCell ref="UPC6:UPF6"/>
    <mergeCell ref="UPK6:UPN6"/>
    <mergeCell ref="UMA6:UMD6"/>
    <mergeCell ref="UMI6:UML6"/>
    <mergeCell ref="UMQ6:UMT6"/>
    <mergeCell ref="UMY6:UNB6"/>
    <mergeCell ref="UNG6:UNJ6"/>
    <mergeCell ref="UNO6:UNR6"/>
    <mergeCell ref="UVG6:UVJ6"/>
    <mergeCell ref="UVO6:UVR6"/>
    <mergeCell ref="UVW6:UVZ6"/>
    <mergeCell ref="UWE6:UWH6"/>
    <mergeCell ref="UWM6:UWP6"/>
    <mergeCell ref="UWU6:UWX6"/>
    <mergeCell ref="UTK6:UTN6"/>
    <mergeCell ref="UTS6:UTV6"/>
    <mergeCell ref="UUA6:UUD6"/>
    <mergeCell ref="UUI6:UUL6"/>
    <mergeCell ref="UUQ6:UUT6"/>
    <mergeCell ref="UUY6:UVB6"/>
    <mergeCell ref="URO6:URR6"/>
    <mergeCell ref="URW6:URZ6"/>
    <mergeCell ref="USE6:USH6"/>
    <mergeCell ref="USM6:USP6"/>
    <mergeCell ref="USU6:USX6"/>
    <mergeCell ref="UTC6:UTF6"/>
    <mergeCell ref="VAU6:VAX6"/>
    <mergeCell ref="VBC6:VBF6"/>
    <mergeCell ref="VBK6:VBN6"/>
    <mergeCell ref="VBS6:VBV6"/>
    <mergeCell ref="VCA6:VCD6"/>
    <mergeCell ref="VCI6:VCL6"/>
    <mergeCell ref="UYY6:UZB6"/>
    <mergeCell ref="UZG6:UZJ6"/>
    <mergeCell ref="UZO6:UZR6"/>
    <mergeCell ref="UZW6:UZZ6"/>
    <mergeCell ref="VAE6:VAH6"/>
    <mergeCell ref="VAM6:VAP6"/>
    <mergeCell ref="UXC6:UXF6"/>
    <mergeCell ref="UXK6:UXN6"/>
    <mergeCell ref="UXS6:UXV6"/>
    <mergeCell ref="UYA6:UYD6"/>
    <mergeCell ref="UYI6:UYL6"/>
    <mergeCell ref="UYQ6:UYT6"/>
    <mergeCell ref="VGI6:VGL6"/>
    <mergeCell ref="VGQ6:VGT6"/>
    <mergeCell ref="VGY6:VHB6"/>
    <mergeCell ref="VHG6:VHJ6"/>
    <mergeCell ref="VHO6:VHR6"/>
    <mergeCell ref="VHW6:VHZ6"/>
    <mergeCell ref="VEM6:VEP6"/>
    <mergeCell ref="VEU6:VEX6"/>
    <mergeCell ref="VFC6:VFF6"/>
    <mergeCell ref="VFK6:VFN6"/>
    <mergeCell ref="VFS6:VFV6"/>
    <mergeCell ref="VGA6:VGD6"/>
    <mergeCell ref="VCQ6:VCT6"/>
    <mergeCell ref="VCY6:VDB6"/>
    <mergeCell ref="VDG6:VDJ6"/>
    <mergeCell ref="VDO6:VDR6"/>
    <mergeCell ref="VDW6:VDZ6"/>
    <mergeCell ref="VEE6:VEH6"/>
    <mergeCell ref="VLW6:VLZ6"/>
    <mergeCell ref="VME6:VMH6"/>
    <mergeCell ref="VMM6:VMP6"/>
    <mergeCell ref="VMU6:VMX6"/>
    <mergeCell ref="VNC6:VNF6"/>
    <mergeCell ref="VNK6:VNN6"/>
    <mergeCell ref="VKA6:VKD6"/>
    <mergeCell ref="VKI6:VKL6"/>
    <mergeCell ref="VKQ6:VKT6"/>
    <mergeCell ref="VKY6:VLB6"/>
    <mergeCell ref="VLG6:VLJ6"/>
    <mergeCell ref="VLO6:VLR6"/>
    <mergeCell ref="VIE6:VIH6"/>
    <mergeCell ref="VIM6:VIP6"/>
    <mergeCell ref="VIU6:VIX6"/>
    <mergeCell ref="VJC6:VJF6"/>
    <mergeCell ref="VJK6:VJN6"/>
    <mergeCell ref="VJS6:VJV6"/>
    <mergeCell ref="VRK6:VRN6"/>
    <mergeCell ref="VRS6:VRV6"/>
    <mergeCell ref="VSA6:VSD6"/>
    <mergeCell ref="VSI6:VSL6"/>
    <mergeCell ref="VSQ6:VST6"/>
    <mergeCell ref="VSY6:VTB6"/>
    <mergeCell ref="VPO6:VPR6"/>
    <mergeCell ref="VPW6:VPZ6"/>
    <mergeCell ref="VQE6:VQH6"/>
    <mergeCell ref="VQM6:VQP6"/>
    <mergeCell ref="VQU6:VQX6"/>
    <mergeCell ref="VRC6:VRF6"/>
    <mergeCell ref="VNS6:VNV6"/>
    <mergeCell ref="VOA6:VOD6"/>
    <mergeCell ref="VOI6:VOL6"/>
    <mergeCell ref="VOQ6:VOT6"/>
    <mergeCell ref="VOY6:VPB6"/>
    <mergeCell ref="VPG6:VPJ6"/>
    <mergeCell ref="VWY6:VXB6"/>
    <mergeCell ref="VXG6:VXJ6"/>
    <mergeCell ref="VXO6:VXR6"/>
    <mergeCell ref="VXW6:VXZ6"/>
    <mergeCell ref="VYE6:VYH6"/>
    <mergeCell ref="VYM6:VYP6"/>
    <mergeCell ref="VVC6:VVF6"/>
    <mergeCell ref="VVK6:VVN6"/>
    <mergeCell ref="VVS6:VVV6"/>
    <mergeCell ref="VWA6:VWD6"/>
    <mergeCell ref="VWI6:VWL6"/>
    <mergeCell ref="VWQ6:VWT6"/>
    <mergeCell ref="VTG6:VTJ6"/>
    <mergeCell ref="VTO6:VTR6"/>
    <mergeCell ref="VTW6:VTZ6"/>
    <mergeCell ref="VUE6:VUH6"/>
    <mergeCell ref="VUM6:VUP6"/>
    <mergeCell ref="VUU6:VUX6"/>
    <mergeCell ref="WCM6:WCP6"/>
    <mergeCell ref="WCU6:WCX6"/>
    <mergeCell ref="WDC6:WDF6"/>
    <mergeCell ref="WDK6:WDN6"/>
    <mergeCell ref="WDS6:WDV6"/>
    <mergeCell ref="WEA6:WED6"/>
    <mergeCell ref="WAQ6:WAT6"/>
    <mergeCell ref="WAY6:WBB6"/>
    <mergeCell ref="WBG6:WBJ6"/>
    <mergeCell ref="WBO6:WBR6"/>
    <mergeCell ref="WBW6:WBZ6"/>
    <mergeCell ref="WCE6:WCH6"/>
    <mergeCell ref="VYU6:VYX6"/>
    <mergeCell ref="VZC6:VZF6"/>
    <mergeCell ref="VZK6:VZN6"/>
    <mergeCell ref="VZS6:VZV6"/>
    <mergeCell ref="WAA6:WAD6"/>
    <mergeCell ref="WAI6:WAL6"/>
    <mergeCell ref="WIA6:WID6"/>
    <mergeCell ref="WII6:WIL6"/>
    <mergeCell ref="WIQ6:WIT6"/>
    <mergeCell ref="WIY6:WJB6"/>
    <mergeCell ref="WJG6:WJJ6"/>
    <mergeCell ref="WJO6:WJR6"/>
    <mergeCell ref="WGE6:WGH6"/>
    <mergeCell ref="WGM6:WGP6"/>
    <mergeCell ref="WGU6:WGX6"/>
    <mergeCell ref="WHC6:WHF6"/>
    <mergeCell ref="WHK6:WHN6"/>
    <mergeCell ref="WHS6:WHV6"/>
    <mergeCell ref="WEI6:WEL6"/>
    <mergeCell ref="WEQ6:WET6"/>
    <mergeCell ref="WEY6:WFB6"/>
    <mergeCell ref="WFG6:WFJ6"/>
    <mergeCell ref="WFO6:WFR6"/>
    <mergeCell ref="WFW6:WFZ6"/>
    <mergeCell ref="WNO6:WNR6"/>
    <mergeCell ref="WNW6:WNZ6"/>
    <mergeCell ref="WOE6:WOH6"/>
    <mergeCell ref="WOM6:WOP6"/>
    <mergeCell ref="WOU6:WOX6"/>
    <mergeCell ref="WPC6:WPF6"/>
    <mergeCell ref="WLS6:WLV6"/>
    <mergeCell ref="WMA6:WMD6"/>
    <mergeCell ref="WMI6:WML6"/>
    <mergeCell ref="WMQ6:WMT6"/>
    <mergeCell ref="WMY6:WNB6"/>
    <mergeCell ref="WNG6:WNJ6"/>
    <mergeCell ref="WJW6:WJZ6"/>
    <mergeCell ref="WKE6:WKH6"/>
    <mergeCell ref="WKM6:WKP6"/>
    <mergeCell ref="WKU6:WKX6"/>
    <mergeCell ref="WLC6:WLF6"/>
    <mergeCell ref="WLK6:WLN6"/>
    <mergeCell ref="WVO6:WVR6"/>
    <mergeCell ref="WVW6:WVZ6"/>
    <mergeCell ref="WWE6:WWH6"/>
    <mergeCell ref="WWM6:WWP6"/>
    <mergeCell ref="WTC6:WTF6"/>
    <mergeCell ref="WTK6:WTN6"/>
    <mergeCell ref="WTS6:WTV6"/>
    <mergeCell ref="WUA6:WUD6"/>
    <mergeCell ref="WUI6:WUL6"/>
    <mergeCell ref="WUQ6:WUT6"/>
    <mergeCell ref="WRG6:WRJ6"/>
    <mergeCell ref="WRO6:WRR6"/>
    <mergeCell ref="WRW6:WRZ6"/>
    <mergeCell ref="WSE6:WSH6"/>
    <mergeCell ref="WSM6:WSP6"/>
    <mergeCell ref="WSU6:WSX6"/>
    <mergeCell ref="WPK6:WPN6"/>
    <mergeCell ref="WPS6:WPV6"/>
    <mergeCell ref="WQA6:WQD6"/>
    <mergeCell ref="WQI6:WQL6"/>
    <mergeCell ref="WQQ6:WQT6"/>
    <mergeCell ref="WQY6:WRB6"/>
    <mergeCell ref="XEE6:XEH6"/>
    <mergeCell ref="XEM6:XEP6"/>
    <mergeCell ref="XEU6:XEX6"/>
    <mergeCell ref="A9:D9"/>
    <mergeCell ref="A10:D10"/>
    <mergeCell ref="A11:D11"/>
    <mergeCell ref="XCI6:XCL6"/>
    <mergeCell ref="XCQ6:XCT6"/>
    <mergeCell ref="XCY6:XDB6"/>
    <mergeCell ref="XDG6:XDJ6"/>
    <mergeCell ref="XDO6:XDR6"/>
    <mergeCell ref="XDW6:XDZ6"/>
    <mergeCell ref="XAM6:XAP6"/>
    <mergeCell ref="XAU6:XAX6"/>
    <mergeCell ref="XBC6:XBF6"/>
    <mergeCell ref="XBK6:XBN6"/>
    <mergeCell ref="XBS6:XBV6"/>
    <mergeCell ref="XCA6:XCD6"/>
    <mergeCell ref="WYQ6:WYT6"/>
    <mergeCell ref="WYY6:WZB6"/>
    <mergeCell ref="WZG6:WZJ6"/>
    <mergeCell ref="WZO6:WZR6"/>
    <mergeCell ref="WZW6:WZZ6"/>
    <mergeCell ref="XAE6:XAH6"/>
    <mergeCell ref="WWU6:WWX6"/>
    <mergeCell ref="WXC6:WXF6"/>
    <mergeCell ref="WXK6:WXN6"/>
    <mergeCell ref="WXS6:WXV6"/>
    <mergeCell ref="WYA6:WYD6"/>
    <mergeCell ref="WYI6:WYL6"/>
    <mergeCell ref="WUY6:WVB6"/>
    <mergeCell ref="WVG6:WVJ6"/>
    <mergeCell ref="A45:D45"/>
    <mergeCell ref="A46:D46"/>
    <mergeCell ref="A47:D47"/>
    <mergeCell ref="A48:D48"/>
    <mergeCell ref="A50:D50"/>
    <mergeCell ref="A52:D52"/>
    <mergeCell ref="A24:D24"/>
    <mergeCell ref="A25:D25"/>
    <mergeCell ref="A26:D26"/>
    <mergeCell ref="A27:D27"/>
    <mergeCell ref="A28:D28"/>
    <mergeCell ref="A35:D35"/>
    <mergeCell ref="A12:D12"/>
    <mergeCell ref="A18:D18"/>
    <mergeCell ref="A20:D20"/>
    <mergeCell ref="A21:D21"/>
    <mergeCell ref="A22:D22"/>
    <mergeCell ref="A23:D23"/>
  </mergeCells>
  <pageMargins left="0.25" right="0.25" top="0.75" bottom="0.75" header="0.3" footer="0.3"/>
  <pageSetup paperSize="9" scale="9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1"/>
  <sheetViews>
    <sheetView showGridLines="0" view="pageBreakPreview" zoomScale="60" zoomScaleNormal="96" zoomScalePageLayoutView="70" workbookViewId="0">
      <selection activeCell="C5" sqref="C5:C8"/>
    </sheetView>
  </sheetViews>
  <sheetFormatPr defaultColWidth="1.125" defaultRowHeight="30" customHeight="1" x14ac:dyDescent="0.25"/>
  <cols>
    <col min="1" max="1" width="63.125" style="132" customWidth="1"/>
    <col min="2" max="2" width="14.25" style="132" bestFit="1" customWidth="1"/>
    <col min="3" max="3" width="7.5" style="132" bestFit="1" customWidth="1"/>
    <col min="4" max="16375" width="0" style="132" hidden="1" customWidth="1"/>
    <col min="16376" max="16376" width="0.75" style="132" hidden="1" customWidth="1"/>
    <col min="16377" max="16377" width="1.125" style="132" customWidth="1"/>
    <col min="16378" max="16384" width="1.125" style="132"/>
  </cols>
  <sheetData>
    <row r="1" spans="1:16383" s="133" customFormat="1" ht="30" customHeight="1" x14ac:dyDescent="0.25">
      <c r="A1" s="347" t="s">
        <v>1829</v>
      </c>
      <c r="B1" s="348"/>
      <c r="C1" s="348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536"/>
      <c r="BZ1" s="536"/>
      <c r="CA1" s="536"/>
      <c r="CB1" s="536"/>
      <c r="CC1" s="536"/>
      <c r="CD1" s="536"/>
      <c r="CE1" s="536"/>
      <c r="CF1" s="536"/>
      <c r="CG1" s="536"/>
      <c r="CH1" s="536"/>
      <c r="CI1" s="536"/>
      <c r="CJ1" s="536"/>
      <c r="CK1" s="536"/>
      <c r="CL1" s="536"/>
      <c r="CM1" s="536"/>
      <c r="CN1" s="536"/>
      <c r="CO1" s="536"/>
      <c r="CP1" s="536"/>
      <c r="CQ1" s="536"/>
      <c r="CR1" s="536"/>
      <c r="CS1" s="536"/>
      <c r="CT1" s="536"/>
      <c r="CU1" s="536"/>
      <c r="CV1" s="536"/>
      <c r="CW1" s="536"/>
      <c r="CX1" s="536"/>
      <c r="CY1" s="536"/>
      <c r="CZ1" s="536"/>
      <c r="DA1" s="536"/>
      <c r="DB1" s="536"/>
      <c r="DC1" s="536"/>
      <c r="DD1" s="536"/>
      <c r="DE1" s="536"/>
      <c r="DF1" s="536"/>
      <c r="DG1" s="536"/>
      <c r="DH1" s="536"/>
      <c r="DI1" s="536"/>
      <c r="DJ1" s="536"/>
      <c r="DK1" s="536"/>
      <c r="DL1" s="536"/>
      <c r="DM1" s="536"/>
      <c r="DN1" s="536"/>
      <c r="DO1" s="536"/>
      <c r="DP1" s="536"/>
      <c r="DQ1" s="536"/>
      <c r="DR1" s="536"/>
      <c r="DS1" s="536"/>
      <c r="DT1" s="536"/>
      <c r="DU1" s="536"/>
      <c r="DV1" s="536"/>
      <c r="DW1" s="536"/>
      <c r="DX1" s="536"/>
      <c r="DY1" s="536"/>
      <c r="DZ1" s="536"/>
      <c r="EA1" s="536"/>
      <c r="EB1" s="536"/>
      <c r="EC1" s="536"/>
      <c r="ED1" s="536"/>
      <c r="EE1" s="536"/>
      <c r="EF1" s="536"/>
      <c r="EG1" s="536"/>
      <c r="EH1" s="536"/>
      <c r="EI1" s="536"/>
      <c r="EJ1" s="536"/>
      <c r="EK1" s="536"/>
      <c r="EL1" s="536"/>
      <c r="EM1" s="536"/>
      <c r="EN1" s="536"/>
      <c r="EO1" s="536"/>
      <c r="EP1" s="536"/>
      <c r="EQ1" s="536"/>
      <c r="ER1" s="536"/>
      <c r="ES1" s="536"/>
      <c r="ET1" s="536"/>
      <c r="EU1" s="536"/>
      <c r="EV1" s="536"/>
      <c r="EW1" s="536"/>
      <c r="EX1" s="536"/>
      <c r="EY1" s="536"/>
      <c r="EZ1" s="536"/>
      <c r="FA1" s="536"/>
      <c r="FB1" s="536"/>
      <c r="FC1" s="536"/>
      <c r="FD1" s="536"/>
      <c r="FE1" s="536"/>
      <c r="FF1" s="536"/>
      <c r="FG1" s="536"/>
      <c r="FH1" s="536"/>
      <c r="FI1" s="536"/>
      <c r="FJ1" s="536"/>
      <c r="FK1" s="536"/>
      <c r="FL1" s="536"/>
      <c r="FM1" s="536"/>
      <c r="FN1" s="536"/>
      <c r="FO1" s="536"/>
      <c r="FP1" s="536"/>
      <c r="FQ1" s="536"/>
      <c r="FR1" s="536"/>
      <c r="FS1" s="536"/>
      <c r="FT1" s="536"/>
      <c r="FU1" s="536"/>
      <c r="FV1" s="536"/>
      <c r="FW1" s="536"/>
      <c r="FX1" s="536"/>
      <c r="FY1" s="536"/>
      <c r="FZ1" s="536"/>
      <c r="GA1" s="536"/>
      <c r="GB1" s="536"/>
      <c r="GC1" s="536"/>
      <c r="GD1" s="536"/>
      <c r="GE1" s="536"/>
      <c r="GF1" s="536"/>
      <c r="GG1" s="536"/>
      <c r="GH1" s="536"/>
      <c r="GI1" s="536"/>
      <c r="GJ1" s="536"/>
      <c r="GK1" s="536"/>
      <c r="GL1" s="536"/>
      <c r="GM1" s="536"/>
      <c r="GN1" s="536"/>
      <c r="GO1" s="536"/>
      <c r="GP1" s="536"/>
      <c r="GQ1" s="536"/>
      <c r="GR1" s="536"/>
      <c r="GS1" s="536"/>
      <c r="GT1" s="536"/>
      <c r="GU1" s="536"/>
      <c r="GV1" s="536"/>
      <c r="GW1" s="536"/>
      <c r="GX1" s="536"/>
      <c r="GY1" s="536"/>
      <c r="GZ1" s="536"/>
      <c r="HA1" s="536"/>
      <c r="HB1" s="536"/>
      <c r="HC1" s="536"/>
      <c r="HD1" s="536"/>
      <c r="HE1" s="536"/>
      <c r="HF1" s="536"/>
      <c r="HG1" s="536"/>
      <c r="HH1" s="536"/>
      <c r="HI1" s="536"/>
      <c r="HJ1" s="536"/>
      <c r="HK1" s="536"/>
      <c r="HL1" s="536"/>
      <c r="HM1" s="536"/>
      <c r="HN1" s="536"/>
      <c r="HO1" s="536"/>
      <c r="HP1" s="536"/>
      <c r="HQ1" s="536"/>
      <c r="HR1" s="536"/>
      <c r="HS1" s="536"/>
      <c r="HT1" s="536"/>
      <c r="HU1" s="536"/>
      <c r="HV1" s="536"/>
      <c r="HW1" s="536"/>
      <c r="HX1" s="536"/>
      <c r="HY1" s="536"/>
      <c r="HZ1" s="536"/>
      <c r="IA1" s="536"/>
      <c r="IB1" s="536"/>
      <c r="IC1" s="536"/>
      <c r="ID1" s="536"/>
      <c r="IE1" s="536"/>
      <c r="IF1" s="536"/>
      <c r="IG1" s="536"/>
      <c r="IH1" s="536"/>
      <c r="II1" s="536"/>
      <c r="IJ1" s="536"/>
      <c r="IK1" s="536"/>
      <c r="IL1" s="536"/>
      <c r="IM1" s="536"/>
      <c r="IN1" s="536"/>
      <c r="IO1" s="536"/>
      <c r="IP1" s="536"/>
      <c r="IQ1" s="536"/>
      <c r="IR1" s="536"/>
      <c r="IS1" s="536"/>
      <c r="IT1" s="536"/>
      <c r="IU1" s="536"/>
      <c r="IV1" s="536"/>
      <c r="IW1" s="536"/>
      <c r="IX1" s="536"/>
      <c r="IY1" s="536"/>
      <c r="IZ1" s="536"/>
      <c r="JA1" s="536"/>
      <c r="JB1" s="536"/>
      <c r="JC1" s="536"/>
      <c r="JD1" s="536"/>
      <c r="JE1" s="536"/>
      <c r="JF1" s="536"/>
      <c r="JG1" s="536"/>
      <c r="JH1" s="536"/>
      <c r="JI1" s="536"/>
      <c r="JJ1" s="536"/>
      <c r="JK1" s="536"/>
      <c r="JL1" s="536"/>
      <c r="JM1" s="536"/>
      <c r="JN1" s="536"/>
      <c r="JO1" s="536"/>
      <c r="JP1" s="536"/>
      <c r="JQ1" s="536"/>
      <c r="JR1" s="536"/>
      <c r="JS1" s="536"/>
      <c r="JT1" s="536"/>
      <c r="JU1" s="536"/>
      <c r="JV1" s="536"/>
      <c r="JW1" s="536"/>
      <c r="JX1" s="536"/>
      <c r="JY1" s="536"/>
      <c r="JZ1" s="536"/>
      <c r="KA1" s="536"/>
      <c r="KB1" s="536"/>
      <c r="KC1" s="536"/>
      <c r="KD1" s="536"/>
      <c r="KE1" s="536"/>
      <c r="KF1" s="536"/>
      <c r="KG1" s="536"/>
      <c r="KH1" s="536"/>
      <c r="KI1" s="536"/>
      <c r="KJ1" s="536"/>
      <c r="KK1" s="536"/>
      <c r="KL1" s="536"/>
      <c r="KM1" s="536"/>
      <c r="KN1" s="536"/>
      <c r="KO1" s="536"/>
      <c r="KP1" s="536"/>
      <c r="KQ1" s="536"/>
      <c r="KR1" s="536"/>
      <c r="KS1" s="536"/>
      <c r="KT1" s="536"/>
      <c r="KU1" s="536"/>
      <c r="KV1" s="536"/>
      <c r="KW1" s="536"/>
      <c r="KX1" s="536"/>
      <c r="KY1" s="536"/>
      <c r="KZ1" s="536"/>
      <c r="LA1" s="536"/>
      <c r="LB1" s="536"/>
      <c r="LC1" s="536"/>
      <c r="LD1" s="536"/>
      <c r="LE1" s="536"/>
      <c r="LF1" s="536"/>
      <c r="LG1" s="536"/>
      <c r="LH1" s="536"/>
      <c r="LI1" s="536"/>
      <c r="LJ1" s="536"/>
      <c r="LK1" s="536"/>
      <c r="LL1" s="536"/>
      <c r="LM1" s="536"/>
      <c r="LN1" s="536"/>
      <c r="LO1" s="536"/>
      <c r="LP1" s="536"/>
      <c r="LQ1" s="536"/>
      <c r="LR1" s="536"/>
      <c r="LS1" s="536"/>
      <c r="LT1" s="536"/>
      <c r="LU1" s="536"/>
      <c r="LV1" s="536"/>
      <c r="LW1" s="536"/>
      <c r="LX1" s="536"/>
      <c r="LY1" s="536"/>
      <c r="LZ1" s="536"/>
      <c r="MA1" s="536"/>
      <c r="MB1" s="536"/>
      <c r="MC1" s="536"/>
      <c r="MD1" s="536"/>
      <c r="ME1" s="536"/>
      <c r="MF1" s="536"/>
      <c r="MG1" s="536"/>
      <c r="MH1" s="536"/>
      <c r="MI1" s="536"/>
      <c r="MJ1" s="536"/>
      <c r="MK1" s="536"/>
      <c r="ML1" s="536"/>
      <c r="MM1" s="536"/>
      <c r="MN1" s="536"/>
      <c r="MO1" s="536"/>
      <c r="MP1" s="536"/>
      <c r="MQ1" s="536"/>
      <c r="MR1" s="536"/>
      <c r="MS1" s="536"/>
      <c r="MT1" s="536"/>
      <c r="MU1" s="536"/>
      <c r="MV1" s="536"/>
      <c r="MW1" s="536"/>
      <c r="MX1" s="536"/>
      <c r="MY1" s="536"/>
      <c r="MZ1" s="536"/>
      <c r="NA1" s="536"/>
      <c r="NB1" s="536"/>
      <c r="NC1" s="536"/>
      <c r="ND1" s="536"/>
      <c r="NE1" s="536"/>
      <c r="NF1" s="536"/>
      <c r="NG1" s="536"/>
      <c r="NH1" s="536"/>
      <c r="NI1" s="536"/>
      <c r="NJ1" s="536"/>
      <c r="NK1" s="536"/>
      <c r="NL1" s="536"/>
      <c r="NM1" s="536"/>
      <c r="NN1" s="536"/>
      <c r="NO1" s="536"/>
      <c r="NP1" s="536"/>
      <c r="NQ1" s="536"/>
      <c r="NR1" s="536"/>
      <c r="NS1" s="536"/>
      <c r="NT1" s="536"/>
      <c r="NU1" s="536"/>
      <c r="NV1" s="536"/>
      <c r="NW1" s="536"/>
      <c r="NX1" s="536"/>
      <c r="NY1" s="536"/>
      <c r="NZ1" s="536"/>
      <c r="OA1" s="536"/>
      <c r="OB1" s="536"/>
      <c r="OC1" s="536"/>
      <c r="OD1" s="536"/>
      <c r="OE1" s="536"/>
      <c r="OF1" s="536"/>
      <c r="OG1" s="536"/>
      <c r="OH1" s="536"/>
      <c r="OI1" s="536"/>
      <c r="OJ1" s="536"/>
      <c r="OK1" s="536"/>
      <c r="OL1" s="536"/>
      <c r="OM1" s="536"/>
      <c r="ON1" s="536"/>
      <c r="OO1" s="536"/>
      <c r="OP1" s="536"/>
      <c r="OQ1" s="536"/>
      <c r="OR1" s="536"/>
      <c r="OS1" s="536"/>
      <c r="OT1" s="536"/>
      <c r="OU1" s="536"/>
      <c r="OV1" s="536"/>
      <c r="OW1" s="536"/>
      <c r="OX1" s="536"/>
      <c r="OY1" s="536"/>
      <c r="OZ1" s="536"/>
      <c r="PA1" s="536"/>
      <c r="PB1" s="536"/>
      <c r="PC1" s="536"/>
      <c r="PD1" s="536"/>
      <c r="PE1" s="536"/>
      <c r="PF1" s="536"/>
      <c r="PG1" s="536"/>
      <c r="PH1" s="536"/>
      <c r="PI1" s="536"/>
      <c r="PJ1" s="536"/>
      <c r="PK1" s="536"/>
      <c r="PL1" s="536"/>
      <c r="PM1" s="536"/>
      <c r="PN1" s="536"/>
      <c r="PO1" s="536"/>
      <c r="PP1" s="536"/>
      <c r="PQ1" s="536"/>
      <c r="PR1" s="536"/>
      <c r="PS1" s="536"/>
      <c r="PT1" s="536"/>
      <c r="PU1" s="536"/>
      <c r="PV1" s="536"/>
      <c r="PW1" s="536"/>
      <c r="PX1" s="536"/>
      <c r="PY1" s="536"/>
      <c r="PZ1" s="536"/>
      <c r="QA1" s="536"/>
      <c r="QB1" s="536"/>
      <c r="QC1" s="536"/>
      <c r="QD1" s="536"/>
      <c r="QE1" s="536"/>
      <c r="QF1" s="536"/>
      <c r="QG1" s="536"/>
      <c r="QH1" s="536"/>
      <c r="QI1" s="536"/>
      <c r="QJ1" s="536"/>
      <c r="QK1" s="536"/>
      <c r="QL1" s="536"/>
      <c r="QM1" s="536"/>
      <c r="QN1" s="536"/>
      <c r="QO1" s="536"/>
      <c r="QP1" s="536"/>
      <c r="QQ1" s="536"/>
      <c r="QR1" s="536"/>
      <c r="QS1" s="536"/>
      <c r="QT1" s="536"/>
      <c r="QU1" s="536"/>
      <c r="QV1" s="536"/>
      <c r="QW1" s="536"/>
      <c r="QX1" s="536"/>
      <c r="QY1" s="536"/>
      <c r="QZ1" s="536"/>
      <c r="RA1" s="536"/>
      <c r="RB1" s="536"/>
      <c r="RC1" s="536"/>
      <c r="RD1" s="536"/>
      <c r="RE1" s="536"/>
      <c r="RF1" s="536"/>
      <c r="RG1" s="536"/>
      <c r="RH1" s="536"/>
      <c r="RI1" s="536"/>
      <c r="RJ1" s="536"/>
      <c r="RK1" s="536"/>
      <c r="RL1" s="536"/>
      <c r="RM1" s="536"/>
      <c r="RN1" s="536"/>
      <c r="RO1" s="536"/>
      <c r="RP1" s="536"/>
      <c r="RQ1" s="536"/>
      <c r="RR1" s="536"/>
      <c r="RS1" s="536"/>
      <c r="RT1" s="536"/>
      <c r="RU1" s="536"/>
      <c r="RV1" s="536"/>
      <c r="RW1" s="536"/>
      <c r="RX1" s="536"/>
      <c r="RY1" s="536"/>
      <c r="RZ1" s="536"/>
      <c r="SA1" s="536"/>
      <c r="SB1" s="536"/>
      <c r="SC1" s="536"/>
      <c r="SD1" s="536"/>
      <c r="SE1" s="536"/>
      <c r="SF1" s="536"/>
      <c r="SG1" s="536"/>
      <c r="SH1" s="536"/>
      <c r="SI1" s="536"/>
      <c r="SJ1" s="536"/>
      <c r="SK1" s="536"/>
      <c r="SL1" s="536"/>
      <c r="SM1" s="536"/>
      <c r="SN1" s="536"/>
      <c r="SO1" s="536"/>
      <c r="SP1" s="536"/>
      <c r="SQ1" s="536"/>
      <c r="SR1" s="536"/>
      <c r="SS1" s="536"/>
      <c r="ST1" s="536"/>
      <c r="SU1" s="536"/>
      <c r="SV1" s="536"/>
      <c r="SW1" s="536"/>
      <c r="SX1" s="536"/>
      <c r="SY1" s="536"/>
      <c r="SZ1" s="536"/>
      <c r="TA1" s="536"/>
      <c r="TB1" s="536"/>
      <c r="TC1" s="536"/>
      <c r="TD1" s="536"/>
      <c r="TE1" s="536"/>
      <c r="TF1" s="536"/>
      <c r="TG1" s="536"/>
      <c r="TH1" s="536"/>
      <c r="TI1" s="536"/>
      <c r="TJ1" s="536"/>
      <c r="TK1" s="536"/>
      <c r="TL1" s="536"/>
      <c r="TM1" s="536"/>
      <c r="TN1" s="536"/>
      <c r="TO1" s="536"/>
      <c r="TP1" s="536"/>
      <c r="TQ1" s="536"/>
      <c r="TR1" s="536"/>
      <c r="TS1" s="536"/>
      <c r="TT1" s="536"/>
      <c r="TU1" s="536"/>
      <c r="TV1" s="536"/>
      <c r="TW1" s="536"/>
      <c r="TX1" s="536"/>
      <c r="TY1" s="536"/>
      <c r="TZ1" s="536"/>
      <c r="UA1" s="536"/>
      <c r="UB1" s="536"/>
      <c r="UC1" s="536"/>
      <c r="UD1" s="536"/>
      <c r="UE1" s="536"/>
      <c r="UF1" s="536"/>
      <c r="UG1" s="536"/>
      <c r="UH1" s="536"/>
      <c r="UI1" s="536"/>
      <c r="UJ1" s="536"/>
      <c r="UK1" s="536"/>
      <c r="UL1" s="536"/>
      <c r="UM1" s="536"/>
      <c r="UN1" s="536"/>
      <c r="UO1" s="536"/>
      <c r="UP1" s="536"/>
      <c r="UQ1" s="536"/>
      <c r="UR1" s="536"/>
      <c r="US1" s="536"/>
      <c r="UT1" s="536"/>
      <c r="UU1" s="536"/>
      <c r="UV1" s="536"/>
      <c r="UW1" s="536"/>
      <c r="UX1" s="536"/>
      <c r="UY1" s="536"/>
      <c r="UZ1" s="536"/>
      <c r="VA1" s="536"/>
      <c r="VB1" s="536"/>
      <c r="VC1" s="536"/>
      <c r="VD1" s="536"/>
      <c r="VE1" s="536"/>
      <c r="VF1" s="536"/>
      <c r="VG1" s="536"/>
      <c r="VH1" s="536"/>
      <c r="VI1" s="536"/>
      <c r="VJ1" s="536"/>
      <c r="VK1" s="536"/>
      <c r="VL1" s="536"/>
      <c r="VM1" s="536"/>
      <c r="VN1" s="536"/>
      <c r="VO1" s="536"/>
      <c r="VP1" s="536"/>
      <c r="VQ1" s="536"/>
      <c r="VR1" s="536"/>
      <c r="VS1" s="536"/>
      <c r="VT1" s="536"/>
      <c r="VU1" s="536"/>
      <c r="VV1" s="536"/>
      <c r="VW1" s="536"/>
      <c r="VX1" s="536"/>
      <c r="VY1" s="536"/>
      <c r="VZ1" s="536"/>
      <c r="WA1" s="536"/>
      <c r="WB1" s="536"/>
      <c r="WC1" s="536"/>
      <c r="WD1" s="536"/>
      <c r="WE1" s="536"/>
      <c r="WF1" s="536"/>
      <c r="WG1" s="536"/>
      <c r="WH1" s="536"/>
      <c r="WI1" s="536"/>
      <c r="WJ1" s="536"/>
      <c r="WK1" s="536"/>
      <c r="WL1" s="536"/>
      <c r="WM1" s="536"/>
      <c r="WN1" s="536"/>
      <c r="WO1" s="536"/>
      <c r="WP1" s="536"/>
      <c r="WQ1" s="536"/>
      <c r="WR1" s="536"/>
      <c r="WS1" s="536"/>
      <c r="WT1" s="536"/>
      <c r="WU1" s="536"/>
      <c r="WV1" s="536"/>
      <c r="WW1" s="536"/>
      <c r="WX1" s="536"/>
      <c r="WY1" s="536"/>
      <c r="WZ1" s="536"/>
      <c r="XA1" s="536"/>
      <c r="XB1" s="536"/>
      <c r="XC1" s="536"/>
      <c r="XD1" s="536"/>
      <c r="XE1" s="536"/>
      <c r="XF1" s="536"/>
      <c r="XG1" s="536"/>
      <c r="XH1" s="536"/>
      <c r="XI1" s="536"/>
      <c r="XJ1" s="536"/>
      <c r="XK1" s="536"/>
      <c r="XL1" s="536"/>
      <c r="XM1" s="536"/>
      <c r="XN1" s="536"/>
      <c r="XO1" s="536"/>
      <c r="XP1" s="536"/>
      <c r="XQ1" s="536"/>
      <c r="XR1" s="536"/>
      <c r="XS1" s="536"/>
      <c r="XT1" s="536"/>
      <c r="XU1" s="536"/>
      <c r="XV1" s="536"/>
      <c r="XW1" s="536"/>
      <c r="XX1" s="536"/>
      <c r="XY1" s="536"/>
      <c r="XZ1" s="536"/>
      <c r="YA1" s="536"/>
      <c r="YB1" s="536"/>
      <c r="YC1" s="536"/>
      <c r="YD1" s="536"/>
      <c r="YE1" s="536"/>
      <c r="YF1" s="536"/>
      <c r="YG1" s="536"/>
      <c r="YH1" s="536"/>
      <c r="YI1" s="536"/>
      <c r="YJ1" s="536"/>
      <c r="YK1" s="536"/>
      <c r="YL1" s="536"/>
      <c r="YM1" s="536"/>
      <c r="YN1" s="536"/>
      <c r="YO1" s="536"/>
      <c r="YP1" s="536"/>
      <c r="YQ1" s="536"/>
      <c r="YR1" s="536"/>
      <c r="YS1" s="536"/>
      <c r="YT1" s="536"/>
      <c r="YU1" s="536"/>
      <c r="YV1" s="536"/>
      <c r="YW1" s="536"/>
      <c r="YX1" s="536"/>
      <c r="YY1" s="536"/>
      <c r="YZ1" s="536"/>
      <c r="ZA1" s="536"/>
      <c r="ZB1" s="536"/>
      <c r="ZC1" s="536"/>
      <c r="ZD1" s="536"/>
      <c r="ZE1" s="536"/>
      <c r="ZF1" s="536"/>
      <c r="ZG1" s="536"/>
      <c r="ZH1" s="536"/>
      <c r="ZI1" s="536"/>
      <c r="ZJ1" s="536"/>
      <c r="ZK1" s="536"/>
      <c r="ZL1" s="536"/>
      <c r="ZM1" s="536"/>
      <c r="ZN1" s="536"/>
      <c r="ZO1" s="536"/>
      <c r="ZP1" s="536"/>
      <c r="ZQ1" s="536"/>
      <c r="ZR1" s="536"/>
      <c r="ZS1" s="536"/>
      <c r="ZT1" s="536"/>
      <c r="ZU1" s="536"/>
      <c r="ZV1" s="536"/>
      <c r="ZW1" s="536"/>
      <c r="ZX1" s="536"/>
      <c r="ZY1" s="536"/>
      <c r="ZZ1" s="536"/>
      <c r="AAA1" s="536"/>
      <c r="AAB1" s="536"/>
      <c r="AAC1" s="536"/>
      <c r="AAD1" s="536"/>
      <c r="AAE1" s="536"/>
      <c r="AAF1" s="536"/>
      <c r="AAG1" s="536"/>
      <c r="AAH1" s="536"/>
      <c r="AAI1" s="536"/>
      <c r="AAJ1" s="536"/>
      <c r="AAK1" s="536"/>
      <c r="AAL1" s="536"/>
      <c r="AAM1" s="536"/>
      <c r="AAN1" s="536"/>
      <c r="AAO1" s="536"/>
      <c r="AAP1" s="536"/>
      <c r="AAQ1" s="536"/>
      <c r="AAR1" s="536"/>
      <c r="AAS1" s="536"/>
      <c r="AAT1" s="536"/>
      <c r="AAU1" s="536"/>
      <c r="AAV1" s="536"/>
      <c r="AAW1" s="536"/>
      <c r="AAX1" s="536"/>
      <c r="AAY1" s="536"/>
      <c r="AAZ1" s="536"/>
      <c r="ABA1" s="536"/>
      <c r="ABB1" s="536"/>
      <c r="ABC1" s="536"/>
      <c r="ABD1" s="536"/>
      <c r="ABE1" s="536"/>
      <c r="ABF1" s="536"/>
      <c r="ABG1" s="536"/>
      <c r="ABH1" s="536"/>
      <c r="ABI1" s="536"/>
      <c r="ABJ1" s="536"/>
      <c r="ABK1" s="536"/>
      <c r="ABL1" s="536"/>
      <c r="ABM1" s="536"/>
      <c r="ABN1" s="536"/>
      <c r="ABO1" s="536"/>
      <c r="ABP1" s="536"/>
      <c r="ABQ1" s="536"/>
      <c r="ABR1" s="536"/>
      <c r="ABS1" s="536"/>
      <c r="ABT1" s="536"/>
      <c r="ABU1" s="536"/>
      <c r="ABV1" s="536"/>
      <c r="ABW1" s="536"/>
      <c r="ABX1" s="536"/>
      <c r="ABY1" s="536"/>
      <c r="ABZ1" s="536"/>
      <c r="ACA1" s="536"/>
      <c r="ACB1" s="536"/>
      <c r="ACC1" s="536"/>
      <c r="ACD1" s="536"/>
      <c r="ACE1" s="536"/>
      <c r="ACF1" s="536"/>
      <c r="ACG1" s="536"/>
      <c r="ACH1" s="536"/>
      <c r="ACI1" s="536"/>
      <c r="ACJ1" s="536"/>
      <c r="ACK1" s="536"/>
      <c r="ACL1" s="536"/>
      <c r="ACM1" s="536"/>
      <c r="ACN1" s="536"/>
      <c r="ACO1" s="536"/>
      <c r="ACP1" s="536"/>
      <c r="ACQ1" s="536"/>
      <c r="ACR1" s="536"/>
      <c r="ACS1" s="536"/>
      <c r="ACT1" s="536"/>
      <c r="ACU1" s="536"/>
      <c r="ACV1" s="536"/>
      <c r="ACW1" s="536"/>
      <c r="ACX1" s="536"/>
      <c r="ACY1" s="536"/>
      <c r="ACZ1" s="536"/>
      <c r="ADA1" s="536"/>
      <c r="ADB1" s="536"/>
      <c r="ADC1" s="536"/>
      <c r="ADD1" s="536"/>
      <c r="ADE1" s="536"/>
      <c r="ADF1" s="536"/>
      <c r="ADG1" s="536"/>
      <c r="ADH1" s="536"/>
      <c r="ADI1" s="536"/>
      <c r="ADJ1" s="536"/>
      <c r="ADK1" s="536"/>
      <c r="ADL1" s="536"/>
      <c r="ADM1" s="536"/>
      <c r="ADN1" s="536"/>
      <c r="ADO1" s="536"/>
      <c r="ADP1" s="536"/>
      <c r="ADQ1" s="536"/>
      <c r="ADR1" s="536"/>
      <c r="ADS1" s="536"/>
      <c r="ADT1" s="536"/>
      <c r="ADU1" s="536"/>
      <c r="ADV1" s="536"/>
      <c r="ADW1" s="536"/>
      <c r="ADX1" s="536"/>
      <c r="ADY1" s="536"/>
      <c r="ADZ1" s="536"/>
      <c r="AEA1" s="536"/>
      <c r="AEB1" s="536"/>
      <c r="AEC1" s="536"/>
      <c r="AED1" s="536"/>
      <c r="AEE1" s="536"/>
      <c r="AEF1" s="536"/>
      <c r="AEG1" s="536"/>
      <c r="AEH1" s="536"/>
      <c r="AEI1" s="536"/>
      <c r="AEJ1" s="536"/>
      <c r="AEK1" s="536"/>
      <c r="AEL1" s="536"/>
      <c r="AEM1" s="536"/>
      <c r="AEN1" s="536"/>
      <c r="AEO1" s="536"/>
      <c r="AEP1" s="536"/>
      <c r="AEQ1" s="536"/>
      <c r="AER1" s="536"/>
      <c r="AES1" s="536"/>
      <c r="AET1" s="536"/>
      <c r="AEU1" s="536"/>
      <c r="AEV1" s="536"/>
      <c r="AEW1" s="536"/>
      <c r="AEX1" s="536"/>
      <c r="AEY1" s="536"/>
      <c r="AEZ1" s="536"/>
      <c r="AFA1" s="536"/>
      <c r="AFB1" s="536"/>
      <c r="AFC1" s="536"/>
      <c r="AFD1" s="536"/>
      <c r="AFE1" s="536"/>
      <c r="AFF1" s="536"/>
      <c r="AFG1" s="536"/>
      <c r="AFH1" s="536"/>
      <c r="AFI1" s="536"/>
      <c r="AFJ1" s="536"/>
      <c r="AFK1" s="536"/>
      <c r="AFL1" s="536"/>
      <c r="AFM1" s="536"/>
      <c r="AFN1" s="536"/>
      <c r="AFO1" s="536"/>
      <c r="AFP1" s="536"/>
      <c r="AFQ1" s="536"/>
      <c r="AFR1" s="536"/>
      <c r="AFS1" s="536"/>
      <c r="AFT1" s="536"/>
      <c r="AFU1" s="536"/>
      <c r="AFV1" s="536"/>
      <c r="AFW1" s="536"/>
      <c r="AFX1" s="536"/>
      <c r="AFY1" s="536"/>
      <c r="AFZ1" s="536"/>
      <c r="AGA1" s="536"/>
      <c r="AGB1" s="536"/>
      <c r="AGC1" s="536"/>
      <c r="AGD1" s="536"/>
      <c r="AGE1" s="536"/>
      <c r="AGF1" s="536"/>
      <c r="AGG1" s="536"/>
      <c r="AGH1" s="536"/>
      <c r="AGI1" s="536"/>
      <c r="AGJ1" s="536"/>
      <c r="AGK1" s="536"/>
      <c r="AGL1" s="536"/>
      <c r="AGM1" s="536"/>
      <c r="AGN1" s="536"/>
      <c r="AGO1" s="536"/>
      <c r="AGP1" s="536"/>
      <c r="AGQ1" s="536"/>
      <c r="AGR1" s="536"/>
      <c r="AGS1" s="536"/>
      <c r="AGT1" s="536"/>
      <c r="AGU1" s="536"/>
      <c r="AGV1" s="536"/>
      <c r="AGW1" s="536"/>
      <c r="AGX1" s="536"/>
      <c r="AGY1" s="536"/>
      <c r="AGZ1" s="536"/>
      <c r="AHA1" s="536"/>
      <c r="AHB1" s="536"/>
      <c r="AHC1" s="536"/>
      <c r="AHD1" s="536"/>
      <c r="AHE1" s="536"/>
      <c r="AHF1" s="536"/>
      <c r="AHG1" s="536"/>
      <c r="AHH1" s="536"/>
      <c r="AHI1" s="536"/>
      <c r="AHJ1" s="536"/>
      <c r="AHK1" s="536"/>
      <c r="AHL1" s="536"/>
      <c r="AHM1" s="536"/>
      <c r="AHN1" s="536"/>
      <c r="AHO1" s="536"/>
      <c r="AHP1" s="536"/>
      <c r="AHQ1" s="536"/>
      <c r="AHR1" s="536"/>
      <c r="AHS1" s="536"/>
      <c r="AHT1" s="536"/>
      <c r="AHU1" s="536"/>
      <c r="AHV1" s="536"/>
      <c r="AHW1" s="536"/>
      <c r="AHX1" s="536"/>
      <c r="AHY1" s="536"/>
      <c r="AHZ1" s="536"/>
      <c r="AIA1" s="536"/>
      <c r="AIB1" s="536"/>
      <c r="AIC1" s="536"/>
      <c r="AID1" s="536"/>
      <c r="AIE1" s="536"/>
      <c r="AIF1" s="536"/>
      <c r="AIG1" s="536"/>
      <c r="AIH1" s="536"/>
      <c r="AII1" s="536"/>
      <c r="AIJ1" s="536"/>
      <c r="AIK1" s="536"/>
      <c r="AIL1" s="536"/>
      <c r="AIM1" s="536"/>
      <c r="AIN1" s="536"/>
      <c r="AIO1" s="536"/>
      <c r="AIP1" s="536"/>
      <c r="AIQ1" s="536"/>
      <c r="AIR1" s="536"/>
      <c r="AIS1" s="536"/>
      <c r="AIT1" s="536"/>
      <c r="AIU1" s="536"/>
      <c r="AIV1" s="536"/>
      <c r="AIW1" s="536"/>
      <c r="AIX1" s="536"/>
      <c r="AIY1" s="536"/>
      <c r="AIZ1" s="536"/>
      <c r="AJA1" s="536"/>
      <c r="AJB1" s="536"/>
      <c r="AJC1" s="536"/>
      <c r="AJD1" s="536"/>
      <c r="AJE1" s="536"/>
      <c r="AJF1" s="536"/>
      <c r="AJG1" s="536"/>
      <c r="AJH1" s="536"/>
      <c r="AJI1" s="536"/>
      <c r="AJJ1" s="536"/>
      <c r="AJK1" s="536"/>
      <c r="AJL1" s="536"/>
      <c r="AJM1" s="536"/>
      <c r="AJN1" s="536"/>
      <c r="AJO1" s="536"/>
      <c r="AJP1" s="536"/>
      <c r="AJQ1" s="536"/>
      <c r="AJR1" s="536"/>
      <c r="AJS1" s="536"/>
      <c r="AJT1" s="536"/>
      <c r="AJU1" s="536"/>
      <c r="AJV1" s="536"/>
      <c r="AJW1" s="536"/>
      <c r="AJX1" s="536"/>
      <c r="AJY1" s="536"/>
      <c r="AJZ1" s="536"/>
      <c r="AKA1" s="536"/>
      <c r="AKB1" s="536"/>
      <c r="AKC1" s="536"/>
      <c r="AKD1" s="536"/>
      <c r="AKE1" s="536"/>
      <c r="AKF1" s="536"/>
      <c r="AKG1" s="536"/>
      <c r="AKH1" s="536"/>
      <c r="AKI1" s="536"/>
      <c r="AKJ1" s="536"/>
      <c r="AKK1" s="536"/>
      <c r="AKL1" s="536"/>
      <c r="AKM1" s="536"/>
      <c r="AKN1" s="536"/>
      <c r="AKO1" s="536"/>
      <c r="AKP1" s="536"/>
      <c r="AKQ1" s="536"/>
      <c r="AKR1" s="536"/>
      <c r="AKS1" s="536"/>
      <c r="AKT1" s="536"/>
      <c r="AKU1" s="536"/>
      <c r="AKV1" s="536"/>
      <c r="AKW1" s="536"/>
      <c r="AKX1" s="536"/>
      <c r="AKY1" s="536"/>
      <c r="AKZ1" s="536"/>
      <c r="ALA1" s="536"/>
      <c r="ALB1" s="536"/>
      <c r="ALC1" s="536"/>
      <c r="ALD1" s="536"/>
      <c r="ALE1" s="536"/>
      <c r="ALF1" s="536"/>
      <c r="ALG1" s="536"/>
      <c r="ALH1" s="536"/>
      <c r="ALI1" s="536"/>
      <c r="ALJ1" s="536"/>
      <c r="ALK1" s="536"/>
      <c r="ALL1" s="536"/>
      <c r="ALM1" s="536"/>
      <c r="ALN1" s="536"/>
      <c r="ALO1" s="536"/>
      <c r="ALP1" s="536"/>
      <c r="ALQ1" s="536"/>
      <c r="ALR1" s="536"/>
      <c r="ALS1" s="536"/>
      <c r="ALT1" s="536"/>
      <c r="ALU1" s="536"/>
      <c r="ALV1" s="536"/>
      <c r="ALW1" s="536"/>
      <c r="ALX1" s="536"/>
      <c r="ALY1" s="536"/>
      <c r="ALZ1" s="536"/>
      <c r="AMA1" s="536"/>
      <c r="AMB1" s="536"/>
      <c r="AMC1" s="536"/>
      <c r="AMD1" s="536"/>
      <c r="AME1" s="536"/>
      <c r="AMF1" s="536"/>
      <c r="AMG1" s="536"/>
      <c r="AMH1" s="536"/>
      <c r="AMI1" s="536"/>
      <c r="AMJ1" s="536"/>
      <c r="AMK1" s="536"/>
      <c r="AML1" s="536"/>
      <c r="AMM1" s="536"/>
      <c r="AMN1" s="536"/>
      <c r="AMO1" s="536"/>
      <c r="AMP1" s="536"/>
      <c r="AMQ1" s="536"/>
      <c r="AMR1" s="536"/>
      <c r="AMS1" s="536"/>
      <c r="AMT1" s="536"/>
      <c r="AMU1" s="536"/>
      <c r="AMV1" s="536"/>
      <c r="AMW1" s="536"/>
      <c r="AMX1" s="536"/>
      <c r="AMY1" s="536"/>
      <c r="AMZ1" s="536"/>
      <c r="ANA1" s="536"/>
      <c r="ANB1" s="536"/>
      <c r="ANC1" s="536"/>
      <c r="AND1" s="536"/>
      <c r="ANE1" s="536"/>
      <c r="ANF1" s="536"/>
      <c r="ANG1" s="536"/>
      <c r="ANH1" s="536"/>
      <c r="ANI1" s="536"/>
      <c r="ANJ1" s="536"/>
      <c r="ANK1" s="536"/>
      <c r="ANL1" s="536"/>
      <c r="ANM1" s="536"/>
      <c r="ANN1" s="536"/>
      <c r="ANO1" s="536"/>
      <c r="ANP1" s="536"/>
      <c r="ANQ1" s="536"/>
      <c r="ANR1" s="536"/>
      <c r="ANS1" s="536"/>
      <c r="ANT1" s="536"/>
      <c r="ANU1" s="536"/>
      <c r="ANV1" s="536"/>
      <c r="ANW1" s="536"/>
      <c r="ANX1" s="536"/>
      <c r="ANY1" s="536"/>
      <c r="ANZ1" s="536"/>
      <c r="AOA1" s="536"/>
      <c r="AOB1" s="536"/>
      <c r="AOC1" s="536"/>
      <c r="AOD1" s="536"/>
      <c r="AOE1" s="536"/>
      <c r="AOF1" s="536"/>
      <c r="AOG1" s="536"/>
      <c r="AOH1" s="536"/>
      <c r="AOI1" s="536"/>
      <c r="AOJ1" s="536"/>
      <c r="AOK1" s="536"/>
      <c r="AOL1" s="536"/>
      <c r="AOM1" s="536"/>
      <c r="AON1" s="536"/>
      <c r="AOO1" s="536"/>
      <c r="AOP1" s="536"/>
      <c r="AOQ1" s="536"/>
      <c r="AOR1" s="536"/>
      <c r="AOS1" s="536"/>
      <c r="AOT1" s="536"/>
      <c r="AOU1" s="536"/>
      <c r="AOV1" s="536"/>
      <c r="AOW1" s="536"/>
      <c r="AOX1" s="536"/>
      <c r="AOY1" s="536"/>
      <c r="AOZ1" s="536"/>
      <c r="APA1" s="536"/>
      <c r="APB1" s="536"/>
      <c r="APC1" s="536"/>
      <c r="APD1" s="536"/>
      <c r="APE1" s="536"/>
      <c r="APF1" s="536"/>
      <c r="APG1" s="536"/>
      <c r="APH1" s="536"/>
      <c r="API1" s="536"/>
      <c r="APJ1" s="536"/>
      <c r="APK1" s="536"/>
      <c r="APL1" s="536"/>
      <c r="APM1" s="536"/>
      <c r="APN1" s="536"/>
      <c r="APO1" s="536"/>
      <c r="APP1" s="536"/>
      <c r="APQ1" s="536"/>
      <c r="APR1" s="536"/>
      <c r="APS1" s="536"/>
      <c r="APT1" s="536"/>
      <c r="APU1" s="536"/>
      <c r="APV1" s="536"/>
      <c r="APW1" s="536"/>
      <c r="APX1" s="536"/>
      <c r="APY1" s="536"/>
      <c r="APZ1" s="536"/>
      <c r="AQA1" s="536"/>
      <c r="AQB1" s="536"/>
      <c r="AQC1" s="536"/>
      <c r="AQD1" s="536"/>
      <c r="AQE1" s="536"/>
      <c r="AQF1" s="536"/>
      <c r="AQG1" s="536"/>
      <c r="AQH1" s="536"/>
      <c r="AQI1" s="536"/>
      <c r="AQJ1" s="536"/>
      <c r="AQK1" s="536"/>
      <c r="AQL1" s="536"/>
      <c r="AQM1" s="536"/>
      <c r="AQN1" s="536"/>
      <c r="AQO1" s="536"/>
      <c r="AQP1" s="536"/>
      <c r="AQQ1" s="536"/>
      <c r="AQR1" s="536"/>
      <c r="AQS1" s="536"/>
      <c r="AQT1" s="536"/>
      <c r="AQU1" s="536"/>
      <c r="AQV1" s="536"/>
      <c r="AQW1" s="536"/>
      <c r="AQX1" s="536"/>
      <c r="AQY1" s="536"/>
      <c r="AQZ1" s="536"/>
      <c r="ARA1" s="536"/>
      <c r="ARB1" s="536"/>
      <c r="ARC1" s="536"/>
      <c r="ARD1" s="536"/>
      <c r="ARE1" s="536"/>
      <c r="ARF1" s="536"/>
      <c r="ARG1" s="536"/>
      <c r="ARH1" s="536"/>
      <c r="ARI1" s="536"/>
      <c r="ARJ1" s="536"/>
      <c r="ARK1" s="536"/>
      <c r="ARL1" s="536"/>
      <c r="ARM1" s="536"/>
      <c r="ARN1" s="536"/>
      <c r="ARO1" s="536"/>
      <c r="ARP1" s="536"/>
      <c r="ARQ1" s="536"/>
      <c r="ARR1" s="536"/>
      <c r="ARS1" s="536"/>
      <c r="ART1" s="536"/>
      <c r="ARU1" s="536"/>
      <c r="ARV1" s="536"/>
      <c r="ARW1" s="536"/>
      <c r="ARX1" s="536"/>
      <c r="ARY1" s="536"/>
      <c r="ARZ1" s="536"/>
      <c r="ASA1" s="536"/>
      <c r="ASB1" s="536"/>
      <c r="ASC1" s="536"/>
      <c r="ASD1" s="536"/>
      <c r="ASE1" s="536"/>
      <c r="ASF1" s="536"/>
      <c r="ASG1" s="536"/>
      <c r="ASH1" s="536"/>
      <c r="ASI1" s="536"/>
      <c r="ASJ1" s="536"/>
      <c r="ASK1" s="536"/>
      <c r="ASL1" s="536"/>
      <c r="ASM1" s="536"/>
      <c r="ASN1" s="536"/>
      <c r="ASO1" s="536"/>
      <c r="ASP1" s="536"/>
      <c r="ASQ1" s="536"/>
      <c r="ASR1" s="536"/>
      <c r="ASS1" s="536"/>
      <c r="AST1" s="536"/>
      <c r="ASU1" s="536"/>
      <c r="ASV1" s="536"/>
      <c r="ASW1" s="536"/>
      <c r="ASX1" s="536"/>
      <c r="ASY1" s="536"/>
      <c r="ASZ1" s="536"/>
      <c r="ATA1" s="536"/>
      <c r="ATB1" s="536"/>
      <c r="ATC1" s="536"/>
      <c r="ATD1" s="536"/>
      <c r="ATE1" s="536"/>
      <c r="ATF1" s="536"/>
      <c r="ATG1" s="536"/>
      <c r="ATH1" s="536"/>
      <c r="ATI1" s="536"/>
      <c r="ATJ1" s="536"/>
      <c r="ATK1" s="536"/>
      <c r="ATL1" s="536"/>
      <c r="ATM1" s="536"/>
      <c r="ATN1" s="536"/>
      <c r="ATO1" s="536"/>
      <c r="ATP1" s="536"/>
      <c r="ATQ1" s="536"/>
      <c r="ATR1" s="536"/>
      <c r="ATS1" s="536"/>
      <c r="ATT1" s="536"/>
      <c r="ATU1" s="536"/>
      <c r="ATV1" s="536"/>
      <c r="ATW1" s="536"/>
      <c r="ATX1" s="536"/>
      <c r="ATY1" s="536"/>
      <c r="ATZ1" s="536"/>
      <c r="AUA1" s="536"/>
      <c r="AUB1" s="536"/>
      <c r="AUC1" s="536"/>
      <c r="AUD1" s="536"/>
      <c r="AUE1" s="536"/>
      <c r="AUF1" s="536"/>
      <c r="AUG1" s="536"/>
      <c r="AUH1" s="536"/>
      <c r="AUI1" s="536"/>
      <c r="AUJ1" s="536"/>
      <c r="AUK1" s="536"/>
      <c r="AUL1" s="536"/>
      <c r="AUM1" s="536"/>
      <c r="AUN1" s="536"/>
      <c r="AUO1" s="536"/>
      <c r="AUP1" s="536"/>
      <c r="AUQ1" s="536"/>
      <c r="AUR1" s="536"/>
      <c r="AUS1" s="536"/>
      <c r="AUT1" s="536"/>
      <c r="AUU1" s="536"/>
      <c r="AUV1" s="536"/>
      <c r="AUW1" s="536"/>
      <c r="AUX1" s="536"/>
      <c r="AUY1" s="536"/>
      <c r="AUZ1" s="536"/>
      <c r="AVA1" s="536"/>
      <c r="AVB1" s="536"/>
      <c r="AVC1" s="536"/>
      <c r="AVD1" s="536"/>
      <c r="AVE1" s="536"/>
      <c r="AVF1" s="536"/>
      <c r="AVG1" s="536"/>
      <c r="AVH1" s="536"/>
      <c r="AVI1" s="536"/>
      <c r="AVJ1" s="536"/>
      <c r="AVK1" s="536"/>
      <c r="AVL1" s="536"/>
      <c r="AVM1" s="536"/>
      <c r="AVN1" s="536"/>
      <c r="AVO1" s="536"/>
      <c r="AVP1" s="536"/>
      <c r="AVQ1" s="536"/>
      <c r="AVR1" s="536"/>
      <c r="AVS1" s="536"/>
      <c r="AVT1" s="536"/>
      <c r="AVU1" s="536"/>
      <c r="AVV1" s="536"/>
      <c r="AVW1" s="536"/>
      <c r="AVX1" s="536"/>
      <c r="AVY1" s="536"/>
      <c r="AVZ1" s="536"/>
      <c r="AWA1" s="536"/>
      <c r="AWB1" s="536"/>
      <c r="AWC1" s="536"/>
      <c r="AWD1" s="536"/>
      <c r="AWE1" s="536"/>
      <c r="AWF1" s="536"/>
      <c r="AWG1" s="536"/>
      <c r="AWH1" s="536"/>
      <c r="AWI1" s="536"/>
      <c r="AWJ1" s="536"/>
      <c r="AWK1" s="536"/>
      <c r="AWL1" s="536"/>
      <c r="AWM1" s="536"/>
      <c r="AWN1" s="536"/>
      <c r="AWO1" s="536"/>
      <c r="AWP1" s="536"/>
      <c r="AWQ1" s="536"/>
      <c r="AWR1" s="536"/>
      <c r="AWS1" s="536"/>
      <c r="AWT1" s="536"/>
      <c r="AWU1" s="536"/>
      <c r="AWV1" s="536"/>
      <c r="AWW1" s="536"/>
      <c r="AWX1" s="536"/>
      <c r="AWY1" s="536"/>
      <c r="AWZ1" s="536"/>
      <c r="AXA1" s="536"/>
      <c r="AXB1" s="536"/>
      <c r="AXC1" s="536"/>
      <c r="AXD1" s="536"/>
      <c r="AXE1" s="536"/>
      <c r="AXF1" s="536"/>
      <c r="AXG1" s="536"/>
      <c r="AXH1" s="536"/>
      <c r="AXI1" s="536"/>
      <c r="AXJ1" s="536"/>
      <c r="AXK1" s="536"/>
      <c r="AXL1" s="536"/>
      <c r="AXM1" s="536"/>
      <c r="AXN1" s="536"/>
      <c r="AXO1" s="536"/>
      <c r="AXP1" s="536"/>
      <c r="AXQ1" s="536"/>
      <c r="AXR1" s="536"/>
      <c r="AXS1" s="536"/>
      <c r="AXT1" s="536"/>
      <c r="AXU1" s="536"/>
      <c r="AXV1" s="536"/>
      <c r="AXW1" s="536"/>
      <c r="AXX1" s="536"/>
      <c r="AXY1" s="536"/>
      <c r="AXZ1" s="536"/>
      <c r="AYA1" s="536"/>
      <c r="AYB1" s="536"/>
      <c r="AYC1" s="536"/>
      <c r="AYD1" s="536"/>
      <c r="AYE1" s="536"/>
      <c r="AYF1" s="536"/>
      <c r="AYG1" s="536"/>
      <c r="AYH1" s="536"/>
      <c r="AYI1" s="536"/>
      <c r="AYJ1" s="536"/>
      <c r="AYK1" s="536"/>
      <c r="AYL1" s="536"/>
      <c r="AYM1" s="536"/>
      <c r="AYN1" s="536"/>
      <c r="AYO1" s="536"/>
      <c r="AYP1" s="536"/>
      <c r="AYQ1" s="536"/>
      <c r="AYR1" s="536"/>
      <c r="AYS1" s="536"/>
      <c r="AYT1" s="536"/>
      <c r="AYU1" s="536"/>
      <c r="AYV1" s="536"/>
      <c r="AYW1" s="536"/>
      <c r="AYX1" s="536"/>
      <c r="AYY1" s="536"/>
      <c r="AYZ1" s="536"/>
      <c r="AZA1" s="536"/>
      <c r="AZB1" s="536"/>
      <c r="AZC1" s="536"/>
      <c r="AZD1" s="536"/>
      <c r="AZE1" s="536"/>
      <c r="AZF1" s="536"/>
      <c r="AZG1" s="536"/>
      <c r="AZH1" s="536"/>
      <c r="AZI1" s="536"/>
      <c r="AZJ1" s="536"/>
      <c r="AZK1" s="536"/>
      <c r="AZL1" s="536"/>
      <c r="AZM1" s="536"/>
      <c r="AZN1" s="536"/>
      <c r="AZO1" s="536"/>
      <c r="AZP1" s="536"/>
      <c r="AZQ1" s="536"/>
      <c r="AZR1" s="536"/>
      <c r="AZS1" s="536"/>
      <c r="AZT1" s="536"/>
      <c r="AZU1" s="536"/>
      <c r="AZV1" s="536"/>
      <c r="AZW1" s="536"/>
      <c r="AZX1" s="536"/>
      <c r="AZY1" s="536"/>
      <c r="AZZ1" s="536"/>
      <c r="BAA1" s="536"/>
      <c r="BAB1" s="536"/>
      <c r="BAC1" s="536"/>
      <c r="BAD1" s="536"/>
      <c r="BAE1" s="536"/>
      <c r="BAF1" s="536"/>
      <c r="BAG1" s="536"/>
      <c r="BAH1" s="536"/>
      <c r="BAI1" s="536"/>
      <c r="BAJ1" s="536"/>
      <c r="BAK1" s="536"/>
      <c r="BAL1" s="536"/>
      <c r="BAM1" s="536"/>
      <c r="BAN1" s="536"/>
      <c r="BAO1" s="536"/>
      <c r="BAP1" s="536"/>
      <c r="BAQ1" s="536"/>
      <c r="BAR1" s="536"/>
      <c r="BAS1" s="536"/>
      <c r="BAT1" s="536"/>
      <c r="BAU1" s="536"/>
      <c r="BAV1" s="536"/>
      <c r="BAW1" s="536"/>
      <c r="BAX1" s="536"/>
      <c r="BAY1" s="536"/>
      <c r="BAZ1" s="536"/>
      <c r="BBA1" s="536"/>
      <c r="BBB1" s="536"/>
      <c r="BBC1" s="536"/>
      <c r="BBD1" s="536"/>
      <c r="BBE1" s="536"/>
      <c r="BBF1" s="536"/>
      <c r="BBG1" s="536"/>
      <c r="BBH1" s="536"/>
      <c r="BBI1" s="536"/>
      <c r="BBJ1" s="536"/>
      <c r="BBK1" s="536"/>
      <c r="BBL1" s="536"/>
      <c r="BBM1" s="536"/>
      <c r="BBN1" s="536"/>
      <c r="BBO1" s="536"/>
      <c r="BBP1" s="536"/>
      <c r="BBQ1" s="536"/>
      <c r="BBR1" s="536"/>
      <c r="BBS1" s="536"/>
      <c r="BBT1" s="536"/>
      <c r="BBU1" s="536"/>
      <c r="BBV1" s="536"/>
      <c r="BBW1" s="536"/>
      <c r="BBX1" s="536"/>
      <c r="BBY1" s="536"/>
      <c r="BBZ1" s="536"/>
      <c r="BCA1" s="536"/>
      <c r="BCB1" s="536"/>
      <c r="BCC1" s="536"/>
      <c r="BCD1" s="536"/>
      <c r="BCE1" s="536"/>
      <c r="BCF1" s="536"/>
      <c r="BCG1" s="536"/>
      <c r="BCH1" s="536"/>
      <c r="BCI1" s="536"/>
      <c r="BCJ1" s="536"/>
      <c r="BCK1" s="536"/>
      <c r="BCL1" s="536"/>
      <c r="BCM1" s="536"/>
      <c r="BCN1" s="536"/>
      <c r="BCO1" s="536"/>
      <c r="BCP1" s="536"/>
      <c r="BCQ1" s="536"/>
      <c r="BCR1" s="536"/>
      <c r="BCS1" s="536"/>
      <c r="BCT1" s="536"/>
      <c r="BCU1" s="536"/>
      <c r="BCV1" s="536"/>
      <c r="BCW1" s="536"/>
      <c r="BCX1" s="536"/>
      <c r="BCY1" s="536"/>
      <c r="BCZ1" s="536"/>
      <c r="BDA1" s="536"/>
      <c r="BDB1" s="536"/>
      <c r="BDC1" s="536"/>
      <c r="BDD1" s="536"/>
      <c r="BDE1" s="536"/>
      <c r="BDF1" s="536"/>
      <c r="BDG1" s="536"/>
      <c r="BDH1" s="536"/>
      <c r="BDI1" s="536"/>
      <c r="BDJ1" s="536"/>
      <c r="BDK1" s="536"/>
      <c r="BDL1" s="536"/>
      <c r="BDM1" s="536"/>
      <c r="BDN1" s="536"/>
      <c r="BDO1" s="536"/>
      <c r="BDP1" s="536"/>
      <c r="BDQ1" s="536"/>
      <c r="BDR1" s="536"/>
      <c r="BDS1" s="536"/>
      <c r="BDT1" s="536"/>
      <c r="BDU1" s="536"/>
      <c r="BDV1" s="536"/>
      <c r="BDW1" s="536"/>
      <c r="BDX1" s="536"/>
      <c r="BDY1" s="536"/>
      <c r="BDZ1" s="536"/>
      <c r="BEA1" s="536"/>
      <c r="BEB1" s="536"/>
      <c r="BEC1" s="536"/>
      <c r="BED1" s="536"/>
      <c r="BEE1" s="536"/>
      <c r="BEF1" s="536"/>
      <c r="BEG1" s="536"/>
      <c r="BEH1" s="536"/>
      <c r="BEI1" s="536"/>
      <c r="BEJ1" s="536"/>
      <c r="BEK1" s="536"/>
      <c r="BEL1" s="536"/>
      <c r="BEM1" s="536"/>
      <c r="BEN1" s="536"/>
      <c r="BEO1" s="536"/>
      <c r="BEP1" s="536"/>
      <c r="BEQ1" s="536"/>
      <c r="BER1" s="536"/>
      <c r="BES1" s="536"/>
      <c r="BET1" s="536"/>
      <c r="BEU1" s="536"/>
      <c r="BEV1" s="536"/>
      <c r="BEW1" s="536"/>
      <c r="BEX1" s="536"/>
      <c r="BEY1" s="536"/>
      <c r="BEZ1" s="536"/>
      <c r="BFA1" s="536"/>
      <c r="BFB1" s="536"/>
      <c r="BFC1" s="536"/>
      <c r="BFD1" s="536"/>
      <c r="BFE1" s="536"/>
      <c r="BFF1" s="536"/>
      <c r="BFG1" s="536"/>
      <c r="BFH1" s="536"/>
      <c r="BFI1" s="536"/>
      <c r="BFJ1" s="536"/>
      <c r="BFK1" s="536"/>
      <c r="BFL1" s="536"/>
      <c r="BFM1" s="536"/>
      <c r="BFN1" s="536"/>
      <c r="BFO1" s="536"/>
      <c r="BFP1" s="536"/>
      <c r="BFQ1" s="536"/>
      <c r="BFR1" s="536"/>
      <c r="BFS1" s="536"/>
      <c r="BFT1" s="536"/>
      <c r="BFU1" s="536"/>
      <c r="BFV1" s="536"/>
      <c r="BFW1" s="536"/>
      <c r="BFX1" s="536"/>
      <c r="BFY1" s="536"/>
      <c r="BFZ1" s="536"/>
      <c r="BGA1" s="536"/>
      <c r="BGB1" s="536"/>
      <c r="BGC1" s="536"/>
      <c r="BGD1" s="536"/>
      <c r="BGE1" s="536"/>
      <c r="BGF1" s="536"/>
      <c r="BGG1" s="536"/>
      <c r="BGH1" s="536"/>
      <c r="BGI1" s="536"/>
      <c r="BGJ1" s="536"/>
      <c r="BGK1" s="536"/>
      <c r="BGL1" s="536"/>
      <c r="BGM1" s="536"/>
      <c r="BGN1" s="536"/>
      <c r="BGO1" s="536"/>
      <c r="BGP1" s="536"/>
      <c r="BGQ1" s="536"/>
      <c r="BGR1" s="536"/>
      <c r="BGS1" s="536"/>
      <c r="BGT1" s="536"/>
      <c r="BGU1" s="536"/>
      <c r="BGV1" s="536"/>
      <c r="BGW1" s="536"/>
      <c r="BGX1" s="536"/>
      <c r="BGY1" s="536"/>
      <c r="BGZ1" s="536"/>
      <c r="BHA1" s="536"/>
      <c r="BHB1" s="536"/>
      <c r="BHC1" s="536"/>
      <c r="BHD1" s="536"/>
      <c r="BHE1" s="536"/>
      <c r="BHF1" s="536"/>
      <c r="BHG1" s="536"/>
      <c r="BHH1" s="536"/>
      <c r="BHI1" s="536"/>
      <c r="BHJ1" s="536"/>
      <c r="BHK1" s="536"/>
      <c r="BHL1" s="536"/>
      <c r="BHM1" s="536"/>
      <c r="BHN1" s="536"/>
      <c r="BHO1" s="536"/>
      <c r="BHP1" s="536"/>
      <c r="BHQ1" s="536"/>
      <c r="BHR1" s="536"/>
      <c r="BHS1" s="536"/>
      <c r="BHT1" s="536"/>
      <c r="BHU1" s="536"/>
      <c r="BHV1" s="536"/>
      <c r="BHW1" s="536"/>
      <c r="BHX1" s="536"/>
      <c r="BHY1" s="536"/>
      <c r="BHZ1" s="536"/>
      <c r="BIA1" s="536"/>
      <c r="BIB1" s="536"/>
      <c r="BIC1" s="536"/>
      <c r="BID1" s="536"/>
      <c r="BIE1" s="536"/>
      <c r="BIF1" s="536"/>
      <c r="BIG1" s="536"/>
      <c r="BIH1" s="536"/>
      <c r="BII1" s="536"/>
      <c r="BIJ1" s="536"/>
      <c r="BIK1" s="536"/>
      <c r="BIL1" s="536"/>
      <c r="BIM1" s="536"/>
      <c r="BIN1" s="536"/>
      <c r="BIO1" s="536"/>
      <c r="BIP1" s="536"/>
      <c r="BIQ1" s="536"/>
      <c r="BIR1" s="536"/>
      <c r="BIS1" s="536"/>
      <c r="BIT1" s="536"/>
      <c r="BIU1" s="536"/>
      <c r="BIV1" s="536"/>
      <c r="BIW1" s="536"/>
      <c r="BIX1" s="536"/>
      <c r="BIY1" s="536"/>
      <c r="BIZ1" s="536"/>
      <c r="BJA1" s="536"/>
      <c r="BJB1" s="536"/>
      <c r="BJC1" s="536"/>
      <c r="BJD1" s="536"/>
      <c r="BJE1" s="536"/>
      <c r="BJF1" s="536"/>
      <c r="BJG1" s="536"/>
      <c r="BJH1" s="536"/>
      <c r="BJI1" s="536"/>
      <c r="BJJ1" s="536"/>
      <c r="BJK1" s="536"/>
      <c r="BJL1" s="536"/>
      <c r="BJM1" s="536"/>
      <c r="BJN1" s="536"/>
      <c r="BJO1" s="536"/>
      <c r="BJP1" s="536"/>
      <c r="BJQ1" s="536"/>
      <c r="BJR1" s="536"/>
      <c r="BJS1" s="536"/>
      <c r="BJT1" s="536"/>
      <c r="BJU1" s="536"/>
      <c r="BJV1" s="536"/>
      <c r="BJW1" s="536"/>
      <c r="BJX1" s="536"/>
      <c r="BJY1" s="536"/>
      <c r="BJZ1" s="536"/>
      <c r="BKA1" s="536"/>
      <c r="BKB1" s="536"/>
      <c r="BKC1" s="536"/>
      <c r="BKD1" s="536"/>
      <c r="BKE1" s="536"/>
      <c r="BKF1" s="536"/>
      <c r="BKG1" s="536"/>
      <c r="BKH1" s="536"/>
      <c r="BKI1" s="536"/>
      <c r="BKJ1" s="536"/>
      <c r="BKK1" s="536"/>
      <c r="BKL1" s="536"/>
      <c r="BKM1" s="536"/>
      <c r="BKN1" s="536"/>
      <c r="BKO1" s="536"/>
      <c r="BKP1" s="536"/>
      <c r="BKQ1" s="536"/>
      <c r="BKR1" s="536"/>
      <c r="BKS1" s="536"/>
      <c r="BKT1" s="536"/>
      <c r="BKU1" s="536"/>
      <c r="BKV1" s="536"/>
      <c r="BKW1" s="536"/>
      <c r="BKX1" s="536"/>
      <c r="BKY1" s="536"/>
      <c r="BKZ1" s="536"/>
      <c r="BLA1" s="536"/>
      <c r="BLB1" s="536"/>
      <c r="BLC1" s="536"/>
      <c r="BLD1" s="536"/>
      <c r="BLE1" s="536"/>
      <c r="BLF1" s="536"/>
      <c r="BLG1" s="536"/>
      <c r="BLH1" s="536"/>
      <c r="BLI1" s="536"/>
      <c r="BLJ1" s="536"/>
      <c r="BLK1" s="536"/>
      <c r="BLL1" s="536"/>
      <c r="BLM1" s="536"/>
      <c r="BLN1" s="536"/>
      <c r="BLO1" s="536"/>
      <c r="BLP1" s="536"/>
      <c r="BLQ1" s="536"/>
      <c r="BLR1" s="536"/>
      <c r="BLS1" s="536"/>
      <c r="BLT1" s="536"/>
      <c r="BLU1" s="536"/>
      <c r="BLV1" s="536"/>
      <c r="BLW1" s="536"/>
      <c r="BLX1" s="536"/>
      <c r="BLY1" s="536"/>
      <c r="BLZ1" s="536"/>
      <c r="BMA1" s="536"/>
      <c r="BMB1" s="536"/>
      <c r="BMC1" s="536"/>
      <c r="BMD1" s="536"/>
      <c r="BME1" s="536"/>
      <c r="BMF1" s="536"/>
      <c r="BMG1" s="536"/>
      <c r="BMH1" s="536"/>
      <c r="BMI1" s="536"/>
      <c r="BMJ1" s="536"/>
      <c r="BMK1" s="536"/>
      <c r="BML1" s="536"/>
      <c r="BMM1" s="536"/>
      <c r="BMN1" s="536"/>
      <c r="BMO1" s="536"/>
      <c r="BMP1" s="536"/>
      <c r="BMQ1" s="536"/>
      <c r="BMR1" s="536"/>
      <c r="BMS1" s="536"/>
      <c r="BMT1" s="536"/>
      <c r="BMU1" s="536"/>
      <c r="BMV1" s="536"/>
      <c r="BMW1" s="536"/>
      <c r="BMX1" s="536"/>
      <c r="BMY1" s="536"/>
      <c r="BMZ1" s="536"/>
      <c r="BNA1" s="536"/>
      <c r="BNB1" s="536"/>
      <c r="BNC1" s="536"/>
      <c r="BND1" s="536"/>
      <c r="BNE1" s="536"/>
      <c r="BNF1" s="536"/>
      <c r="BNG1" s="536"/>
      <c r="BNH1" s="536"/>
      <c r="BNI1" s="536"/>
      <c r="BNJ1" s="536"/>
      <c r="BNK1" s="536"/>
      <c r="BNL1" s="536"/>
      <c r="BNM1" s="536"/>
      <c r="BNN1" s="536"/>
      <c r="BNO1" s="536"/>
      <c r="BNP1" s="536"/>
      <c r="BNQ1" s="536"/>
      <c r="BNR1" s="536"/>
      <c r="BNS1" s="536"/>
      <c r="BNT1" s="536"/>
      <c r="BNU1" s="536"/>
      <c r="BNV1" s="536"/>
      <c r="BNW1" s="536"/>
      <c r="BNX1" s="536"/>
      <c r="BNY1" s="536"/>
      <c r="BNZ1" s="536"/>
      <c r="BOA1" s="536"/>
      <c r="BOB1" s="536"/>
      <c r="BOC1" s="536"/>
      <c r="BOD1" s="536"/>
      <c r="BOE1" s="536"/>
      <c r="BOF1" s="536"/>
      <c r="BOG1" s="536"/>
      <c r="BOH1" s="536"/>
      <c r="BOI1" s="536"/>
      <c r="BOJ1" s="536"/>
      <c r="BOK1" s="536"/>
      <c r="BOL1" s="536"/>
      <c r="BOM1" s="536"/>
      <c r="BON1" s="536"/>
      <c r="BOO1" s="536"/>
      <c r="BOP1" s="536"/>
      <c r="BOQ1" s="536"/>
      <c r="BOR1" s="536"/>
      <c r="BOS1" s="536"/>
      <c r="BOT1" s="536"/>
      <c r="BOU1" s="536"/>
      <c r="BOV1" s="536"/>
      <c r="BOW1" s="536"/>
      <c r="BOX1" s="536"/>
      <c r="BOY1" s="536"/>
      <c r="BOZ1" s="536"/>
      <c r="BPA1" s="536"/>
      <c r="BPB1" s="536"/>
      <c r="BPC1" s="536"/>
      <c r="BPD1" s="536"/>
      <c r="BPE1" s="536"/>
      <c r="BPF1" s="536"/>
      <c r="BPG1" s="536"/>
      <c r="BPH1" s="536"/>
      <c r="BPI1" s="536"/>
      <c r="BPJ1" s="536"/>
      <c r="BPK1" s="536"/>
      <c r="BPL1" s="536"/>
      <c r="BPM1" s="536"/>
      <c r="BPN1" s="536"/>
      <c r="BPO1" s="536"/>
      <c r="BPP1" s="536"/>
      <c r="BPQ1" s="536"/>
      <c r="BPR1" s="536"/>
      <c r="BPS1" s="536"/>
      <c r="BPT1" s="536"/>
      <c r="BPU1" s="536"/>
      <c r="BPV1" s="536"/>
      <c r="BPW1" s="536"/>
      <c r="BPX1" s="536"/>
      <c r="BPY1" s="536"/>
      <c r="BPZ1" s="536"/>
      <c r="BQA1" s="536"/>
      <c r="BQB1" s="536"/>
      <c r="BQC1" s="536"/>
      <c r="BQD1" s="536"/>
      <c r="BQE1" s="536"/>
      <c r="BQF1" s="536"/>
      <c r="BQG1" s="536"/>
      <c r="BQH1" s="536"/>
      <c r="BQI1" s="536"/>
      <c r="BQJ1" s="536"/>
      <c r="BQK1" s="536"/>
      <c r="BQL1" s="536"/>
      <c r="BQM1" s="536"/>
      <c r="BQN1" s="536"/>
      <c r="BQO1" s="536"/>
      <c r="BQP1" s="536"/>
      <c r="BQQ1" s="536"/>
      <c r="BQR1" s="536"/>
      <c r="BQS1" s="536"/>
      <c r="BQT1" s="536"/>
      <c r="BQU1" s="536"/>
      <c r="BQV1" s="536"/>
      <c r="BQW1" s="536"/>
      <c r="BQX1" s="536"/>
      <c r="BQY1" s="536"/>
      <c r="BQZ1" s="536"/>
      <c r="BRA1" s="536"/>
      <c r="BRB1" s="536"/>
      <c r="BRC1" s="536"/>
      <c r="BRD1" s="536"/>
      <c r="BRE1" s="536"/>
      <c r="BRF1" s="536"/>
      <c r="BRG1" s="536"/>
      <c r="BRH1" s="536"/>
      <c r="BRI1" s="536"/>
      <c r="BRJ1" s="536"/>
      <c r="BRK1" s="536"/>
      <c r="BRL1" s="536"/>
      <c r="BRM1" s="536"/>
      <c r="BRN1" s="536"/>
      <c r="BRO1" s="536"/>
      <c r="BRP1" s="536"/>
      <c r="BRQ1" s="536"/>
      <c r="BRR1" s="536"/>
      <c r="BRS1" s="536"/>
      <c r="BRT1" s="536"/>
      <c r="BRU1" s="536"/>
      <c r="BRV1" s="536"/>
      <c r="BRW1" s="536"/>
      <c r="BRX1" s="536"/>
      <c r="BRY1" s="536"/>
      <c r="BRZ1" s="536"/>
      <c r="BSA1" s="536"/>
      <c r="BSB1" s="536"/>
      <c r="BSC1" s="536"/>
      <c r="BSD1" s="536"/>
      <c r="BSE1" s="536"/>
      <c r="BSF1" s="536"/>
      <c r="BSG1" s="536"/>
      <c r="BSH1" s="536"/>
      <c r="BSI1" s="536"/>
      <c r="BSJ1" s="536"/>
      <c r="BSK1" s="536"/>
      <c r="BSL1" s="536"/>
      <c r="BSM1" s="536"/>
      <c r="BSN1" s="536"/>
      <c r="BSO1" s="536"/>
      <c r="BSP1" s="536"/>
      <c r="BSQ1" s="536"/>
      <c r="BSR1" s="536"/>
      <c r="BSS1" s="536"/>
      <c r="BST1" s="536"/>
      <c r="BSU1" s="536"/>
      <c r="BSV1" s="536"/>
      <c r="BSW1" s="536"/>
      <c r="BSX1" s="536"/>
      <c r="BSY1" s="536"/>
      <c r="BSZ1" s="536"/>
      <c r="BTA1" s="536"/>
      <c r="BTB1" s="536"/>
      <c r="BTC1" s="536"/>
      <c r="BTD1" s="536"/>
      <c r="BTE1" s="536"/>
      <c r="BTF1" s="536"/>
      <c r="BTG1" s="536"/>
      <c r="BTH1" s="536"/>
      <c r="BTI1" s="536"/>
      <c r="BTJ1" s="536"/>
      <c r="BTK1" s="536"/>
      <c r="BTL1" s="536"/>
      <c r="BTM1" s="536"/>
      <c r="BTN1" s="536"/>
      <c r="BTO1" s="536"/>
      <c r="BTP1" s="536"/>
      <c r="BTQ1" s="536"/>
      <c r="BTR1" s="536"/>
      <c r="BTS1" s="536"/>
      <c r="BTT1" s="536"/>
      <c r="BTU1" s="536"/>
      <c r="BTV1" s="536"/>
      <c r="BTW1" s="536"/>
      <c r="BTX1" s="536"/>
      <c r="BTY1" s="536"/>
      <c r="BTZ1" s="536"/>
      <c r="BUA1" s="536"/>
      <c r="BUB1" s="536"/>
      <c r="BUC1" s="536"/>
      <c r="BUD1" s="536"/>
      <c r="BUE1" s="536"/>
      <c r="BUF1" s="536"/>
      <c r="BUG1" s="536"/>
      <c r="BUH1" s="536"/>
      <c r="BUI1" s="536"/>
      <c r="BUJ1" s="536"/>
      <c r="BUK1" s="536"/>
      <c r="BUL1" s="536"/>
      <c r="BUM1" s="536"/>
      <c r="BUN1" s="536"/>
      <c r="BUO1" s="536"/>
      <c r="BUP1" s="536"/>
      <c r="BUQ1" s="536"/>
      <c r="BUR1" s="536"/>
      <c r="BUS1" s="536"/>
      <c r="BUT1" s="536"/>
      <c r="BUU1" s="536"/>
      <c r="BUV1" s="536"/>
      <c r="BUW1" s="536"/>
      <c r="BUX1" s="536"/>
      <c r="BUY1" s="536"/>
      <c r="BUZ1" s="536"/>
      <c r="BVA1" s="536"/>
      <c r="BVB1" s="536"/>
      <c r="BVC1" s="536"/>
      <c r="BVD1" s="536"/>
      <c r="BVE1" s="536"/>
      <c r="BVF1" s="536"/>
      <c r="BVG1" s="536"/>
      <c r="BVH1" s="536"/>
      <c r="BVI1" s="536"/>
      <c r="BVJ1" s="536"/>
      <c r="BVK1" s="536"/>
      <c r="BVL1" s="536"/>
      <c r="BVM1" s="536"/>
      <c r="BVN1" s="536"/>
      <c r="BVO1" s="536"/>
      <c r="BVP1" s="536"/>
      <c r="BVQ1" s="536"/>
      <c r="BVR1" s="536"/>
      <c r="BVS1" s="536"/>
      <c r="BVT1" s="536"/>
      <c r="BVU1" s="536"/>
      <c r="BVV1" s="536"/>
      <c r="BVW1" s="536"/>
      <c r="BVX1" s="536"/>
      <c r="BVY1" s="536"/>
      <c r="BVZ1" s="536"/>
      <c r="BWA1" s="536"/>
      <c r="BWB1" s="536"/>
      <c r="BWC1" s="536"/>
      <c r="BWD1" s="536"/>
      <c r="BWE1" s="536"/>
      <c r="BWF1" s="536"/>
      <c r="BWG1" s="536"/>
      <c r="BWH1" s="536"/>
      <c r="BWI1" s="536"/>
      <c r="BWJ1" s="536"/>
      <c r="BWK1" s="536"/>
      <c r="BWL1" s="536"/>
      <c r="BWM1" s="536"/>
      <c r="BWN1" s="536"/>
      <c r="BWO1" s="536"/>
      <c r="BWP1" s="536"/>
      <c r="BWQ1" s="536"/>
      <c r="BWR1" s="536"/>
      <c r="BWS1" s="536"/>
      <c r="BWT1" s="536"/>
      <c r="BWU1" s="536"/>
      <c r="BWV1" s="536"/>
      <c r="BWW1" s="536"/>
      <c r="BWX1" s="536"/>
      <c r="BWY1" s="536"/>
      <c r="BWZ1" s="536"/>
      <c r="BXA1" s="536"/>
      <c r="BXB1" s="536"/>
      <c r="BXC1" s="536"/>
      <c r="BXD1" s="536"/>
      <c r="BXE1" s="536"/>
      <c r="BXF1" s="536"/>
      <c r="BXG1" s="536"/>
      <c r="BXH1" s="536"/>
      <c r="BXI1" s="536"/>
      <c r="BXJ1" s="536"/>
      <c r="BXK1" s="536"/>
      <c r="BXL1" s="536"/>
      <c r="BXM1" s="536"/>
      <c r="BXN1" s="536"/>
      <c r="BXO1" s="536"/>
      <c r="BXP1" s="536"/>
      <c r="BXQ1" s="536"/>
      <c r="BXR1" s="536"/>
      <c r="BXS1" s="536"/>
      <c r="BXT1" s="536"/>
      <c r="BXU1" s="536"/>
      <c r="BXV1" s="536"/>
      <c r="BXW1" s="536"/>
      <c r="BXX1" s="536"/>
      <c r="BXY1" s="536"/>
      <c r="BXZ1" s="536"/>
      <c r="BYA1" s="536"/>
      <c r="BYB1" s="536"/>
      <c r="BYC1" s="536"/>
      <c r="BYD1" s="536"/>
      <c r="BYE1" s="536"/>
      <c r="BYF1" s="536"/>
      <c r="BYG1" s="536"/>
      <c r="BYH1" s="536"/>
      <c r="BYI1" s="536"/>
      <c r="BYJ1" s="536"/>
      <c r="BYK1" s="536"/>
      <c r="BYL1" s="536"/>
      <c r="BYM1" s="536"/>
      <c r="BYN1" s="536"/>
      <c r="BYO1" s="536"/>
      <c r="BYP1" s="536"/>
      <c r="BYQ1" s="536"/>
      <c r="BYR1" s="536"/>
      <c r="BYS1" s="536"/>
      <c r="BYT1" s="536"/>
      <c r="BYU1" s="536"/>
      <c r="BYV1" s="536"/>
      <c r="BYW1" s="536"/>
      <c r="BYX1" s="536"/>
      <c r="BYY1" s="536"/>
      <c r="BYZ1" s="536"/>
      <c r="BZA1" s="536"/>
      <c r="BZB1" s="536"/>
      <c r="BZC1" s="536"/>
      <c r="BZD1" s="536"/>
      <c r="BZE1" s="536"/>
      <c r="BZF1" s="536"/>
      <c r="BZG1" s="536"/>
      <c r="BZH1" s="536"/>
      <c r="BZI1" s="536"/>
      <c r="BZJ1" s="536"/>
      <c r="BZK1" s="536"/>
      <c r="BZL1" s="536"/>
      <c r="BZM1" s="536"/>
      <c r="BZN1" s="536"/>
      <c r="BZO1" s="536"/>
      <c r="BZP1" s="536"/>
      <c r="BZQ1" s="536"/>
      <c r="BZR1" s="536"/>
      <c r="BZS1" s="536"/>
      <c r="BZT1" s="536"/>
      <c r="BZU1" s="536"/>
      <c r="BZV1" s="536"/>
      <c r="BZW1" s="536"/>
      <c r="BZX1" s="536"/>
      <c r="BZY1" s="536"/>
      <c r="BZZ1" s="536"/>
      <c r="CAA1" s="536"/>
      <c r="CAB1" s="536"/>
      <c r="CAC1" s="536"/>
      <c r="CAD1" s="536"/>
      <c r="CAE1" s="536"/>
      <c r="CAF1" s="536"/>
      <c r="CAG1" s="536"/>
      <c r="CAH1" s="536"/>
      <c r="CAI1" s="536"/>
      <c r="CAJ1" s="536"/>
      <c r="CAK1" s="536"/>
      <c r="CAL1" s="536"/>
      <c r="CAM1" s="536"/>
      <c r="CAN1" s="536"/>
      <c r="CAO1" s="536"/>
      <c r="CAP1" s="536"/>
      <c r="CAQ1" s="536"/>
      <c r="CAR1" s="536"/>
      <c r="CAS1" s="536"/>
      <c r="CAT1" s="536"/>
      <c r="CAU1" s="536"/>
      <c r="CAV1" s="536"/>
      <c r="CAW1" s="536"/>
      <c r="CAX1" s="536"/>
      <c r="CAY1" s="536"/>
      <c r="CAZ1" s="536"/>
      <c r="CBA1" s="536"/>
      <c r="CBB1" s="536"/>
      <c r="CBC1" s="536"/>
      <c r="CBD1" s="536"/>
      <c r="CBE1" s="536"/>
      <c r="CBF1" s="536"/>
      <c r="CBG1" s="536"/>
      <c r="CBH1" s="536"/>
      <c r="CBI1" s="536"/>
      <c r="CBJ1" s="536"/>
      <c r="CBK1" s="536"/>
      <c r="CBL1" s="536"/>
      <c r="CBM1" s="536"/>
      <c r="CBN1" s="536"/>
      <c r="CBO1" s="536"/>
      <c r="CBP1" s="536"/>
      <c r="CBQ1" s="536"/>
      <c r="CBR1" s="536"/>
      <c r="CBS1" s="536"/>
      <c r="CBT1" s="536"/>
      <c r="CBU1" s="536"/>
      <c r="CBV1" s="536"/>
      <c r="CBW1" s="536"/>
      <c r="CBX1" s="536"/>
      <c r="CBY1" s="536"/>
      <c r="CBZ1" s="536"/>
      <c r="CCA1" s="536"/>
      <c r="CCB1" s="536"/>
      <c r="CCC1" s="536"/>
      <c r="CCD1" s="536"/>
      <c r="CCE1" s="536"/>
      <c r="CCF1" s="536"/>
      <c r="CCG1" s="536"/>
      <c r="CCH1" s="536"/>
      <c r="CCI1" s="536"/>
      <c r="CCJ1" s="536"/>
      <c r="CCK1" s="536"/>
      <c r="CCL1" s="536"/>
      <c r="CCM1" s="536"/>
      <c r="CCN1" s="536"/>
      <c r="CCO1" s="536"/>
      <c r="CCP1" s="536"/>
      <c r="CCQ1" s="536"/>
      <c r="CCR1" s="536"/>
      <c r="CCS1" s="536"/>
      <c r="CCT1" s="536"/>
      <c r="CCU1" s="536"/>
      <c r="CCV1" s="536"/>
      <c r="CCW1" s="536"/>
      <c r="CCX1" s="536"/>
      <c r="CCY1" s="536"/>
      <c r="CCZ1" s="536"/>
      <c r="CDA1" s="536"/>
      <c r="CDB1" s="536"/>
      <c r="CDC1" s="536"/>
      <c r="CDD1" s="536"/>
      <c r="CDE1" s="536"/>
      <c r="CDF1" s="536"/>
      <c r="CDG1" s="536"/>
      <c r="CDH1" s="536"/>
      <c r="CDI1" s="536"/>
      <c r="CDJ1" s="536"/>
      <c r="CDK1" s="536"/>
      <c r="CDL1" s="536"/>
      <c r="CDM1" s="536"/>
      <c r="CDN1" s="536"/>
      <c r="CDO1" s="536"/>
      <c r="CDP1" s="536"/>
      <c r="CDQ1" s="536"/>
      <c r="CDR1" s="536"/>
      <c r="CDS1" s="536"/>
      <c r="CDT1" s="536"/>
      <c r="CDU1" s="536"/>
      <c r="CDV1" s="536"/>
      <c r="CDW1" s="536"/>
      <c r="CDX1" s="536"/>
      <c r="CDY1" s="536"/>
      <c r="CDZ1" s="536"/>
      <c r="CEA1" s="536"/>
      <c r="CEB1" s="536"/>
      <c r="CEC1" s="536"/>
      <c r="CED1" s="536"/>
      <c r="CEE1" s="536"/>
      <c r="CEF1" s="536"/>
      <c r="CEG1" s="536"/>
      <c r="CEH1" s="536"/>
      <c r="CEI1" s="536"/>
      <c r="CEJ1" s="536"/>
      <c r="CEK1" s="536"/>
      <c r="CEL1" s="536"/>
      <c r="CEM1" s="536"/>
      <c r="CEN1" s="536"/>
      <c r="CEO1" s="536"/>
      <c r="CEP1" s="536"/>
      <c r="CEQ1" s="536"/>
      <c r="CER1" s="536"/>
      <c r="CES1" s="536"/>
      <c r="CET1" s="536"/>
      <c r="CEU1" s="536"/>
      <c r="CEV1" s="536"/>
      <c r="CEW1" s="536"/>
      <c r="CEX1" s="536"/>
      <c r="CEY1" s="536"/>
      <c r="CEZ1" s="536"/>
      <c r="CFA1" s="536"/>
      <c r="CFB1" s="536"/>
      <c r="CFC1" s="536"/>
      <c r="CFD1" s="536"/>
      <c r="CFE1" s="536"/>
      <c r="CFF1" s="536"/>
      <c r="CFG1" s="536"/>
      <c r="CFH1" s="536"/>
      <c r="CFI1" s="536"/>
      <c r="CFJ1" s="536"/>
      <c r="CFK1" s="536"/>
      <c r="CFL1" s="536"/>
      <c r="CFM1" s="536"/>
      <c r="CFN1" s="536"/>
      <c r="CFO1" s="536"/>
      <c r="CFP1" s="536"/>
      <c r="CFQ1" s="536"/>
      <c r="CFR1" s="536"/>
      <c r="CFS1" s="536"/>
      <c r="CFT1" s="536"/>
      <c r="CFU1" s="536"/>
      <c r="CFV1" s="536"/>
      <c r="CFW1" s="536"/>
      <c r="CFX1" s="536"/>
      <c r="CFY1" s="536"/>
      <c r="CFZ1" s="536"/>
      <c r="CGA1" s="536"/>
      <c r="CGB1" s="536"/>
      <c r="CGC1" s="536"/>
      <c r="CGD1" s="536"/>
      <c r="CGE1" s="536"/>
      <c r="CGF1" s="536"/>
      <c r="CGG1" s="536"/>
      <c r="CGH1" s="536"/>
      <c r="CGI1" s="536"/>
      <c r="CGJ1" s="536"/>
      <c r="CGK1" s="536"/>
      <c r="CGL1" s="536"/>
      <c r="CGM1" s="536"/>
      <c r="CGN1" s="536"/>
      <c r="CGO1" s="536"/>
      <c r="CGP1" s="536"/>
      <c r="CGQ1" s="536"/>
      <c r="CGR1" s="536"/>
      <c r="CGS1" s="536"/>
      <c r="CGT1" s="536"/>
      <c r="CGU1" s="536"/>
      <c r="CGV1" s="536"/>
      <c r="CGW1" s="536"/>
      <c r="CGX1" s="536"/>
      <c r="CGY1" s="536"/>
      <c r="CGZ1" s="536"/>
      <c r="CHA1" s="536"/>
      <c r="CHB1" s="536"/>
      <c r="CHC1" s="536"/>
      <c r="CHD1" s="536"/>
      <c r="CHE1" s="536"/>
      <c r="CHF1" s="536"/>
      <c r="CHG1" s="536"/>
      <c r="CHH1" s="536"/>
      <c r="CHI1" s="536"/>
      <c r="CHJ1" s="536"/>
      <c r="CHK1" s="536"/>
      <c r="CHL1" s="536"/>
      <c r="CHM1" s="536"/>
      <c r="CHN1" s="536"/>
      <c r="CHO1" s="536"/>
      <c r="CHP1" s="536"/>
      <c r="CHQ1" s="536"/>
      <c r="CHR1" s="536"/>
      <c r="CHS1" s="536"/>
      <c r="CHT1" s="536"/>
      <c r="CHU1" s="536"/>
      <c r="CHV1" s="536"/>
      <c r="CHW1" s="536"/>
      <c r="CHX1" s="536"/>
      <c r="CHY1" s="536"/>
      <c r="CHZ1" s="536"/>
      <c r="CIA1" s="536"/>
      <c r="CIB1" s="536"/>
      <c r="CIC1" s="536"/>
      <c r="CID1" s="536"/>
      <c r="CIE1" s="536"/>
      <c r="CIF1" s="536"/>
      <c r="CIG1" s="536"/>
      <c r="CIH1" s="536"/>
      <c r="CII1" s="536"/>
      <c r="CIJ1" s="536"/>
      <c r="CIK1" s="536"/>
      <c r="CIL1" s="536"/>
      <c r="CIM1" s="536"/>
      <c r="CIN1" s="536"/>
      <c r="CIO1" s="536"/>
      <c r="CIP1" s="536"/>
      <c r="CIQ1" s="536"/>
      <c r="CIR1" s="536"/>
      <c r="CIS1" s="536"/>
      <c r="CIT1" s="536"/>
      <c r="CIU1" s="536"/>
      <c r="CIV1" s="536"/>
      <c r="CIW1" s="536"/>
      <c r="CIX1" s="536"/>
      <c r="CIY1" s="536"/>
      <c r="CIZ1" s="536"/>
      <c r="CJA1" s="536"/>
      <c r="CJB1" s="536"/>
      <c r="CJC1" s="536"/>
      <c r="CJD1" s="536"/>
      <c r="CJE1" s="536"/>
      <c r="CJF1" s="536"/>
      <c r="CJG1" s="536"/>
      <c r="CJH1" s="536"/>
      <c r="CJI1" s="536"/>
      <c r="CJJ1" s="536"/>
      <c r="CJK1" s="536"/>
      <c r="CJL1" s="536"/>
      <c r="CJM1" s="536"/>
      <c r="CJN1" s="536"/>
      <c r="CJO1" s="536"/>
      <c r="CJP1" s="536"/>
      <c r="CJQ1" s="536"/>
      <c r="CJR1" s="536"/>
      <c r="CJS1" s="536"/>
      <c r="CJT1" s="536"/>
      <c r="CJU1" s="536"/>
      <c r="CJV1" s="536"/>
      <c r="CJW1" s="536"/>
      <c r="CJX1" s="536"/>
      <c r="CJY1" s="536"/>
      <c r="CJZ1" s="536"/>
      <c r="CKA1" s="536"/>
      <c r="CKB1" s="536"/>
      <c r="CKC1" s="536"/>
      <c r="CKD1" s="536"/>
      <c r="CKE1" s="536"/>
      <c r="CKF1" s="536"/>
      <c r="CKG1" s="536"/>
      <c r="CKH1" s="536"/>
      <c r="CKI1" s="536"/>
      <c r="CKJ1" s="536"/>
      <c r="CKK1" s="536"/>
      <c r="CKL1" s="536"/>
      <c r="CKM1" s="536"/>
      <c r="CKN1" s="536"/>
      <c r="CKO1" s="536"/>
      <c r="CKP1" s="536"/>
      <c r="CKQ1" s="536"/>
      <c r="CKR1" s="536"/>
      <c r="CKS1" s="536"/>
      <c r="CKT1" s="536"/>
      <c r="CKU1" s="536"/>
      <c r="CKV1" s="536"/>
      <c r="CKW1" s="536"/>
      <c r="CKX1" s="536"/>
      <c r="CKY1" s="536"/>
      <c r="CKZ1" s="536"/>
      <c r="CLA1" s="536"/>
      <c r="CLB1" s="536"/>
      <c r="CLC1" s="536"/>
      <c r="CLD1" s="536"/>
      <c r="CLE1" s="536"/>
      <c r="CLF1" s="536"/>
      <c r="CLG1" s="536"/>
      <c r="CLH1" s="536"/>
      <c r="CLI1" s="536"/>
      <c r="CLJ1" s="536"/>
      <c r="CLK1" s="536"/>
      <c r="CLL1" s="536"/>
      <c r="CLM1" s="536"/>
      <c r="CLN1" s="536"/>
      <c r="CLO1" s="536"/>
      <c r="CLP1" s="536"/>
      <c r="CLQ1" s="536"/>
      <c r="CLR1" s="536"/>
      <c r="CLS1" s="536"/>
      <c r="CLT1" s="536"/>
      <c r="CLU1" s="536"/>
      <c r="CLV1" s="536"/>
      <c r="CLW1" s="536"/>
      <c r="CLX1" s="536"/>
      <c r="CLY1" s="536"/>
      <c r="CLZ1" s="536"/>
      <c r="CMA1" s="536"/>
      <c r="CMB1" s="536"/>
      <c r="CMC1" s="536"/>
      <c r="CMD1" s="536"/>
      <c r="CME1" s="536"/>
      <c r="CMF1" s="536"/>
      <c r="CMG1" s="536"/>
      <c r="CMH1" s="536"/>
      <c r="CMI1" s="536"/>
      <c r="CMJ1" s="536"/>
      <c r="CMK1" s="536"/>
      <c r="CML1" s="536"/>
      <c r="CMM1" s="536"/>
      <c r="CMN1" s="536"/>
      <c r="CMO1" s="536"/>
      <c r="CMP1" s="536"/>
      <c r="CMQ1" s="536"/>
      <c r="CMR1" s="536"/>
      <c r="CMS1" s="536"/>
      <c r="CMT1" s="536"/>
      <c r="CMU1" s="536"/>
      <c r="CMV1" s="536"/>
      <c r="CMW1" s="536"/>
      <c r="CMX1" s="536"/>
      <c r="CMY1" s="536"/>
      <c r="CMZ1" s="536"/>
      <c r="CNA1" s="536"/>
      <c r="CNB1" s="536"/>
      <c r="CNC1" s="536"/>
      <c r="CND1" s="536"/>
      <c r="CNE1" s="536"/>
      <c r="CNF1" s="536"/>
      <c r="CNG1" s="536"/>
      <c r="CNH1" s="536"/>
      <c r="CNI1" s="536"/>
      <c r="CNJ1" s="536"/>
      <c r="CNK1" s="536"/>
      <c r="CNL1" s="536"/>
      <c r="CNM1" s="536"/>
      <c r="CNN1" s="536"/>
      <c r="CNO1" s="536"/>
      <c r="CNP1" s="536"/>
      <c r="CNQ1" s="536"/>
      <c r="CNR1" s="536"/>
      <c r="CNS1" s="536"/>
      <c r="CNT1" s="536"/>
      <c r="CNU1" s="536"/>
      <c r="CNV1" s="536"/>
      <c r="CNW1" s="536"/>
      <c r="CNX1" s="536"/>
      <c r="CNY1" s="536"/>
      <c r="CNZ1" s="536"/>
      <c r="COA1" s="536"/>
      <c r="COB1" s="536"/>
      <c r="COC1" s="536"/>
      <c r="COD1" s="536"/>
      <c r="COE1" s="536"/>
      <c r="COF1" s="536"/>
      <c r="COG1" s="536"/>
      <c r="COH1" s="536"/>
      <c r="COI1" s="536"/>
      <c r="COJ1" s="536"/>
      <c r="COK1" s="536"/>
      <c r="COL1" s="536"/>
      <c r="COM1" s="536"/>
      <c r="CON1" s="536"/>
      <c r="COO1" s="536"/>
      <c r="COP1" s="536"/>
      <c r="COQ1" s="536"/>
      <c r="COR1" s="536"/>
      <c r="COS1" s="536"/>
      <c r="COT1" s="536"/>
      <c r="COU1" s="536"/>
      <c r="COV1" s="536"/>
      <c r="COW1" s="536"/>
      <c r="COX1" s="536"/>
      <c r="COY1" s="536"/>
      <c r="COZ1" s="536"/>
      <c r="CPA1" s="536"/>
      <c r="CPB1" s="536"/>
      <c r="CPC1" s="536"/>
      <c r="CPD1" s="536"/>
      <c r="CPE1" s="536"/>
      <c r="CPF1" s="536"/>
      <c r="CPG1" s="536"/>
      <c r="CPH1" s="536"/>
      <c r="CPI1" s="536"/>
      <c r="CPJ1" s="536"/>
      <c r="CPK1" s="536"/>
      <c r="CPL1" s="536"/>
      <c r="CPM1" s="536"/>
      <c r="CPN1" s="536"/>
      <c r="CPO1" s="536"/>
      <c r="CPP1" s="536"/>
      <c r="CPQ1" s="536"/>
      <c r="CPR1" s="536"/>
      <c r="CPS1" s="536"/>
      <c r="CPT1" s="536"/>
      <c r="CPU1" s="536"/>
      <c r="CPV1" s="536"/>
      <c r="CPW1" s="536"/>
      <c r="CPX1" s="536"/>
      <c r="CPY1" s="536"/>
      <c r="CPZ1" s="536"/>
      <c r="CQA1" s="536"/>
      <c r="CQB1" s="536"/>
      <c r="CQC1" s="536"/>
      <c r="CQD1" s="536"/>
      <c r="CQE1" s="536"/>
      <c r="CQF1" s="536"/>
      <c r="CQG1" s="536"/>
      <c r="CQH1" s="536"/>
      <c r="CQI1" s="536"/>
      <c r="CQJ1" s="536"/>
      <c r="CQK1" s="536"/>
      <c r="CQL1" s="536"/>
      <c r="CQM1" s="536"/>
      <c r="CQN1" s="536"/>
      <c r="CQO1" s="536"/>
      <c r="CQP1" s="536"/>
      <c r="CQQ1" s="536"/>
      <c r="CQR1" s="536"/>
      <c r="CQS1" s="536"/>
      <c r="CQT1" s="536"/>
      <c r="CQU1" s="536"/>
      <c r="CQV1" s="536"/>
      <c r="CQW1" s="536"/>
      <c r="CQX1" s="536"/>
      <c r="CQY1" s="536"/>
      <c r="CQZ1" s="536"/>
      <c r="CRA1" s="536"/>
      <c r="CRB1" s="536"/>
      <c r="CRC1" s="536"/>
      <c r="CRD1" s="536"/>
      <c r="CRE1" s="536"/>
      <c r="CRF1" s="536"/>
      <c r="CRG1" s="536"/>
      <c r="CRH1" s="536"/>
      <c r="CRI1" s="536"/>
      <c r="CRJ1" s="536"/>
      <c r="CRK1" s="536"/>
      <c r="CRL1" s="536"/>
      <c r="CRM1" s="536"/>
      <c r="CRN1" s="536"/>
      <c r="CRO1" s="536"/>
      <c r="CRP1" s="536"/>
      <c r="CRQ1" s="536"/>
      <c r="CRR1" s="536"/>
      <c r="CRS1" s="536"/>
      <c r="CRT1" s="536"/>
      <c r="CRU1" s="536"/>
      <c r="CRV1" s="536"/>
      <c r="CRW1" s="536"/>
      <c r="CRX1" s="536"/>
      <c r="CRY1" s="536"/>
      <c r="CRZ1" s="536"/>
      <c r="CSA1" s="536"/>
      <c r="CSB1" s="536"/>
      <c r="CSC1" s="536"/>
      <c r="CSD1" s="536"/>
      <c r="CSE1" s="536"/>
      <c r="CSF1" s="536"/>
      <c r="CSG1" s="536"/>
      <c r="CSH1" s="536"/>
      <c r="CSI1" s="536"/>
      <c r="CSJ1" s="536"/>
      <c r="CSK1" s="536"/>
      <c r="CSL1" s="536"/>
      <c r="CSM1" s="536"/>
      <c r="CSN1" s="536"/>
      <c r="CSO1" s="536"/>
      <c r="CSP1" s="536"/>
      <c r="CSQ1" s="536"/>
      <c r="CSR1" s="536"/>
      <c r="CSS1" s="536"/>
      <c r="CST1" s="536"/>
      <c r="CSU1" s="536"/>
      <c r="CSV1" s="536"/>
      <c r="CSW1" s="536"/>
      <c r="CSX1" s="536"/>
      <c r="CSY1" s="536"/>
      <c r="CSZ1" s="536"/>
      <c r="CTA1" s="536"/>
      <c r="CTB1" s="536"/>
      <c r="CTC1" s="536"/>
      <c r="CTD1" s="536"/>
      <c r="CTE1" s="536"/>
      <c r="CTF1" s="536"/>
      <c r="CTG1" s="536"/>
      <c r="CTH1" s="536"/>
      <c r="CTI1" s="536"/>
      <c r="CTJ1" s="536"/>
      <c r="CTK1" s="536"/>
      <c r="CTL1" s="536"/>
      <c r="CTM1" s="536"/>
      <c r="CTN1" s="536"/>
      <c r="CTO1" s="536"/>
      <c r="CTP1" s="536"/>
      <c r="CTQ1" s="536"/>
      <c r="CTR1" s="536"/>
      <c r="CTS1" s="536"/>
      <c r="CTT1" s="536"/>
      <c r="CTU1" s="536"/>
      <c r="CTV1" s="536"/>
      <c r="CTW1" s="536"/>
      <c r="CTX1" s="536"/>
      <c r="CTY1" s="536"/>
      <c r="CTZ1" s="536"/>
      <c r="CUA1" s="536"/>
      <c r="CUB1" s="536"/>
      <c r="CUC1" s="536"/>
      <c r="CUD1" s="536"/>
      <c r="CUE1" s="536"/>
      <c r="CUF1" s="536"/>
      <c r="CUG1" s="536"/>
      <c r="CUH1" s="536"/>
      <c r="CUI1" s="536"/>
      <c r="CUJ1" s="536"/>
      <c r="CUK1" s="536"/>
      <c r="CUL1" s="536"/>
      <c r="CUM1" s="536"/>
      <c r="CUN1" s="536"/>
      <c r="CUO1" s="536"/>
      <c r="CUP1" s="536"/>
      <c r="CUQ1" s="536"/>
      <c r="CUR1" s="536"/>
      <c r="CUS1" s="536"/>
      <c r="CUT1" s="536"/>
      <c r="CUU1" s="536"/>
      <c r="CUV1" s="536"/>
      <c r="CUW1" s="536"/>
      <c r="CUX1" s="536"/>
      <c r="CUY1" s="536"/>
      <c r="CUZ1" s="536"/>
      <c r="CVA1" s="536"/>
      <c r="CVB1" s="536"/>
      <c r="CVC1" s="536"/>
      <c r="CVD1" s="536"/>
      <c r="CVE1" s="536"/>
      <c r="CVF1" s="536"/>
      <c r="CVG1" s="536"/>
      <c r="CVH1" s="536"/>
      <c r="CVI1" s="536"/>
      <c r="CVJ1" s="536"/>
      <c r="CVK1" s="536"/>
      <c r="CVL1" s="536"/>
      <c r="CVM1" s="536"/>
      <c r="CVN1" s="536"/>
      <c r="CVO1" s="536"/>
      <c r="CVP1" s="536"/>
      <c r="CVQ1" s="536"/>
      <c r="CVR1" s="536"/>
      <c r="CVS1" s="536"/>
      <c r="CVT1" s="536"/>
      <c r="CVU1" s="536"/>
      <c r="CVV1" s="536"/>
      <c r="CVW1" s="536"/>
      <c r="CVX1" s="536"/>
      <c r="CVY1" s="536"/>
      <c r="CVZ1" s="536"/>
      <c r="CWA1" s="536"/>
      <c r="CWB1" s="536"/>
      <c r="CWC1" s="536"/>
      <c r="CWD1" s="536"/>
      <c r="CWE1" s="536"/>
      <c r="CWF1" s="536"/>
      <c r="CWG1" s="536"/>
      <c r="CWH1" s="536"/>
      <c r="CWI1" s="536"/>
      <c r="CWJ1" s="536"/>
      <c r="CWK1" s="536"/>
      <c r="CWL1" s="536"/>
      <c r="CWM1" s="536"/>
      <c r="CWN1" s="536"/>
      <c r="CWO1" s="536"/>
      <c r="CWP1" s="536"/>
      <c r="CWQ1" s="536"/>
      <c r="CWR1" s="536"/>
      <c r="CWS1" s="536"/>
      <c r="CWT1" s="536"/>
      <c r="CWU1" s="536"/>
      <c r="CWV1" s="536"/>
      <c r="CWW1" s="536"/>
      <c r="CWX1" s="536"/>
      <c r="CWY1" s="536"/>
      <c r="CWZ1" s="536"/>
      <c r="CXA1" s="536"/>
      <c r="CXB1" s="536"/>
      <c r="CXC1" s="536"/>
      <c r="CXD1" s="536"/>
      <c r="CXE1" s="536"/>
      <c r="CXF1" s="536"/>
      <c r="CXG1" s="536"/>
      <c r="CXH1" s="536"/>
      <c r="CXI1" s="536"/>
      <c r="CXJ1" s="536"/>
      <c r="CXK1" s="536"/>
      <c r="CXL1" s="536"/>
      <c r="CXM1" s="536"/>
      <c r="CXN1" s="536"/>
      <c r="CXO1" s="536"/>
      <c r="CXP1" s="536"/>
      <c r="CXQ1" s="536"/>
      <c r="CXR1" s="536"/>
      <c r="CXS1" s="536"/>
      <c r="CXT1" s="536"/>
      <c r="CXU1" s="536"/>
      <c r="CXV1" s="536"/>
      <c r="CXW1" s="536"/>
      <c r="CXX1" s="536"/>
      <c r="CXY1" s="536"/>
      <c r="CXZ1" s="536"/>
      <c r="CYA1" s="536"/>
      <c r="CYB1" s="536"/>
      <c r="CYC1" s="536"/>
      <c r="CYD1" s="536"/>
      <c r="CYE1" s="536"/>
      <c r="CYF1" s="536"/>
      <c r="CYG1" s="536"/>
      <c r="CYH1" s="536"/>
      <c r="CYI1" s="536"/>
      <c r="CYJ1" s="536"/>
      <c r="CYK1" s="536"/>
      <c r="CYL1" s="536"/>
      <c r="CYM1" s="536"/>
      <c r="CYN1" s="536"/>
      <c r="CYO1" s="536"/>
      <c r="CYP1" s="536"/>
      <c r="CYQ1" s="536"/>
      <c r="CYR1" s="536"/>
      <c r="CYS1" s="536"/>
      <c r="CYT1" s="536"/>
      <c r="CYU1" s="536"/>
      <c r="CYV1" s="536"/>
      <c r="CYW1" s="536"/>
      <c r="CYX1" s="536"/>
      <c r="CYY1" s="536"/>
      <c r="CYZ1" s="536"/>
      <c r="CZA1" s="536"/>
      <c r="CZB1" s="536"/>
      <c r="CZC1" s="536"/>
      <c r="CZD1" s="536"/>
      <c r="CZE1" s="536"/>
      <c r="CZF1" s="536"/>
      <c r="CZG1" s="536"/>
      <c r="CZH1" s="536"/>
      <c r="CZI1" s="536"/>
      <c r="CZJ1" s="536"/>
      <c r="CZK1" s="536"/>
      <c r="CZL1" s="536"/>
      <c r="CZM1" s="536"/>
      <c r="CZN1" s="536"/>
      <c r="CZO1" s="536"/>
      <c r="CZP1" s="536"/>
      <c r="CZQ1" s="536"/>
      <c r="CZR1" s="536"/>
      <c r="CZS1" s="536"/>
      <c r="CZT1" s="536"/>
      <c r="CZU1" s="536"/>
      <c r="CZV1" s="536"/>
      <c r="CZW1" s="536"/>
      <c r="CZX1" s="536"/>
      <c r="CZY1" s="536"/>
      <c r="CZZ1" s="536"/>
      <c r="DAA1" s="536"/>
      <c r="DAB1" s="536"/>
      <c r="DAC1" s="536"/>
      <c r="DAD1" s="536"/>
      <c r="DAE1" s="536"/>
      <c r="DAF1" s="536"/>
      <c r="DAG1" s="536"/>
      <c r="DAH1" s="536"/>
      <c r="DAI1" s="536"/>
      <c r="DAJ1" s="536"/>
      <c r="DAK1" s="536"/>
      <c r="DAL1" s="536"/>
      <c r="DAM1" s="536"/>
      <c r="DAN1" s="536"/>
      <c r="DAO1" s="536"/>
      <c r="DAP1" s="536"/>
      <c r="DAQ1" s="536"/>
      <c r="DAR1" s="536"/>
      <c r="DAS1" s="536"/>
      <c r="DAT1" s="536"/>
      <c r="DAU1" s="536"/>
      <c r="DAV1" s="536"/>
      <c r="DAW1" s="536"/>
      <c r="DAX1" s="536"/>
      <c r="DAY1" s="536"/>
      <c r="DAZ1" s="536"/>
      <c r="DBA1" s="536"/>
      <c r="DBB1" s="536"/>
      <c r="DBC1" s="536"/>
      <c r="DBD1" s="536"/>
      <c r="DBE1" s="536"/>
      <c r="DBF1" s="536"/>
      <c r="DBG1" s="536"/>
      <c r="DBH1" s="536"/>
      <c r="DBI1" s="536"/>
      <c r="DBJ1" s="536"/>
      <c r="DBK1" s="536"/>
      <c r="DBL1" s="536"/>
      <c r="DBM1" s="536"/>
      <c r="DBN1" s="536"/>
      <c r="DBO1" s="536"/>
      <c r="DBP1" s="536"/>
      <c r="DBQ1" s="536"/>
      <c r="DBR1" s="536"/>
      <c r="DBS1" s="536"/>
      <c r="DBT1" s="536"/>
      <c r="DBU1" s="536"/>
      <c r="DBV1" s="536"/>
      <c r="DBW1" s="536"/>
      <c r="DBX1" s="536"/>
      <c r="DBY1" s="536"/>
      <c r="DBZ1" s="536"/>
      <c r="DCA1" s="536"/>
      <c r="DCB1" s="536"/>
      <c r="DCC1" s="536"/>
      <c r="DCD1" s="536"/>
      <c r="DCE1" s="536"/>
      <c r="DCF1" s="536"/>
      <c r="DCG1" s="536"/>
      <c r="DCH1" s="536"/>
      <c r="DCI1" s="536"/>
      <c r="DCJ1" s="536"/>
      <c r="DCK1" s="536"/>
      <c r="DCL1" s="536"/>
      <c r="DCM1" s="536"/>
      <c r="DCN1" s="536"/>
      <c r="DCO1" s="536"/>
      <c r="DCP1" s="536"/>
      <c r="DCQ1" s="536"/>
      <c r="DCR1" s="536"/>
      <c r="DCS1" s="536"/>
      <c r="DCT1" s="536"/>
      <c r="DCU1" s="536"/>
      <c r="DCV1" s="536"/>
      <c r="DCW1" s="536"/>
      <c r="DCX1" s="536"/>
      <c r="DCY1" s="536"/>
      <c r="DCZ1" s="536"/>
      <c r="DDA1" s="536"/>
      <c r="DDB1" s="536"/>
      <c r="DDC1" s="536"/>
      <c r="DDD1" s="536"/>
      <c r="DDE1" s="536"/>
      <c r="DDF1" s="536"/>
      <c r="DDG1" s="536"/>
      <c r="DDH1" s="536"/>
      <c r="DDI1" s="536"/>
      <c r="DDJ1" s="536"/>
      <c r="DDK1" s="536"/>
      <c r="DDL1" s="536"/>
      <c r="DDM1" s="536"/>
      <c r="DDN1" s="536"/>
      <c r="DDO1" s="536"/>
      <c r="DDP1" s="536"/>
      <c r="DDQ1" s="536"/>
      <c r="DDR1" s="536"/>
      <c r="DDS1" s="536"/>
      <c r="DDT1" s="536"/>
      <c r="DDU1" s="536"/>
      <c r="DDV1" s="536"/>
      <c r="DDW1" s="536"/>
      <c r="DDX1" s="536"/>
      <c r="DDY1" s="536"/>
      <c r="DDZ1" s="536"/>
      <c r="DEA1" s="536"/>
      <c r="DEB1" s="536"/>
      <c r="DEC1" s="536"/>
      <c r="DED1" s="536"/>
      <c r="DEE1" s="536"/>
      <c r="DEF1" s="536"/>
      <c r="DEG1" s="536"/>
      <c r="DEH1" s="536"/>
      <c r="DEI1" s="536"/>
      <c r="DEJ1" s="536"/>
      <c r="DEK1" s="536"/>
      <c r="DEL1" s="536"/>
      <c r="DEM1" s="536"/>
      <c r="DEN1" s="536"/>
      <c r="DEO1" s="536"/>
      <c r="DEP1" s="536"/>
      <c r="DEQ1" s="536"/>
      <c r="DER1" s="536"/>
      <c r="DES1" s="536"/>
      <c r="DET1" s="536"/>
      <c r="DEU1" s="536"/>
      <c r="DEV1" s="536"/>
      <c r="DEW1" s="536"/>
      <c r="DEX1" s="536"/>
      <c r="DEY1" s="536"/>
      <c r="DEZ1" s="536"/>
      <c r="DFA1" s="536"/>
      <c r="DFB1" s="536"/>
      <c r="DFC1" s="536"/>
      <c r="DFD1" s="536"/>
      <c r="DFE1" s="536"/>
      <c r="DFF1" s="536"/>
      <c r="DFG1" s="536"/>
      <c r="DFH1" s="536"/>
      <c r="DFI1" s="536"/>
      <c r="DFJ1" s="536"/>
      <c r="DFK1" s="536"/>
      <c r="DFL1" s="536"/>
      <c r="DFM1" s="536"/>
      <c r="DFN1" s="536"/>
      <c r="DFO1" s="536"/>
      <c r="DFP1" s="536"/>
      <c r="DFQ1" s="536"/>
      <c r="DFR1" s="536"/>
      <c r="DFS1" s="536"/>
      <c r="DFT1" s="536"/>
      <c r="DFU1" s="536"/>
      <c r="DFV1" s="536"/>
      <c r="DFW1" s="536"/>
      <c r="DFX1" s="536"/>
      <c r="DFY1" s="536"/>
      <c r="DFZ1" s="536"/>
      <c r="DGA1" s="536"/>
      <c r="DGB1" s="536"/>
      <c r="DGC1" s="536"/>
      <c r="DGD1" s="536"/>
      <c r="DGE1" s="536"/>
      <c r="DGF1" s="536"/>
      <c r="DGG1" s="536"/>
      <c r="DGH1" s="536"/>
      <c r="DGI1" s="536"/>
      <c r="DGJ1" s="536"/>
      <c r="DGK1" s="536"/>
      <c r="DGL1" s="536"/>
      <c r="DGM1" s="536"/>
      <c r="DGN1" s="536"/>
      <c r="DGO1" s="536"/>
      <c r="DGP1" s="536"/>
      <c r="DGQ1" s="536"/>
      <c r="DGR1" s="536"/>
      <c r="DGS1" s="536"/>
      <c r="DGT1" s="536"/>
      <c r="DGU1" s="536"/>
      <c r="DGV1" s="536"/>
      <c r="DGW1" s="536"/>
      <c r="DGX1" s="536"/>
      <c r="DGY1" s="536"/>
      <c r="DGZ1" s="536"/>
      <c r="DHA1" s="536"/>
      <c r="DHB1" s="536"/>
      <c r="DHC1" s="536"/>
      <c r="DHD1" s="536"/>
      <c r="DHE1" s="536"/>
      <c r="DHF1" s="536"/>
      <c r="DHG1" s="536"/>
      <c r="DHH1" s="536"/>
      <c r="DHI1" s="536"/>
      <c r="DHJ1" s="536"/>
      <c r="DHK1" s="536"/>
      <c r="DHL1" s="536"/>
      <c r="DHM1" s="536"/>
      <c r="DHN1" s="536"/>
      <c r="DHO1" s="536"/>
      <c r="DHP1" s="536"/>
      <c r="DHQ1" s="536"/>
      <c r="DHR1" s="536"/>
      <c r="DHS1" s="536"/>
      <c r="DHT1" s="536"/>
      <c r="DHU1" s="536"/>
      <c r="DHV1" s="536"/>
      <c r="DHW1" s="536"/>
      <c r="DHX1" s="536"/>
      <c r="DHY1" s="536"/>
      <c r="DHZ1" s="536"/>
      <c r="DIA1" s="536"/>
      <c r="DIB1" s="536"/>
      <c r="DIC1" s="536"/>
      <c r="DID1" s="536"/>
      <c r="DIE1" s="536"/>
      <c r="DIF1" s="536"/>
      <c r="DIG1" s="536"/>
      <c r="DIH1" s="536"/>
      <c r="DII1" s="536"/>
      <c r="DIJ1" s="536"/>
      <c r="DIK1" s="536"/>
      <c r="DIL1" s="536"/>
      <c r="DIM1" s="536"/>
      <c r="DIN1" s="536"/>
      <c r="DIO1" s="536"/>
      <c r="DIP1" s="536"/>
      <c r="DIQ1" s="536"/>
      <c r="DIR1" s="536"/>
      <c r="DIS1" s="536"/>
      <c r="DIT1" s="536"/>
      <c r="DIU1" s="536"/>
      <c r="DIV1" s="536"/>
      <c r="DIW1" s="536"/>
      <c r="DIX1" s="536"/>
      <c r="DIY1" s="536"/>
      <c r="DIZ1" s="536"/>
      <c r="DJA1" s="536"/>
      <c r="DJB1" s="536"/>
      <c r="DJC1" s="536"/>
      <c r="DJD1" s="536"/>
      <c r="DJE1" s="536"/>
      <c r="DJF1" s="536"/>
      <c r="DJG1" s="536"/>
      <c r="DJH1" s="536"/>
      <c r="DJI1" s="536"/>
      <c r="DJJ1" s="536"/>
      <c r="DJK1" s="536"/>
      <c r="DJL1" s="536"/>
      <c r="DJM1" s="536"/>
      <c r="DJN1" s="536"/>
      <c r="DJO1" s="536"/>
      <c r="DJP1" s="536"/>
      <c r="DJQ1" s="536"/>
      <c r="DJR1" s="536"/>
      <c r="DJS1" s="536"/>
      <c r="DJT1" s="536"/>
      <c r="DJU1" s="536"/>
      <c r="DJV1" s="536"/>
      <c r="DJW1" s="536"/>
      <c r="DJX1" s="536"/>
      <c r="DJY1" s="536"/>
      <c r="DJZ1" s="536"/>
      <c r="DKA1" s="536"/>
      <c r="DKB1" s="536"/>
      <c r="DKC1" s="536"/>
      <c r="DKD1" s="536"/>
      <c r="DKE1" s="536"/>
      <c r="DKF1" s="536"/>
      <c r="DKG1" s="536"/>
      <c r="DKH1" s="536"/>
      <c r="DKI1" s="536"/>
      <c r="DKJ1" s="536"/>
      <c r="DKK1" s="536"/>
      <c r="DKL1" s="536"/>
      <c r="DKM1" s="536"/>
      <c r="DKN1" s="536"/>
      <c r="DKO1" s="536"/>
      <c r="DKP1" s="536"/>
      <c r="DKQ1" s="536"/>
      <c r="DKR1" s="536"/>
      <c r="DKS1" s="536"/>
      <c r="DKT1" s="536"/>
      <c r="DKU1" s="536"/>
      <c r="DKV1" s="536"/>
      <c r="DKW1" s="536"/>
      <c r="DKX1" s="536"/>
      <c r="DKY1" s="536"/>
      <c r="DKZ1" s="536"/>
      <c r="DLA1" s="536"/>
      <c r="DLB1" s="536"/>
      <c r="DLC1" s="536"/>
      <c r="DLD1" s="536"/>
      <c r="DLE1" s="536"/>
      <c r="DLF1" s="536"/>
      <c r="DLG1" s="536"/>
      <c r="DLH1" s="536"/>
      <c r="DLI1" s="536"/>
      <c r="DLJ1" s="536"/>
      <c r="DLK1" s="536"/>
      <c r="DLL1" s="536"/>
      <c r="DLM1" s="536"/>
      <c r="DLN1" s="536"/>
      <c r="DLO1" s="536"/>
      <c r="DLP1" s="536"/>
      <c r="DLQ1" s="536"/>
      <c r="DLR1" s="536"/>
      <c r="DLS1" s="536"/>
      <c r="DLT1" s="536"/>
      <c r="DLU1" s="536"/>
      <c r="DLV1" s="536"/>
      <c r="DLW1" s="536"/>
      <c r="DLX1" s="536"/>
      <c r="DLY1" s="536"/>
      <c r="DLZ1" s="536"/>
      <c r="DMA1" s="536"/>
      <c r="DMB1" s="536"/>
      <c r="DMC1" s="536"/>
      <c r="DMD1" s="536"/>
      <c r="DME1" s="536"/>
      <c r="DMF1" s="536"/>
      <c r="DMG1" s="536"/>
      <c r="DMH1" s="536"/>
      <c r="DMI1" s="536"/>
      <c r="DMJ1" s="536"/>
      <c r="DMK1" s="536"/>
      <c r="DML1" s="536"/>
      <c r="DMM1" s="536"/>
      <c r="DMN1" s="536"/>
      <c r="DMO1" s="536"/>
      <c r="DMP1" s="536"/>
      <c r="DMQ1" s="536"/>
      <c r="DMR1" s="536"/>
      <c r="DMS1" s="536"/>
      <c r="DMT1" s="536"/>
      <c r="DMU1" s="536"/>
      <c r="DMV1" s="536"/>
      <c r="DMW1" s="536"/>
      <c r="DMX1" s="536"/>
      <c r="DMY1" s="536"/>
      <c r="DMZ1" s="536"/>
      <c r="DNA1" s="536"/>
      <c r="DNB1" s="536"/>
      <c r="DNC1" s="536"/>
      <c r="DND1" s="536"/>
      <c r="DNE1" s="536"/>
      <c r="DNF1" s="536"/>
      <c r="DNG1" s="536"/>
      <c r="DNH1" s="536"/>
      <c r="DNI1" s="536"/>
      <c r="DNJ1" s="536"/>
      <c r="DNK1" s="536"/>
      <c r="DNL1" s="536"/>
      <c r="DNM1" s="536"/>
      <c r="DNN1" s="536"/>
      <c r="DNO1" s="536"/>
      <c r="DNP1" s="536"/>
      <c r="DNQ1" s="536"/>
      <c r="DNR1" s="536"/>
      <c r="DNS1" s="536"/>
      <c r="DNT1" s="536"/>
      <c r="DNU1" s="536"/>
      <c r="DNV1" s="536"/>
      <c r="DNW1" s="536"/>
      <c r="DNX1" s="536"/>
      <c r="DNY1" s="536"/>
      <c r="DNZ1" s="536"/>
      <c r="DOA1" s="536"/>
      <c r="DOB1" s="536"/>
      <c r="DOC1" s="536"/>
      <c r="DOD1" s="536"/>
      <c r="DOE1" s="536"/>
      <c r="DOF1" s="536"/>
      <c r="DOG1" s="536"/>
      <c r="DOH1" s="536"/>
      <c r="DOI1" s="536"/>
      <c r="DOJ1" s="536"/>
      <c r="DOK1" s="536"/>
      <c r="DOL1" s="536"/>
      <c r="DOM1" s="536"/>
      <c r="DON1" s="536"/>
      <c r="DOO1" s="536"/>
      <c r="DOP1" s="536"/>
      <c r="DOQ1" s="536"/>
      <c r="DOR1" s="536"/>
      <c r="DOS1" s="536"/>
      <c r="DOT1" s="536"/>
      <c r="DOU1" s="536"/>
      <c r="DOV1" s="536"/>
      <c r="DOW1" s="536"/>
      <c r="DOX1" s="536"/>
      <c r="DOY1" s="536"/>
      <c r="DOZ1" s="536"/>
      <c r="DPA1" s="536"/>
      <c r="DPB1" s="536"/>
      <c r="DPC1" s="536"/>
      <c r="DPD1" s="536"/>
      <c r="DPE1" s="536"/>
      <c r="DPF1" s="536"/>
      <c r="DPG1" s="536"/>
      <c r="DPH1" s="536"/>
      <c r="DPI1" s="536"/>
      <c r="DPJ1" s="536"/>
      <c r="DPK1" s="536"/>
      <c r="DPL1" s="536"/>
      <c r="DPM1" s="536"/>
      <c r="DPN1" s="536"/>
      <c r="DPO1" s="536"/>
      <c r="DPP1" s="536"/>
      <c r="DPQ1" s="536"/>
      <c r="DPR1" s="536"/>
      <c r="DPS1" s="536"/>
      <c r="DPT1" s="536"/>
      <c r="DPU1" s="536"/>
      <c r="DPV1" s="536"/>
      <c r="DPW1" s="536"/>
      <c r="DPX1" s="536"/>
      <c r="DPY1" s="536"/>
      <c r="DPZ1" s="536"/>
      <c r="DQA1" s="536"/>
      <c r="DQB1" s="536"/>
      <c r="DQC1" s="536"/>
      <c r="DQD1" s="536"/>
      <c r="DQE1" s="536"/>
      <c r="DQF1" s="536"/>
      <c r="DQG1" s="536"/>
      <c r="DQH1" s="536"/>
      <c r="DQI1" s="536"/>
      <c r="DQJ1" s="536"/>
      <c r="DQK1" s="536"/>
      <c r="DQL1" s="536"/>
      <c r="DQM1" s="536"/>
      <c r="DQN1" s="536"/>
      <c r="DQO1" s="536"/>
      <c r="DQP1" s="536"/>
      <c r="DQQ1" s="536"/>
      <c r="DQR1" s="536"/>
      <c r="DQS1" s="536"/>
      <c r="DQT1" s="536"/>
      <c r="DQU1" s="536"/>
      <c r="DQV1" s="536"/>
      <c r="DQW1" s="536"/>
      <c r="DQX1" s="536"/>
      <c r="DQY1" s="536"/>
      <c r="DQZ1" s="536"/>
      <c r="DRA1" s="536"/>
      <c r="DRB1" s="536"/>
      <c r="DRC1" s="536"/>
      <c r="DRD1" s="536"/>
      <c r="DRE1" s="536"/>
      <c r="DRF1" s="536"/>
      <c r="DRG1" s="536"/>
      <c r="DRH1" s="536"/>
      <c r="DRI1" s="536"/>
      <c r="DRJ1" s="536"/>
      <c r="DRK1" s="536"/>
      <c r="DRL1" s="536"/>
      <c r="DRM1" s="536"/>
      <c r="DRN1" s="536"/>
      <c r="DRO1" s="536"/>
      <c r="DRP1" s="536"/>
      <c r="DRQ1" s="536"/>
      <c r="DRR1" s="536"/>
      <c r="DRS1" s="536"/>
      <c r="DRT1" s="536"/>
      <c r="DRU1" s="536"/>
      <c r="DRV1" s="536"/>
      <c r="DRW1" s="536"/>
      <c r="DRX1" s="536"/>
      <c r="DRY1" s="536"/>
      <c r="DRZ1" s="536"/>
      <c r="DSA1" s="536"/>
      <c r="DSB1" s="536"/>
      <c r="DSC1" s="536"/>
      <c r="DSD1" s="536"/>
      <c r="DSE1" s="536"/>
      <c r="DSF1" s="536"/>
      <c r="DSG1" s="536"/>
      <c r="DSH1" s="536"/>
      <c r="DSI1" s="536"/>
      <c r="DSJ1" s="536"/>
      <c r="DSK1" s="536"/>
      <c r="DSL1" s="536"/>
      <c r="DSM1" s="536"/>
      <c r="DSN1" s="536"/>
      <c r="DSO1" s="536"/>
      <c r="DSP1" s="536"/>
      <c r="DSQ1" s="536"/>
      <c r="DSR1" s="536"/>
      <c r="DSS1" s="536"/>
      <c r="DST1" s="536"/>
      <c r="DSU1" s="536"/>
      <c r="DSV1" s="536"/>
      <c r="DSW1" s="536"/>
      <c r="DSX1" s="536"/>
      <c r="DSY1" s="536"/>
      <c r="DSZ1" s="536"/>
      <c r="DTA1" s="536"/>
      <c r="DTB1" s="536"/>
      <c r="DTC1" s="536"/>
      <c r="DTD1" s="536"/>
      <c r="DTE1" s="536"/>
      <c r="DTF1" s="536"/>
      <c r="DTG1" s="536"/>
      <c r="DTH1" s="536"/>
      <c r="DTI1" s="536"/>
      <c r="DTJ1" s="536"/>
      <c r="DTK1" s="536"/>
      <c r="DTL1" s="536"/>
      <c r="DTM1" s="536"/>
      <c r="DTN1" s="536"/>
      <c r="DTO1" s="536"/>
      <c r="DTP1" s="536"/>
      <c r="DTQ1" s="536"/>
      <c r="DTR1" s="536"/>
      <c r="DTS1" s="536"/>
      <c r="DTT1" s="536"/>
      <c r="DTU1" s="536"/>
      <c r="DTV1" s="536"/>
      <c r="DTW1" s="536"/>
      <c r="DTX1" s="536"/>
      <c r="DTY1" s="536"/>
      <c r="DTZ1" s="536"/>
      <c r="DUA1" s="536"/>
      <c r="DUB1" s="536"/>
      <c r="DUC1" s="536"/>
      <c r="DUD1" s="536"/>
      <c r="DUE1" s="536"/>
      <c r="DUF1" s="536"/>
      <c r="DUG1" s="536"/>
      <c r="DUH1" s="536"/>
      <c r="DUI1" s="536"/>
      <c r="DUJ1" s="536"/>
      <c r="DUK1" s="536"/>
      <c r="DUL1" s="536"/>
      <c r="DUM1" s="536"/>
      <c r="DUN1" s="536"/>
      <c r="DUO1" s="536"/>
      <c r="DUP1" s="536"/>
      <c r="DUQ1" s="536"/>
      <c r="DUR1" s="536"/>
      <c r="DUS1" s="536"/>
      <c r="DUT1" s="536"/>
      <c r="DUU1" s="536"/>
      <c r="DUV1" s="536"/>
      <c r="DUW1" s="536"/>
      <c r="DUX1" s="536"/>
      <c r="DUY1" s="536"/>
      <c r="DUZ1" s="536"/>
      <c r="DVA1" s="536"/>
      <c r="DVB1" s="536"/>
      <c r="DVC1" s="536"/>
      <c r="DVD1" s="536"/>
      <c r="DVE1" s="536"/>
      <c r="DVF1" s="536"/>
      <c r="DVG1" s="536"/>
      <c r="DVH1" s="536"/>
      <c r="DVI1" s="536"/>
      <c r="DVJ1" s="536"/>
      <c r="DVK1" s="536"/>
      <c r="DVL1" s="536"/>
      <c r="DVM1" s="536"/>
      <c r="DVN1" s="536"/>
      <c r="DVO1" s="536"/>
      <c r="DVP1" s="536"/>
      <c r="DVQ1" s="536"/>
      <c r="DVR1" s="536"/>
      <c r="DVS1" s="536"/>
      <c r="DVT1" s="536"/>
      <c r="DVU1" s="536"/>
      <c r="DVV1" s="536"/>
      <c r="DVW1" s="536"/>
      <c r="DVX1" s="536"/>
      <c r="DVY1" s="536"/>
      <c r="DVZ1" s="536"/>
      <c r="DWA1" s="536"/>
      <c r="DWB1" s="536"/>
      <c r="DWC1" s="536"/>
      <c r="DWD1" s="536"/>
      <c r="DWE1" s="536"/>
      <c r="DWF1" s="536"/>
      <c r="DWG1" s="536"/>
      <c r="DWH1" s="536"/>
      <c r="DWI1" s="536"/>
      <c r="DWJ1" s="536"/>
      <c r="DWK1" s="536"/>
      <c r="DWL1" s="536"/>
      <c r="DWM1" s="536"/>
      <c r="DWN1" s="536"/>
      <c r="DWO1" s="536"/>
      <c r="DWP1" s="536"/>
      <c r="DWQ1" s="536"/>
      <c r="DWR1" s="536"/>
      <c r="DWS1" s="536"/>
      <c r="DWT1" s="536"/>
      <c r="DWU1" s="536"/>
      <c r="DWV1" s="536"/>
      <c r="DWW1" s="536"/>
      <c r="DWX1" s="536"/>
      <c r="DWY1" s="536"/>
      <c r="DWZ1" s="536"/>
      <c r="DXA1" s="536"/>
      <c r="DXB1" s="536"/>
      <c r="DXC1" s="536"/>
      <c r="DXD1" s="536"/>
      <c r="DXE1" s="536"/>
      <c r="DXF1" s="536"/>
      <c r="DXG1" s="536"/>
      <c r="DXH1" s="536"/>
      <c r="DXI1" s="536"/>
      <c r="DXJ1" s="536"/>
      <c r="DXK1" s="536"/>
      <c r="DXL1" s="536"/>
      <c r="DXM1" s="536"/>
      <c r="DXN1" s="536"/>
      <c r="DXO1" s="536"/>
      <c r="DXP1" s="536"/>
      <c r="DXQ1" s="536"/>
      <c r="DXR1" s="536"/>
      <c r="DXS1" s="536"/>
      <c r="DXT1" s="536"/>
      <c r="DXU1" s="536"/>
      <c r="DXV1" s="536"/>
      <c r="DXW1" s="536"/>
      <c r="DXX1" s="536"/>
      <c r="DXY1" s="536"/>
      <c r="DXZ1" s="536"/>
      <c r="DYA1" s="536"/>
      <c r="DYB1" s="536"/>
      <c r="DYC1" s="536"/>
      <c r="DYD1" s="536"/>
      <c r="DYE1" s="536"/>
      <c r="DYF1" s="536"/>
      <c r="DYG1" s="536"/>
      <c r="DYH1" s="536"/>
      <c r="DYI1" s="536"/>
      <c r="DYJ1" s="536"/>
      <c r="DYK1" s="536"/>
      <c r="DYL1" s="536"/>
      <c r="DYM1" s="536"/>
      <c r="DYN1" s="536"/>
      <c r="DYO1" s="536"/>
      <c r="DYP1" s="536"/>
      <c r="DYQ1" s="536"/>
      <c r="DYR1" s="536"/>
      <c r="DYS1" s="536"/>
      <c r="DYT1" s="536"/>
      <c r="DYU1" s="536"/>
      <c r="DYV1" s="536"/>
      <c r="DYW1" s="536"/>
      <c r="DYX1" s="536"/>
      <c r="DYY1" s="536"/>
      <c r="DYZ1" s="536"/>
      <c r="DZA1" s="536"/>
      <c r="DZB1" s="536"/>
      <c r="DZC1" s="536"/>
      <c r="DZD1" s="536"/>
      <c r="DZE1" s="536"/>
      <c r="DZF1" s="536"/>
      <c r="DZG1" s="536"/>
      <c r="DZH1" s="536"/>
      <c r="DZI1" s="536"/>
      <c r="DZJ1" s="536"/>
      <c r="DZK1" s="536"/>
      <c r="DZL1" s="536"/>
      <c r="DZM1" s="536"/>
      <c r="DZN1" s="536"/>
      <c r="DZO1" s="536"/>
      <c r="DZP1" s="536"/>
      <c r="DZQ1" s="536"/>
      <c r="DZR1" s="536"/>
      <c r="DZS1" s="536"/>
      <c r="DZT1" s="536"/>
      <c r="DZU1" s="536"/>
      <c r="DZV1" s="536"/>
      <c r="DZW1" s="536"/>
      <c r="DZX1" s="536"/>
      <c r="DZY1" s="536"/>
      <c r="DZZ1" s="536"/>
      <c r="EAA1" s="536"/>
      <c r="EAB1" s="536"/>
      <c r="EAC1" s="536"/>
      <c r="EAD1" s="536"/>
      <c r="EAE1" s="536"/>
      <c r="EAF1" s="536"/>
      <c r="EAG1" s="536"/>
      <c r="EAH1" s="536"/>
      <c r="EAI1" s="536"/>
      <c r="EAJ1" s="536"/>
      <c r="EAK1" s="536"/>
      <c r="EAL1" s="536"/>
      <c r="EAM1" s="536"/>
      <c r="EAN1" s="536"/>
      <c r="EAO1" s="536"/>
      <c r="EAP1" s="536"/>
      <c r="EAQ1" s="536"/>
      <c r="EAR1" s="536"/>
      <c r="EAS1" s="536"/>
      <c r="EAT1" s="536"/>
      <c r="EAU1" s="536"/>
      <c r="EAV1" s="536"/>
      <c r="EAW1" s="536"/>
      <c r="EAX1" s="536"/>
      <c r="EAY1" s="536"/>
      <c r="EAZ1" s="536"/>
      <c r="EBA1" s="536"/>
      <c r="EBB1" s="536"/>
      <c r="EBC1" s="536"/>
      <c r="EBD1" s="536"/>
      <c r="EBE1" s="536"/>
      <c r="EBF1" s="536"/>
      <c r="EBG1" s="536"/>
      <c r="EBH1" s="536"/>
      <c r="EBI1" s="536"/>
      <c r="EBJ1" s="536"/>
      <c r="EBK1" s="536"/>
      <c r="EBL1" s="536"/>
      <c r="EBM1" s="536"/>
      <c r="EBN1" s="536"/>
      <c r="EBO1" s="536"/>
      <c r="EBP1" s="536"/>
      <c r="EBQ1" s="536"/>
      <c r="EBR1" s="536"/>
      <c r="EBS1" s="536"/>
      <c r="EBT1" s="536"/>
      <c r="EBU1" s="536"/>
      <c r="EBV1" s="536"/>
      <c r="EBW1" s="536"/>
      <c r="EBX1" s="536"/>
      <c r="EBY1" s="536"/>
      <c r="EBZ1" s="536"/>
      <c r="ECA1" s="536"/>
      <c r="ECB1" s="536"/>
      <c r="ECC1" s="536"/>
      <c r="ECD1" s="536"/>
      <c r="ECE1" s="536"/>
      <c r="ECF1" s="536"/>
      <c r="ECG1" s="536"/>
      <c r="ECH1" s="536"/>
      <c r="ECI1" s="536"/>
      <c r="ECJ1" s="536"/>
      <c r="ECK1" s="536"/>
      <c r="ECL1" s="536"/>
      <c r="ECM1" s="536"/>
      <c r="ECN1" s="536"/>
      <c r="ECO1" s="536"/>
      <c r="ECP1" s="536"/>
      <c r="ECQ1" s="536"/>
      <c r="ECR1" s="536"/>
      <c r="ECS1" s="536"/>
      <c r="ECT1" s="536"/>
      <c r="ECU1" s="536"/>
      <c r="ECV1" s="536"/>
      <c r="ECW1" s="536"/>
      <c r="ECX1" s="536"/>
      <c r="ECY1" s="536"/>
      <c r="ECZ1" s="536"/>
      <c r="EDA1" s="536"/>
      <c r="EDB1" s="536"/>
      <c r="EDC1" s="536"/>
      <c r="EDD1" s="536"/>
      <c r="EDE1" s="536"/>
      <c r="EDF1" s="536"/>
      <c r="EDG1" s="536"/>
      <c r="EDH1" s="536"/>
      <c r="EDI1" s="536"/>
      <c r="EDJ1" s="536"/>
      <c r="EDK1" s="536"/>
      <c r="EDL1" s="536"/>
      <c r="EDM1" s="536"/>
      <c r="EDN1" s="536"/>
      <c r="EDO1" s="536"/>
      <c r="EDP1" s="536"/>
      <c r="EDQ1" s="536"/>
      <c r="EDR1" s="536"/>
      <c r="EDS1" s="536"/>
      <c r="EDT1" s="536"/>
      <c r="EDU1" s="536"/>
      <c r="EDV1" s="536"/>
      <c r="EDW1" s="536"/>
      <c r="EDX1" s="536"/>
      <c r="EDY1" s="536"/>
      <c r="EDZ1" s="536"/>
      <c r="EEA1" s="536"/>
      <c r="EEB1" s="536"/>
      <c r="EEC1" s="536"/>
      <c r="EED1" s="536"/>
      <c r="EEE1" s="536"/>
      <c r="EEF1" s="536"/>
      <c r="EEG1" s="536"/>
      <c r="EEH1" s="536"/>
      <c r="EEI1" s="536"/>
      <c r="EEJ1" s="536"/>
      <c r="EEK1" s="536"/>
      <c r="EEL1" s="536"/>
      <c r="EEM1" s="536"/>
      <c r="EEN1" s="536"/>
      <c r="EEO1" s="536"/>
      <c r="EEP1" s="536"/>
      <c r="EEQ1" s="536"/>
      <c r="EER1" s="536"/>
      <c r="EES1" s="536"/>
      <c r="EET1" s="536"/>
      <c r="EEU1" s="536"/>
      <c r="EEV1" s="536"/>
      <c r="EEW1" s="536"/>
      <c r="EEX1" s="536"/>
      <c r="EEY1" s="536"/>
      <c r="EEZ1" s="536"/>
      <c r="EFA1" s="536"/>
      <c r="EFB1" s="536"/>
      <c r="EFC1" s="536"/>
      <c r="EFD1" s="536"/>
      <c r="EFE1" s="536"/>
      <c r="EFF1" s="536"/>
      <c r="EFG1" s="536"/>
      <c r="EFH1" s="536"/>
      <c r="EFI1" s="536"/>
      <c r="EFJ1" s="536"/>
      <c r="EFK1" s="536"/>
      <c r="EFL1" s="536"/>
      <c r="EFM1" s="536"/>
      <c r="EFN1" s="536"/>
      <c r="EFO1" s="536"/>
      <c r="EFP1" s="536"/>
      <c r="EFQ1" s="536"/>
      <c r="EFR1" s="536"/>
      <c r="EFS1" s="536"/>
      <c r="EFT1" s="536"/>
      <c r="EFU1" s="536"/>
      <c r="EFV1" s="536"/>
      <c r="EFW1" s="536"/>
      <c r="EFX1" s="536"/>
      <c r="EFY1" s="536"/>
      <c r="EFZ1" s="536"/>
      <c r="EGA1" s="536"/>
      <c r="EGB1" s="536"/>
      <c r="EGC1" s="536"/>
      <c r="EGD1" s="536"/>
      <c r="EGE1" s="536"/>
      <c r="EGF1" s="536"/>
      <c r="EGG1" s="536"/>
      <c r="EGH1" s="536"/>
      <c r="EGI1" s="536"/>
      <c r="EGJ1" s="536"/>
      <c r="EGK1" s="536"/>
      <c r="EGL1" s="536"/>
      <c r="EGM1" s="536"/>
      <c r="EGN1" s="536"/>
      <c r="EGO1" s="536"/>
      <c r="EGP1" s="536"/>
      <c r="EGQ1" s="536"/>
      <c r="EGR1" s="536"/>
      <c r="EGS1" s="536"/>
      <c r="EGT1" s="536"/>
      <c r="EGU1" s="536"/>
      <c r="EGV1" s="536"/>
      <c r="EGW1" s="536"/>
      <c r="EGX1" s="536"/>
      <c r="EGY1" s="536"/>
      <c r="EGZ1" s="536"/>
      <c r="EHA1" s="536"/>
      <c r="EHB1" s="536"/>
      <c r="EHC1" s="536"/>
      <c r="EHD1" s="536"/>
      <c r="EHE1" s="536"/>
      <c r="EHF1" s="536"/>
      <c r="EHG1" s="536"/>
      <c r="EHH1" s="536"/>
      <c r="EHI1" s="536"/>
      <c r="EHJ1" s="536"/>
      <c r="EHK1" s="536"/>
      <c r="EHL1" s="536"/>
      <c r="EHM1" s="536"/>
      <c r="EHN1" s="536"/>
      <c r="EHO1" s="536"/>
      <c r="EHP1" s="536"/>
      <c r="EHQ1" s="536"/>
      <c r="EHR1" s="536"/>
      <c r="EHS1" s="536"/>
      <c r="EHT1" s="536"/>
      <c r="EHU1" s="536"/>
      <c r="EHV1" s="536"/>
      <c r="EHW1" s="536"/>
      <c r="EHX1" s="536"/>
      <c r="EHY1" s="536"/>
      <c r="EHZ1" s="536"/>
      <c r="EIA1" s="536"/>
      <c r="EIB1" s="536"/>
      <c r="EIC1" s="536"/>
      <c r="EID1" s="536"/>
      <c r="EIE1" s="536"/>
      <c r="EIF1" s="536"/>
      <c r="EIG1" s="536"/>
      <c r="EIH1" s="536"/>
      <c r="EII1" s="536"/>
      <c r="EIJ1" s="536"/>
      <c r="EIK1" s="536"/>
      <c r="EIL1" s="536"/>
      <c r="EIM1" s="536"/>
      <c r="EIN1" s="536"/>
      <c r="EIO1" s="536"/>
      <c r="EIP1" s="536"/>
      <c r="EIQ1" s="536"/>
      <c r="EIR1" s="536"/>
      <c r="EIS1" s="536"/>
      <c r="EIT1" s="536"/>
      <c r="EIU1" s="536"/>
      <c r="EIV1" s="536"/>
      <c r="EIW1" s="536"/>
      <c r="EIX1" s="536"/>
      <c r="EIY1" s="536"/>
      <c r="EIZ1" s="536"/>
      <c r="EJA1" s="536"/>
      <c r="EJB1" s="536"/>
      <c r="EJC1" s="536"/>
      <c r="EJD1" s="536"/>
      <c r="EJE1" s="536"/>
      <c r="EJF1" s="536"/>
      <c r="EJG1" s="536"/>
      <c r="EJH1" s="536"/>
      <c r="EJI1" s="536"/>
      <c r="EJJ1" s="536"/>
      <c r="EJK1" s="536"/>
      <c r="EJL1" s="536"/>
      <c r="EJM1" s="536"/>
      <c r="EJN1" s="536"/>
      <c r="EJO1" s="536"/>
      <c r="EJP1" s="536"/>
      <c r="EJQ1" s="536"/>
      <c r="EJR1" s="536"/>
      <c r="EJS1" s="536"/>
      <c r="EJT1" s="536"/>
      <c r="EJU1" s="536"/>
      <c r="EJV1" s="536"/>
      <c r="EJW1" s="536"/>
      <c r="EJX1" s="536"/>
      <c r="EJY1" s="536"/>
      <c r="EJZ1" s="536"/>
      <c r="EKA1" s="536"/>
      <c r="EKB1" s="536"/>
      <c r="EKC1" s="536"/>
      <c r="EKD1" s="536"/>
      <c r="EKE1" s="536"/>
      <c r="EKF1" s="536"/>
      <c r="EKG1" s="536"/>
      <c r="EKH1" s="536"/>
      <c r="EKI1" s="536"/>
      <c r="EKJ1" s="536"/>
      <c r="EKK1" s="536"/>
      <c r="EKL1" s="536"/>
      <c r="EKM1" s="536"/>
      <c r="EKN1" s="536"/>
      <c r="EKO1" s="536"/>
      <c r="EKP1" s="536"/>
      <c r="EKQ1" s="536"/>
      <c r="EKR1" s="536"/>
      <c r="EKS1" s="536"/>
      <c r="EKT1" s="536"/>
      <c r="EKU1" s="536"/>
      <c r="EKV1" s="536"/>
      <c r="EKW1" s="536"/>
      <c r="EKX1" s="536"/>
      <c r="EKY1" s="536"/>
      <c r="EKZ1" s="536"/>
      <c r="ELA1" s="536"/>
      <c r="ELB1" s="536"/>
      <c r="ELC1" s="536"/>
      <c r="ELD1" s="536"/>
      <c r="ELE1" s="536"/>
      <c r="ELF1" s="536"/>
      <c r="ELG1" s="536"/>
      <c r="ELH1" s="536"/>
      <c r="ELI1" s="536"/>
      <c r="ELJ1" s="536"/>
      <c r="ELK1" s="536"/>
      <c r="ELL1" s="536"/>
      <c r="ELM1" s="536"/>
      <c r="ELN1" s="536"/>
      <c r="ELO1" s="536"/>
      <c r="ELP1" s="536"/>
      <c r="ELQ1" s="536"/>
      <c r="ELR1" s="536"/>
      <c r="ELS1" s="536"/>
      <c r="ELT1" s="536"/>
      <c r="ELU1" s="536"/>
      <c r="ELV1" s="536"/>
      <c r="ELW1" s="536"/>
      <c r="ELX1" s="536"/>
      <c r="ELY1" s="536"/>
      <c r="ELZ1" s="536"/>
      <c r="EMA1" s="536"/>
      <c r="EMB1" s="536"/>
      <c r="EMC1" s="536"/>
      <c r="EMD1" s="536"/>
      <c r="EME1" s="536"/>
      <c r="EMF1" s="536"/>
      <c r="EMG1" s="536"/>
      <c r="EMH1" s="536"/>
      <c r="EMI1" s="536"/>
      <c r="EMJ1" s="536"/>
      <c r="EMK1" s="536"/>
      <c r="EML1" s="536"/>
      <c r="EMM1" s="536"/>
      <c r="EMN1" s="536"/>
      <c r="EMO1" s="536"/>
      <c r="EMP1" s="536"/>
      <c r="EMQ1" s="536"/>
      <c r="EMR1" s="536"/>
      <c r="EMS1" s="536"/>
      <c r="EMT1" s="536"/>
      <c r="EMU1" s="536"/>
      <c r="EMV1" s="536"/>
      <c r="EMW1" s="536"/>
      <c r="EMX1" s="536"/>
      <c r="EMY1" s="536"/>
      <c r="EMZ1" s="536"/>
      <c r="ENA1" s="536"/>
      <c r="ENB1" s="536"/>
      <c r="ENC1" s="536"/>
      <c r="END1" s="536"/>
      <c r="ENE1" s="536"/>
      <c r="ENF1" s="536"/>
      <c r="ENG1" s="536"/>
      <c r="ENH1" s="536"/>
      <c r="ENI1" s="536"/>
      <c r="ENJ1" s="536"/>
      <c r="ENK1" s="536"/>
      <c r="ENL1" s="536"/>
      <c r="ENM1" s="536"/>
      <c r="ENN1" s="536"/>
      <c r="ENO1" s="536"/>
      <c r="ENP1" s="536"/>
      <c r="ENQ1" s="536"/>
      <c r="ENR1" s="536"/>
      <c r="ENS1" s="536"/>
      <c r="ENT1" s="536"/>
      <c r="ENU1" s="536"/>
      <c r="ENV1" s="536"/>
      <c r="ENW1" s="536"/>
      <c r="ENX1" s="536"/>
      <c r="ENY1" s="536"/>
      <c r="ENZ1" s="536"/>
      <c r="EOA1" s="536"/>
      <c r="EOB1" s="536"/>
      <c r="EOC1" s="536"/>
      <c r="EOD1" s="536"/>
      <c r="EOE1" s="536"/>
      <c r="EOF1" s="536"/>
      <c r="EOG1" s="536"/>
      <c r="EOH1" s="536"/>
      <c r="EOI1" s="536"/>
      <c r="EOJ1" s="536"/>
      <c r="EOK1" s="536"/>
      <c r="EOL1" s="536"/>
      <c r="EOM1" s="536"/>
      <c r="EON1" s="536"/>
      <c r="EOO1" s="536"/>
      <c r="EOP1" s="536"/>
      <c r="EOQ1" s="536"/>
      <c r="EOR1" s="536"/>
      <c r="EOS1" s="536"/>
      <c r="EOT1" s="536"/>
      <c r="EOU1" s="536"/>
      <c r="EOV1" s="536"/>
      <c r="EOW1" s="536"/>
      <c r="EOX1" s="536"/>
      <c r="EOY1" s="536"/>
      <c r="EOZ1" s="536"/>
      <c r="EPA1" s="536"/>
      <c r="EPB1" s="536"/>
      <c r="EPC1" s="536"/>
      <c r="EPD1" s="536"/>
      <c r="EPE1" s="536"/>
      <c r="EPF1" s="536"/>
      <c r="EPG1" s="536"/>
      <c r="EPH1" s="536"/>
      <c r="EPI1" s="536"/>
      <c r="EPJ1" s="536"/>
      <c r="EPK1" s="536"/>
      <c r="EPL1" s="536"/>
      <c r="EPM1" s="536"/>
      <c r="EPN1" s="536"/>
      <c r="EPO1" s="536"/>
      <c r="EPP1" s="536"/>
      <c r="EPQ1" s="536"/>
      <c r="EPR1" s="536"/>
      <c r="EPS1" s="536"/>
      <c r="EPT1" s="536"/>
      <c r="EPU1" s="536"/>
      <c r="EPV1" s="536"/>
      <c r="EPW1" s="536"/>
      <c r="EPX1" s="536"/>
      <c r="EPY1" s="536"/>
      <c r="EPZ1" s="536"/>
      <c r="EQA1" s="536"/>
      <c r="EQB1" s="536"/>
      <c r="EQC1" s="536"/>
      <c r="EQD1" s="536"/>
      <c r="EQE1" s="536"/>
      <c r="EQF1" s="536"/>
      <c r="EQG1" s="536"/>
      <c r="EQH1" s="536"/>
      <c r="EQI1" s="536"/>
      <c r="EQJ1" s="536"/>
      <c r="EQK1" s="536"/>
      <c r="EQL1" s="536"/>
      <c r="EQM1" s="536"/>
      <c r="EQN1" s="536"/>
      <c r="EQO1" s="536"/>
      <c r="EQP1" s="536"/>
      <c r="EQQ1" s="536"/>
      <c r="EQR1" s="536"/>
      <c r="EQS1" s="536"/>
      <c r="EQT1" s="536"/>
      <c r="EQU1" s="536"/>
      <c r="EQV1" s="536"/>
      <c r="EQW1" s="536"/>
      <c r="EQX1" s="536"/>
      <c r="EQY1" s="536"/>
      <c r="EQZ1" s="536"/>
      <c r="ERA1" s="536"/>
      <c r="ERB1" s="536"/>
      <c r="ERC1" s="536"/>
      <c r="ERD1" s="536"/>
      <c r="ERE1" s="536"/>
      <c r="ERF1" s="536"/>
      <c r="ERG1" s="536"/>
      <c r="ERH1" s="536"/>
      <c r="ERI1" s="536"/>
      <c r="ERJ1" s="536"/>
      <c r="ERK1" s="536"/>
      <c r="ERL1" s="536"/>
      <c r="ERM1" s="536"/>
      <c r="ERN1" s="536"/>
      <c r="ERO1" s="536"/>
      <c r="ERP1" s="536"/>
      <c r="ERQ1" s="536"/>
      <c r="ERR1" s="536"/>
      <c r="ERS1" s="536"/>
      <c r="ERT1" s="536"/>
      <c r="ERU1" s="536"/>
      <c r="ERV1" s="536"/>
      <c r="ERW1" s="536"/>
      <c r="ERX1" s="536"/>
      <c r="ERY1" s="536"/>
      <c r="ERZ1" s="536"/>
      <c r="ESA1" s="536"/>
      <c r="ESB1" s="536"/>
      <c r="ESC1" s="536"/>
      <c r="ESD1" s="536"/>
      <c r="ESE1" s="536"/>
      <c r="ESF1" s="536"/>
      <c r="ESG1" s="536"/>
      <c r="ESH1" s="536"/>
      <c r="ESI1" s="536"/>
      <c r="ESJ1" s="536"/>
      <c r="ESK1" s="536"/>
      <c r="ESL1" s="536"/>
      <c r="ESM1" s="536"/>
      <c r="ESN1" s="536"/>
      <c r="ESO1" s="536"/>
      <c r="ESP1" s="536"/>
      <c r="ESQ1" s="536"/>
      <c r="ESR1" s="536"/>
      <c r="ESS1" s="536"/>
      <c r="EST1" s="536"/>
      <c r="ESU1" s="536"/>
      <c r="ESV1" s="536"/>
      <c r="ESW1" s="536"/>
      <c r="ESX1" s="536"/>
      <c r="ESY1" s="536"/>
      <c r="ESZ1" s="536"/>
      <c r="ETA1" s="536"/>
      <c r="ETB1" s="536"/>
      <c r="ETC1" s="536"/>
      <c r="ETD1" s="536"/>
      <c r="ETE1" s="536"/>
      <c r="ETF1" s="536"/>
      <c r="ETG1" s="536"/>
      <c r="ETH1" s="536"/>
      <c r="ETI1" s="536"/>
      <c r="ETJ1" s="536"/>
      <c r="ETK1" s="536"/>
      <c r="ETL1" s="536"/>
      <c r="ETM1" s="536"/>
      <c r="ETN1" s="536"/>
      <c r="ETO1" s="536"/>
      <c r="ETP1" s="536"/>
      <c r="ETQ1" s="536"/>
      <c r="ETR1" s="536"/>
      <c r="ETS1" s="536"/>
      <c r="ETT1" s="536"/>
      <c r="ETU1" s="536"/>
      <c r="ETV1" s="536"/>
      <c r="ETW1" s="536"/>
      <c r="ETX1" s="536"/>
      <c r="ETY1" s="536"/>
      <c r="ETZ1" s="536"/>
      <c r="EUA1" s="536"/>
      <c r="EUB1" s="536"/>
      <c r="EUC1" s="536"/>
      <c r="EUD1" s="536"/>
      <c r="EUE1" s="536"/>
      <c r="EUF1" s="536"/>
      <c r="EUG1" s="536"/>
      <c r="EUH1" s="536"/>
      <c r="EUI1" s="536"/>
      <c r="EUJ1" s="536"/>
      <c r="EUK1" s="536"/>
      <c r="EUL1" s="536"/>
      <c r="EUM1" s="536"/>
      <c r="EUN1" s="536"/>
      <c r="EUO1" s="536"/>
      <c r="EUP1" s="536"/>
      <c r="EUQ1" s="536"/>
      <c r="EUR1" s="536"/>
      <c r="EUS1" s="536"/>
      <c r="EUT1" s="536"/>
      <c r="EUU1" s="536"/>
      <c r="EUV1" s="536"/>
      <c r="EUW1" s="536"/>
      <c r="EUX1" s="536"/>
      <c r="EUY1" s="536"/>
      <c r="EUZ1" s="536"/>
      <c r="EVA1" s="536"/>
      <c r="EVB1" s="536"/>
      <c r="EVC1" s="536"/>
      <c r="EVD1" s="536"/>
      <c r="EVE1" s="536"/>
      <c r="EVF1" s="536"/>
      <c r="EVG1" s="536"/>
      <c r="EVH1" s="536"/>
      <c r="EVI1" s="536"/>
      <c r="EVJ1" s="536"/>
      <c r="EVK1" s="536"/>
      <c r="EVL1" s="536"/>
      <c r="EVM1" s="536"/>
      <c r="EVN1" s="536"/>
      <c r="EVO1" s="536"/>
      <c r="EVP1" s="536"/>
      <c r="EVQ1" s="536"/>
      <c r="EVR1" s="536"/>
      <c r="EVS1" s="536"/>
      <c r="EVT1" s="536"/>
      <c r="EVU1" s="536"/>
      <c r="EVV1" s="536"/>
      <c r="EVW1" s="536"/>
      <c r="EVX1" s="536"/>
      <c r="EVY1" s="536"/>
      <c r="EVZ1" s="536"/>
      <c r="EWA1" s="536"/>
      <c r="EWB1" s="536"/>
      <c r="EWC1" s="536"/>
      <c r="EWD1" s="536"/>
      <c r="EWE1" s="536"/>
      <c r="EWF1" s="536"/>
      <c r="EWG1" s="536"/>
      <c r="EWH1" s="536"/>
      <c r="EWI1" s="536"/>
      <c r="EWJ1" s="536"/>
      <c r="EWK1" s="536"/>
      <c r="EWL1" s="536"/>
      <c r="EWM1" s="536"/>
      <c r="EWN1" s="536"/>
      <c r="EWO1" s="536"/>
      <c r="EWP1" s="536"/>
      <c r="EWQ1" s="536"/>
      <c r="EWR1" s="536"/>
      <c r="EWS1" s="536"/>
      <c r="EWT1" s="536"/>
      <c r="EWU1" s="536"/>
      <c r="EWV1" s="536"/>
      <c r="EWW1" s="536"/>
      <c r="EWX1" s="536"/>
      <c r="EWY1" s="536"/>
      <c r="EWZ1" s="536"/>
      <c r="EXA1" s="536"/>
      <c r="EXB1" s="536"/>
      <c r="EXC1" s="536"/>
      <c r="EXD1" s="536"/>
      <c r="EXE1" s="536"/>
      <c r="EXF1" s="536"/>
      <c r="EXG1" s="536"/>
      <c r="EXH1" s="536"/>
      <c r="EXI1" s="536"/>
      <c r="EXJ1" s="536"/>
      <c r="EXK1" s="536"/>
      <c r="EXL1" s="536"/>
      <c r="EXM1" s="536"/>
      <c r="EXN1" s="536"/>
      <c r="EXO1" s="536"/>
      <c r="EXP1" s="536"/>
      <c r="EXQ1" s="536"/>
      <c r="EXR1" s="536"/>
      <c r="EXS1" s="536"/>
      <c r="EXT1" s="536"/>
      <c r="EXU1" s="536"/>
      <c r="EXV1" s="536"/>
      <c r="EXW1" s="536"/>
      <c r="EXX1" s="536"/>
      <c r="EXY1" s="536"/>
      <c r="EXZ1" s="536"/>
      <c r="EYA1" s="536"/>
      <c r="EYB1" s="536"/>
      <c r="EYC1" s="536"/>
      <c r="EYD1" s="536"/>
      <c r="EYE1" s="536"/>
      <c r="EYF1" s="536"/>
      <c r="EYG1" s="536"/>
      <c r="EYH1" s="536"/>
      <c r="EYI1" s="536"/>
      <c r="EYJ1" s="536"/>
      <c r="EYK1" s="536"/>
      <c r="EYL1" s="536"/>
      <c r="EYM1" s="536"/>
      <c r="EYN1" s="536"/>
      <c r="EYO1" s="536"/>
      <c r="EYP1" s="536"/>
      <c r="EYQ1" s="536"/>
      <c r="EYR1" s="536"/>
      <c r="EYS1" s="536"/>
      <c r="EYT1" s="536"/>
      <c r="EYU1" s="536"/>
      <c r="EYV1" s="536"/>
      <c r="EYW1" s="536"/>
      <c r="EYX1" s="536"/>
      <c r="EYY1" s="536"/>
      <c r="EYZ1" s="536"/>
      <c r="EZA1" s="536"/>
      <c r="EZB1" s="536"/>
      <c r="EZC1" s="536"/>
      <c r="EZD1" s="536"/>
      <c r="EZE1" s="536"/>
      <c r="EZF1" s="536"/>
      <c r="EZG1" s="536"/>
      <c r="EZH1" s="536"/>
      <c r="EZI1" s="536"/>
      <c r="EZJ1" s="536"/>
      <c r="EZK1" s="536"/>
      <c r="EZL1" s="536"/>
      <c r="EZM1" s="536"/>
      <c r="EZN1" s="536"/>
      <c r="EZO1" s="536"/>
      <c r="EZP1" s="536"/>
      <c r="EZQ1" s="536"/>
      <c r="EZR1" s="536"/>
      <c r="EZS1" s="536"/>
      <c r="EZT1" s="536"/>
      <c r="EZU1" s="536"/>
      <c r="EZV1" s="536"/>
      <c r="EZW1" s="536"/>
      <c r="EZX1" s="536"/>
      <c r="EZY1" s="536"/>
      <c r="EZZ1" s="536"/>
      <c r="FAA1" s="536"/>
      <c r="FAB1" s="536"/>
      <c r="FAC1" s="536"/>
      <c r="FAD1" s="536"/>
      <c r="FAE1" s="536"/>
      <c r="FAF1" s="536"/>
      <c r="FAG1" s="536"/>
      <c r="FAH1" s="536"/>
      <c r="FAI1" s="536"/>
      <c r="FAJ1" s="536"/>
      <c r="FAK1" s="536"/>
      <c r="FAL1" s="536"/>
      <c r="FAM1" s="536"/>
      <c r="FAN1" s="536"/>
      <c r="FAO1" s="536"/>
      <c r="FAP1" s="536"/>
      <c r="FAQ1" s="536"/>
      <c r="FAR1" s="536"/>
      <c r="FAS1" s="536"/>
      <c r="FAT1" s="536"/>
      <c r="FAU1" s="536"/>
      <c r="FAV1" s="536"/>
      <c r="FAW1" s="536"/>
      <c r="FAX1" s="536"/>
      <c r="FAY1" s="536"/>
      <c r="FAZ1" s="536"/>
      <c r="FBA1" s="536"/>
      <c r="FBB1" s="536"/>
      <c r="FBC1" s="536"/>
      <c r="FBD1" s="536"/>
      <c r="FBE1" s="536"/>
      <c r="FBF1" s="536"/>
      <c r="FBG1" s="536"/>
      <c r="FBH1" s="536"/>
      <c r="FBI1" s="536"/>
      <c r="FBJ1" s="536"/>
      <c r="FBK1" s="536"/>
      <c r="FBL1" s="536"/>
      <c r="FBM1" s="536"/>
      <c r="FBN1" s="536"/>
      <c r="FBO1" s="536"/>
      <c r="FBP1" s="536"/>
      <c r="FBQ1" s="536"/>
      <c r="FBR1" s="536"/>
      <c r="FBS1" s="536"/>
      <c r="FBT1" s="536"/>
      <c r="FBU1" s="536"/>
      <c r="FBV1" s="536"/>
      <c r="FBW1" s="536"/>
      <c r="FBX1" s="536"/>
      <c r="FBY1" s="536"/>
      <c r="FBZ1" s="536"/>
      <c r="FCA1" s="536"/>
      <c r="FCB1" s="536"/>
      <c r="FCC1" s="536"/>
      <c r="FCD1" s="536"/>
      <c r="FCE1" s="536"/>
      <c r="FCF1" s="536"/>
      <c r="FCG1" s="536"/>
      <c r="FCH1" s="536"/>
      <c r="FCI1" s="536"/>
      <c r="FCJ1" s="536"/>
      <c r="FCK1" s="536"/>
      <c r="FCL1" s="536"/>
      <c r="FCM1" s="536"/>
      <c r="FCN1" s="536"/>
      <c r="FCO1" s="536"/>
      <c r="FCP1" s="536"/>
      <c r="FCQ1" s="536"/>
      <c r="FCR1" s="536"/>
      <c r="FCS1" s="536"/>
      <c r="FCT1" s="536"/>
      <c r="FCU1" s="536"/>
      <c r="FCV1" s="536"/>
      <c r="FCW1" s="536"/>
      <c r="FCX1" s="536"/>
      <c r="FCY1" s="536"/>
      <c r="FCZ1" s="536"/>
      <c r="FDA1" s="536"/>
      <c r="FDB1" s="536"/>
      <c r="FDC1" s="536"/>
      <c r="FDD1" s="536"/>
      <c r="FDE1" s="536"/>
      <c r="FDF1" s="536"/>
      <c r="FDG1" s="536"/>
      <c r="FDH1" s="536"/>
      <c r="FDI1" s="536"/>
      <c r="FDJ1" s="536"/>
      <c r="FDK1" s="536"/>
      <c r="FDL1" s="536"/>
      <c r="FDM1" s="536"/>
      <c r="FDN1" s="536"/>
      <c r="FDO1" s="536"/>
      <c r="FDP1" s="536"/>
      <c r="FDQ1" s="536"/>
      <c r="FDR1" s="536"/>
      <c r="FDS1" s="536"/>
      <c r="FDT1" s="536"/>
      <c r="FDU1" s="536"/>
      <c r="FDV1" s="536"/>
      <c r="FDW1" s="536"/>
      <c r="FDX1" s="536"/>
      <c r="FDY1" s="536"/>
      <c r="FDZ1" s="536"/>
      <c r="FEA1" s="536"/>
      <c r="FEB1" s="536"/>
      <c r="FEC1" s="536"/>
      <c r="FED1" s="536"/>
      <c r="FEE1" s="536"/>
      <c r="FEF1" s="536"/>
      <c r="FEG1" s="536"/>
      <c r="FEH1" s="536"/>
      <c r="FEI1" s="536"/>
      <c r="FEJ1" s="536"/>
      <c r="FEK1" s="536"/>
      <c r="FEL1" s="536"/>
      <c r="FEM1" s="536"/>
      <c r="FEN1" s="536"/>
      <c r="FEO1" s="536"/>
      <c r="FEP1" s="536"/>
      <c r="FEQ1" s="536"/>
      <c r="FER1" s="536"/>
      <c r="FES1" s="536"/>
      <c r="FET1" s="536"/>
      <c r="FEU1" s="536"/>
      <c r="FEV1" s="536"/>
      <c r="FEW1" s="536"/>
      <c r="FEX1" s="536"/>
      <c r="FEY1" s="536"/>
      <c r="FEZ1" s="536"/>
      <c r="FFA1" s="536"/>
      <c r="FFB1" s="536"/>
      <c r="FFC1" s="536"/>
      <c r="FFD1" s="536"/>
      <c r="FFE1" s="536"/>
      <c r="FFF1" s="536"/>
      <c r="FFG1" s="536"/>
      <c r="FFH1" s="536"/>
      <c r="FFI1" s="536"/>
      <c r="FFJ1" s="536"/>
      <c r="FFK1" s="536"/>
      <c r="FFL1" s="536"/>
      <c r="FFM1" s="536"/>
      <c r="FFN1" s="536"/>
      <c r="FFO1" s="536"/>
      <c r="FFP1" s="536"/>
      <c r="FFQ1" s="536"/>
      <c r="FFR1" s="536"/>
      <c r="FFS1" s="536"/>
      <c r="FFT1" s="536"/>
      <c r="FFU1" s="536"/>
      <c r="FFV1" s="536"/>
      <c r="FFW1" s="536"/>
      <c r="FFX1" s="536"/>
      <c r="FFY1" s="536"/>
      <c r="FFZ1" s="536"/>
      <c r="FGA1" s="536"/>
      <c r="FGB1" s="536"/>
      <c r="FGC1" s="536"/>
      <c r="FGD1" s="536"/>
      <c r="FGE1" s="536"/>
      <c r="FGF1" s="536"/>
      <c r="FGG1" s="536"/>
      <c r="FGH1" s="536"/>
      <c r="FGI1" s="536"/>
      <c r="FGJ1" s="536"/>
      <c r="FGK1" s="536"/>
      <c r="FGL1" s="536"/>
      <c r="FGM1" s="536"/>
      <c r="FGN1" s="536"/>
      <c r="FGO1" s="536"/>
      <c r="FGP1" s="536"/>
      <c r="FGQ1" s="536"/>
      <c r="FGR1" s="536"/>
      <c r="FGS1" s="536"/>
      <c r="FGT1" s="536"/>
      <c r="FGU1" s="536"/>
      <c r="FGV1" s="536"/>
      <c r="FGW1" s="536"/>
      <c r="FGX1" s="536"/>
      <c r="FGY1" s="536"/>
      <c r="FGZ1" s="536"/>
      <c r="FHA1" s="536"/>
      <c r="FHB1" s="536"/>
      <c r="FHC1" s="536"/>
      <c r="FHD1" s="536"/>
      <c r="FHE1" s="536"/>
      <c r="FHF1" s="536"/>
      <c r="FHG1" s="536"/>
      <c r="FHH1" s="536"/>
      <c r="FHI1" s="536"/>
      <c r="FHJ1" s="536"/>
      <c r="FHK1" s="536"/>
      <c r="FHL1" s="536"/>
      <c r="FHM1" s="536"/>
      <c r="FHN1" s="536"/>
      <c r="FHO1" s="536"/>
      <c r="FHP1" s="536"/>
      <c r="FHQ1" s="536"/>
      <c r="FHR1" s="536"/>
      <c r="FHS1" s="536"/>
      <c r="FHT1" s="536"/>
      <c r="FHU1" s="536"/>
      <c r="FHV1" s="536"/>
      <c r="FHW1" s="536"/>
      <c r="FHX1" s="536"/>
      <c r="FHY1" s="536"/>
      <c r="FHZ1" s="536"/>
      <c r="FIA1" s="536"/>
      <c r="FIB1" s="536"/>
      <c r="FIC1" s="536"/>
      <c r="FID1" s="536"/>
      <c r="FIE1" s="536"/>
      <c r="FIF1" s="536"/>
      <c r="FIG1" s="536"/>
      <c r="FIH1" s="536"/>
      <c r="FII1" s="536"/>
      <c r="FIJ1" s="536"/>
      <c r="FIK1" s="536"/>
      <c r="FIL1" s="536"/>
      <c r="FIM1" s="536"/>
      <c r="FIN1" s="536"/>
      <c r="FIO1" s="536"/>
      <c r="FIP1" s="536"/>
      <c r="FIQ1" s="536"/>
      <c r="FIR1" s="536"/>
      <c r="FIS1" s="536"/>
      <c r="FIT1" s="536"/>
      <c r="FIU1" s="536"/>
      <c r="FIV1" s="536"/>
      <c r="FIW1" s="536"/>
      <c r="FIX1" s="536"/>
      <c r="FIY1" s="536"/>
      <c r="FIZ1" s="536"/>
      <c r="FJA1" s="536"/>
      <c r="FJB1" s="536"/>
      <c r="FJC1" s="536"/>
      <c r="FJD1" s="536"/>
      <c r="FJE1" s="536"/>
      <c r="FJF1" s="536"/>
      <c r="FJG1" s="536"/>
      <c r="FJH1" s="536"/>
      <c r="FJI1" s="536"/>
      <c r="FJJ1" s="536"/>
      <c r="FJK1" s="536"/>
      <c r="FJL1" s="536"/>
      <c r="FJM1" s="536"/>
      <c r="FJN1" s="536"/>
      <c r="FJO1" s="536"/>
      <c r="FJP1" s="536"/>
      <c r="FJQ1" s="536"/>
      <c r="FJR1" s="536"/>
      <c r="FJS1" s="536"/>
      <c r="FJT1" s="536"/>
      <c r="FJU1" s="536"/>
      <c r="FJV1" s="536"/>
      <c r="FJW1" s="536"/>
      <c r="FJX1" s="536"/>
      <c r="FJY1" s="536"/>
      <c r="FJZ1" s="536"/>
      <c r="FKA1" s="536"/>
      <c r="FKB1" s="536"/>
      <c r="FKC1" s="536"/>
      <c r="FKD1" s="536"/>
      <c r="FKE1" s="536"/>
      <c r="FKF1" s="536"/>
      <c r="FKG1" s="536"/>
      <c r="FKH1" s="536"/>
      <c r="FKI1" s="536"/>
      <c r="FKJ1" s="536"/>
      <c r="FKK1" s="536"/>
      <c r="FKL1" s="536"/>
      <c r="FKM1" s="536"/>
      <c r="FKN1" s="536"/>
      <c r="FKO1" s="536"/>
      <c r="FKP1" s="536"/>
      <c r="FKQ1" s="536"/>
      <c r="FKR1" s="536"/>
      <c r="FKS1" s="536"/>
      <c r="FKT1" s="536"/>
      <c r="FKU1" s="536"/>
      <c r="FKV1" s="536"/>
      <c r="FKW1" s="536"/>
      <c r="FKX1" s="536"/>
      <c r="FKY1" s="536"/>
      <c r="FKZ1" s="536"/>
      <c r="FLA1" s="536"/>
      <c r="FLB1" s="536"/>
      <c r="FLC1" s="536"/>
      <c r="FLD1" s="536"/>
      <c r="FLE1" s="536"/>
      <c r="FLF1" s="536"/>
      <c r="FLG1" s="536"/>
      <c r="FLH1" s="536"/>
      <c r="FLI1" s="536"/>
      <c r="FLJ1" s="536"/>
      <c r="FLK1" s="536"/>
      <c r="FLL1" s="536"/>
      <c r="FLM1" s="536"/>
      <c r="FLN1" s="536"/>
      <c r="FLO1" s="536"/>
      <c r="FLP1" s="536"/>
      <c r="FLQ1" s="536"/>
      <c r="FLR1" s="536"/>
      <c r="FLS1" s="536"/>
      <c r="FLT1" s="536"/>
      <c r="FLU1" s="536"/>
      <c r="FLV1" s="536"/>
      <c r="FLW1" s="536"/>
      <c r="FLX1" s="536"/>
      <c r="FLY1" s="536"/>
      <c r="FLZ1" s="536"/>
      <c r="FMA1" s="536"/>
      <c r="FMB1" s="536"/>
      <c r="FMC1" s="536"/>
      <c r="FMD1" s="536"/>
      <c r="FME1" s="536"/>
      <c r="FMF1" s="536"/>
      <c r="FMG1" s="536"/>
      <c r="FMH1" s="536"/>
      <c r="FMI1" s="536"/>
      <c r="FMJ1" s="536"/>
      <c r="FMK1" s="536"/>
      <c r="FML1" s="536"/>
      <c r="FMM1" s="536"/>
      <c r="FMN1" s="536"/>
      <c r="FMO1" s="536"/>
      <c r="FMP1" s="536"/>
      <c r="FMQ1" s="536"/>
      <c r="FMR1" s="536"/>
      <c r="FMS1" s="536"/>
      <c r="FMT1" s="536"/>
      <c r="FMU1" s="536"/>
      <c r="FMV1" s="536"/>
      <c r="FMW1" s="536"/>
      <c r="FMX1" s="536"/>
      <c r="FMY1" s="536"/>
      <c r="FMZ1" s="536"/>
      <c r="FNA1" s="536"/>
      <c r="FNB1" s="536"/>
      <c r="FNC1" s="536"/>
      <c r="FND1" s="536"/>
      <c r="FNE1" s="536"/>
      <c r="FNF1" s="536"/>
      <c r="FNG1" s="536"/>
      <c r="FNH1" s="536"/>
      <c r="FNI1" s="536"/>
      <c r="FNJ1" s="536"/>
      <c r="FNK1" s="536"/>
      <c r="FNL1" s="536"/>
      <c r="FNM1" s="536"/>
      <c r="FNN1" s="536"/>
      <c r="FNO1" s="536"/>
      <c r="FNP1" s="536"/>
      <c r="FNQ1" s="536"/>
      <c r="FNR1" s="536"/>
      <c r="FNS1" s="536"/>
      <c r="FNT1" s="536"/>
      <c r="FNU1" s="536"/>
      <c r="FNV1" s="536"/>
      <c r="FNW1" s="536"/>
      <c r="FNX1" s="536"/>
      <c r="FNY1" s="536"/>
      <c r="FNZ1" s="536"/>
      <c r="FOA1" s="536"/>
      <c r="FOB1" s="536"/>
      <c r="FOC1" s="536"/>
      <c r="FOD1" s="536"/>
      <c r="FOE1" s="536"/>
      <c r="FOF1" s="536"/>
      <c r="FOG1" s="536"/>
      <c r="FOH1" s="536"/>
      <c r="FOI1" s="536"/>
      <c r="FOJ1" s="536"/>
      <c r="FOK1" s="536"/>
      <c r="FOL1" s="536"/>
      <c r="FOM1" s="536"/>
      <c r="FON1" s="536"/>
      <c r="FOO1" s="536"/>
      <c r="FOP1" s="536"/>
      <c r="FOQ1" s="536"/>
      <c r="FOR1" s="536"/>
      <c r="FOS1" s="536"/>
      <c r="FOT1" s="536"/>
      <c r="FOU1" s="536"/>
      <c r="FOV1" s="536"/>
      <c r="FOW1" s="536"/>
      <c r="FOX1" s="536"/>
      <c r="FOY1" s="536"/>
      <c r="FOZ1" s="536"/>
      <c r="FPA1" s="536"/>
      <c r="FPB1" s="536"/>
      <c r="FPC1" s="536"/>
      <c r="FPD1" s="536"/>
      <c r="FPE1" s="536"/>
      <c r="FPF1" s="536"/>
      <c r="FPG1" s="536"/>
      <c r="FPH1" s="536"/>
      <c r="FPI1" s="536"/>
      <c r="FPJ1" s="536"/>
      <c r="FPK1" s="536"/>
      <c r="FPL1" s="536"/>
      <c r="FPM1" s="536"/>
      <c r="FPN1" s="536"/>
      <c r="FPO1" s="536"/>
      <c r="FPP1" s="536"/>
      <c r="FPQ1" s="536"/>
      <c r="FPR1" s="536"/>
      <c r="FPS1" s="536"/>
      <c r="FPT1" s="536"/>
      <c r="FPU1" s="536"/>
      <c r="FPV1" s="536"/>
      <c r="FPW1" s="536"/>
      <c r="FPX1" s="536"/>
      <c r="FPY1" s="536"/>
      <c r="FPZ1" s="536"/>
      <c r="FQA1" s="536"/>
      <c r="FQB1" s="536"/>
      <c r="FQC1" s="536"/>
      <c r="FQD1" s="536"/>
      <c r="FQE1" s="536"/>
      <c r="FQF1" s="536"/>
      <c r="FQG1" s="536"/>
      <c r="FQH1" s="536"/>
      <c r="FQI1" s="536"/>
      <c r="FQJ1" s="536"/>
      <c r="FQK1" s="536"/>
      <c r="FQL1" s="536"/>
      <c r="FQM1" s="536"/>
      <c r="FQN1" s="536"/>
      <c r="FQO1" s="536"/>
      <c r="FQP1" s="536"/>
      <c r="FQQ1" s="536"/>
      <c r="FQR1" s="536"/>
      <c r="FQS1" s="536"/>
      <c r="FQT1" s="536"/>
      <c r="FQU1" s="536"/>
      <c r="FQV1" s="536"/>
      <c r="FQW1" s="536"/>
      <c r="FQX1" s="536"/>
      <c r="FQY1" s="536"/>
      <c r="FQZ1" s="536"/>
      <c r="FRA1" s="536"/>
      <c r="FRB1" s="536"/>
      <c r="FRC1" s="536"/>
      <c r="FRD1" s="536"/>
      <c r="FRE1" s="536"/>
      <c r="FRF1" s="536"/>
      <c r="FRG1" s="536"/>
      <c r="FRH1" s="536"/>
      <c r="FRI1" s="536"/>
      <c r="FRJ1" s="536"/>
      <c r="FRK1" s="536"/>
      <c r="FRL1" s="536"/>
      <c r="FRM1" s="536"/>
      <c r="FRN1" s="536"/>
      <c r="FRO1" s="536"/>
      <c r="FRP1" s="536"/>
      <c r="FRQ1" s="536"/>
      <c r="FRR1" s="536"/>
      <c r="FRS1" s="536"/>
      <c r="FRT1" s="536"/>
      <c r="FRU1" s="536"/>
      <c r="FRV1" s="536"/>
      <c r="FRW1" s="536"/>
      <c r="FRX1" s="536"/>
      <c r="FRY1" s="536"/>
      <c r="FRZ1" s="536"/>
      <c r="FSA1" s="536"/>
      <c r="FSB1" s="536"/>
      <c r="FSC1" s="536"/>
      <c r="FSD1" s="536"/>
      <c r="FSE1" s="536"/>
      <c r="FSF1" s="536"/>
      <c r="FSG1" s="536"/>
      <c r="FSH1" s="536"/>
      <c r="FSI1" s="536"/>
      <c r="FSJ1" s="536"/>
      <c r="FSK1" s="536"/>
      <c r="FSL1" s="536"/>
      <c r="FSM1" s="536"/>
      <c r="FSN1" s="536"/>
      <c r="FSO1" s="536"/>
      <c r="FSP1" s="536"/>
      <c r="FSQ1" s="536"/>
      <c r="FSR1" s="536"/>
      <c r="FSS1" s="536"/>
      <c r="FST1" s="536"/>
      <c r="FSU1" s="536"/>
      <c r="FSV1" s="536"/>
      <c r="FSW1" s="536"/>
      <c r="FSX1" s="536"/>
      <c r="FSY1" s="536"/>
      <c r="FSZ1" s="536"/>
      <c r="FTA1" s="536"/>
      <c r="FTB1" s="536"/>
      <c r="FTC1" s="536"/>
      <c r="FTD1" s="536"/>
      <c r="FTE1" s="536"/>
      <c r="FTF1" s="536"/>
      <c r="FTG1" s="536"/>
      <c r="FTH1" s="536"/>
      <c r="FTI1" s="536"/>
      <c r="FTJ1" s="536"/>
      <c r="FTK1" s="536"/>
      <c r="FTL1" s="536"/>
      <c r="FTM1" s="536"/>
      <c r="FTN1" s="536"/>
      <c r="FTO1" s="536"/>
      <c r="FTP1" s="536"/>
      <c r="FTQ1" s="536"/>
      <c r="FTR1" s="536"/>
      <c r="FTS1" s="536"/>
      <c r="FTT1" s="536"/>
      <c r="FTU1" s="536"/>
      <c r="FTV1" s="536"/>
      <c r="FTW1" s="536"/>
      <c r="FTX1" s="536"/>
      <c r="FTY1" s="536"/>
      <c r="FTZ1" s="536"/>
      <c r="FUA1" s="536"/>
      <c r="FUB1" s="536"/>
      <c r="FUC1" s="536"/>
      <c r="FUD1" s="536"/>
      <c r="FUE1" s="536"/>
      <c r="FUF1" s="536"/>
      <c r="FUG1" s="536"/>
      <c r="FUH1" s="536"/>
      <c r="FUI1" s="536"/>
      <c r="FUJ1" s="536"/>
      <c r="FUK1" s="536"/>
      <c r="FUL1" s="536"/>
      <c r="FUM1" s="536"/>
      <c r="FUN1" s="536"/>
      <c r="FUO1" s="536"/>
      <c r="FUP1" s="536"/>
      <c r="FUQ1" s="536"/>
      <c r="FUR1" s="536"/>
      <c r="FUS1" s="536"/>
      <c r="FUT1" s="536"/>
      <c r="FUU1" s="536"/>
      <c r="FUV1" s="536"/>
      <c r="FUW1" s="536"/>
      <c r="FUX1" s="536"/>
      <c r="FUY1" s="536"/>
      <c r="FUZ1" s="536"/>
      <c r="FVA1" s="536"/>
      <c r="FVB1" s="536"/>
      <c r="FVC1" s="536"/>
      <c r="FVD1" s="536"/>
      <c r="FVE1" s="536"/>
      <c r="FVF1" s="536"/>
      <c r="FVG1" s="536"/>
      <c r="FVH1" s="536"/>
      <c r="FVI1" s="536"/>
      <c r="FVJ1" s="536"/>
      <c r="FVK1" s="536"/>
      <c r="FVL1" s="536"/>
      <c r="FVM1" s="536"/>
      <c r="FVN1" s="536"/>
      <c r="FVO1" s="536"/>
      <c r="FVP1" s="536"/>
      <c r="FVQ1" s="536"/>
      <c r="FVR1" s="536"/>
      <c r="FVS1" s="536"/>
      <c r="FVT1" s="536"/>
      <c r="FVU1" s="536"/>
      <c r="FVV1" s="536"/>
      <c r="FVW1" s="536"/>
      <c r="FVX1" s="536"/>
      <c r="FVY1" s="536"/>
      <c r="FVZ1" s="536"/>
      <c r="FWA1" s="536"/>
      <c r="FWB1" s="536"/>
      <c r="FWC1" s="536"/>
      <c r="FWD1" s="536"/>
      <c r="FWE1" s="536"/>
      <c r="FWF1" s="536"/>
      <c r="FWG1" s="536"/>
      <c r="FWH1" s="536"/>
      <c r="FWI1" s="536"/>
      <c r="FWJ1" s="536"/>
      <c r="FWK1" s="536"/>
      <c r="FWL1" s="536"/>
      <c r="FWM1" s="536"/>
      <c r="FWN1" s="536"/>
      <c r="FWO1" s="536"/>
      <c r="FWP1" s="536"/>
      <c r="FWQ1" s="536"/>
      <c r="FWR1" s="536"/>
      <c r="FWS1" s="536"/>
      <c r="FWT1" s="536"/>
      <c r="FWU1" s="536"/>
      <c r="FWV1" s="536"/>
      <c r="FWW1" s="536"/>
      <c r="FWX1" s="536"/>
      <c r="FWY1" s="536"/>
      <c r="FWZ1" s="536"/>
      <c r="FXA1" s="536"/>
      <c r="FXB1" s="536"/>
      <c r="FXC1" s="536"/>
      <c r="FXD1" s="536"/>
      <c r="FXE1" s="536"/>
      <c r="FXF1" s="536"/>
      <c r="FXG1" s="536"/>
      <c r="FXH1" s="536"/>
      <c r="FXI1" s="536"/>
      <c r="FXJ1" s="536"/>
      <c r="FXK1" s="536"/>
      <c r="FXL1" s="536"/>
      <c r="FXM1" s="536"/>
      <c r="FXN1" s="536"/>
      <c r="FXO1" s="536"/>
      <c r="FXP1" s="536"/>
      <c r="FXQ1" s="536"/>
      <c r="FXR1" s="536"/>
      <c r="FXS1" s="536"/>
      <c r="FXT1" s="536"/>
      <c r="FXU1" s="536"/>
      <c r="FXV1" s="536"/>
      <c r="FXW1" s="536"/>
      <c r="FXX1" s="536"/>
      <c r="FXY1" s="536"/>
      <c r="FXZ1" s="536"/>
      <c r="FYA1" s="536"/>
      <c r="FYB1" s="536"/>
      <c r="FYC1" s="536"/>
      <c r="FYD1" s="536"/>
      <c r="FYE1" s="536"/>
      <c r="FYF1" s="536"/>
      <c r="FYG1" s="536"/>
      <c r="FYH1" s="536"/>
      <c r="FYI1" s="536"/>
      <c r="FYJ1" s="536"/>
      <c r="FYK1" s="536"/>
      <c r="FYL1" s="536"/>
      <c r="FYM1" s="536"/>
      <c r="FYN1" s="536"/>
      <c r="FYO1" s="536"/>
      <c r="FYP1" s="536"/>
      <c r="FYQ1" s="536"/>
      <c r="FYR1" s="536"/>
      <c r="FYS1" s="536"/>
      <c r="FYT1" s="536"/>
      <c r="FYU1" s="536"/>
      <c r="FYV1" s="536"/>
      <c r="FYW1" s="536"/>
      <c r="FYX1" s="536"/>
      <c r="FYY1" s="536"/>
      <c r="FYZ1" s="536"/>
      <c r="FZA1" s="536"/>
      <c r="FZB1" s="536"/>
      <c r="FZC1" s="536"/>
      <c r="FZD1" s="536"/>
      <c r="FZE1" s="536"/>
      <c r="FZF1" s="536"/>
      <c r="FZG1" s="536"/>
      <c r="FZH1" s="536"/>
      <c r="FZI1" s="536"/>
      <c r="FZJ1" s="536"/>
      <c r="FZK1" s="536"/>
      <c r="FZL1" s="536"/>
      <c r="FZM1" s="536"/>
      <c r="FZN1" s="536"/>
      <c r="FZO1" s="536"/>
      <c r="FZP1" s="536"/>
      <c r="FZQ1" s="536"/>
      <c r="FZR1" s="536"/>
      <c r="FZS1" s="536"/>
      <c r="FZT1" s="536"/>
      <c r="FZU1" s="536"/>
      <c r="FZV1" s="536"/>
      <c r="FZW1" s="536"/>
      <c r="FZX1" s="536"/>
      <c r="FZY1" s="536"/>
      <c r="FZZ1" s="536"/>
      <c r="GAA1" s="536"/>
      <c r="GAB1" s="536"/>
      <c r="GAC1" s="536"/>
      <c r="GAD1" s="536"/>
      <c r="GAE1" s="536"/>
      <c r="GAF1" s="536"/>
      <c r="GAG1" s="536"/>
      <c r="GAH1" s="536"/>
      <c r="GAI1" s="536"/>
      <c r="GAJ1" s="536"/>
      <c r="GAK1" s="536"/>
      <c r="GAL1" s="536"/>
      <c r="GAM1" s="536"/>
      <c r="GAN1" s="536"/>
      <c r="GAO1" s="536"/>
      <c r="GAP1" s="536"/>
      <c r="GAQ1" s="536"/>
      <c r="GAR1" s="536"/>
      <c r="GAS1" s="536"/>
      <c r="GAT1" s="536"/>
      <c r="GAU1" s="536"/>
      <c r="GAV1" s="536"/>
      <c r="GAW1" s="536"/>
      <c r="GAX1" s="536"/>
      <c r="GAY1" s="536"/>
      <c r="GAZ1" s="536"/>
      <c r="GBA1" s="536"/>
      <c r="GBB1" s="536"/>
      <c r="GBC1" s="536"/>
      <c r="GBD1" s="536"/>
      <c r="GBE1" s="536"/>
      <c r="GBF1" s="536"/>
      <c r="GBG1" s="536"/>
      <c r="GBH1" s="536"/>
      <c r="GBI1" s="536"/>
      <c r="GBJ1" s="536"/>
      <c r="GBK1" s="536"/>
      <c r="GBL1" s="536"/>
      <c r="GBM1" s="536"/>
      <c r="GBN1" s="536"/>
      <c r="GBO1" s="536"/>
      <c r="GBP1" s="536"/>
      <c r="GBQ1" s="536"/>
      <c r="GBR1" s="536"/>
      <c r="GBS1" s="536"/>
      <c r="GBT1" s="536"/>
      <c r="GBU1" s="536"/>
      <c r="GBV1" s="536"/>
      <c r="GBW1" s="536"/>
      <c r="GBX1" s="536"/>
      <c r="GBY1" s="536"/>
      <c r="GBZ1" s="536"/>
      <c r="GCA1" s="536"/>
      <c r="GCB1" s="536"/>
      <c r="GCC1" s="536"/>
      <c r="GCD1" s="536"/>
      <c r="GCE1" s="536"/>
      <c r="GCF1" s="536"/>
      <c r="GCG1" s="536"/>
      <c r="GCH1" s="536"/>
      <c r="GCI1" s="536"/>
      <c r="GCJ1" s="536"/>
      <c r="GCK1" s="536"/>
      <c r="GCL1" s="536"/>
      <c r="GCM1" s="536"/>
      <c r="GCN1" s="536"/>
      <c r="GCO1" s="536"/>
      <c r="GCP1" s="536"/>
      <c r="GCQ1" s="536"/>
      <c r="GCR1" s="536"/>
      <c r="GCS1" s="536"/>
      <c r="GCT1" s="536"/>
      <c r="GCU1" s="536"/>
      <c r="GCV1" s="536"/>
      <c r="GCW1" s="536"/>
      <c r="GCX1" s="536"/>
      <c r="GCY1" s="536"/>
      <c r="GCZ1" s="536"/>
      <c r="GDA1" s="536"/>
      <c r="GDB1" s="536"/>
      <c r="GDC1" s="536"/>
      <c r="GDD1" s="536"/>
      <c r="GDE1" s="536"/>
      <c r="GDF1" s="536"/>
      <c r="GDG1" s="536"/>
      <c r="GDH1" s="536"/>
      <c r="GDI1" s="536"/>
      <c r="GDJ1" s="536"/>
      <c r="GDK1" s="536"/>
      <c r="GDL1" s="536"/>
      <c r="GDM1" s="536"/>
      <c r="GDN1" s="536"/>
      <c r="GDO1" s="536"/>
      <c r="GDP1" s="536"/>
      <c r="GDQ1" s="536"/>
      <c r="GDR1" s="536"/>
      <c r="GDS1" s="536"/>
      <c r="GDT1" s="536"/>
      <c r="GDU1" s="536"/>
      <c r="GDV1" s="536"/>
      <c r="GDW1" s="536"/>
      <c r="GDX1" s="536"/>
      <c r="GDY1" s="536"/>
      <c r="GDZ1" s="536"/>
      <c r="GEA1" s="536"/>
      <c r="GEB1" s="536"/>
      <c r="GEC1" s="536"/>
      <c r="GED1" s="536"/>
      <c r="GEE1" s="536"/>
      <c r="GEF1" s="536"/>
      <c r="GEG1" s="536"/>
      <c r="GEH1" s="536"/>
      <c r="GEI1" s="536"/>
      <c r="GEJ1" s="536"/>
      <c r="GEK1" s="536"/>
      <c r="GEL1" s="536"/>
      <c r="GEM1" s="536"/>
      <c r="GEN1" s="536"/>
      <c r="GEO1" s="536"/>
      <c r="GEP1" s="536"/>
      <c r="GEQ1" s="536"/>
      <c r="GER1" s="536"/>
      <c r="GES1" s="536"/>
      <c r="GET1" s="536"/>
      <c r="GEU1" s="536"/>
      <c r="GEV1" s="536"/>
      <c r="GEW1" s="536"/>
      <c r="GEX1" s="536"/>
      <c r="GEY1" s="536"/>
      <c r="GEZ1" s="536"/>
      <c r="GFA1" s="536"/>
      <c r="GFB1" s="536"/>
      <c r="GFC1" s="536"/>
      <c r="GFD1" s="536"/>
      <c r="GFE1" s="536"/>
      <c r="GFF1" s="536"/>
      <c r="GFG1" s="536"/>
      <c r="GFH1" s="536"/>
      <c r="GFI1" s="536"/>
      <c r="GFJ1" s="536"/>
      <c r="GFK1" s="536"/>
      <c r="GFL1" s="536"/>
      <c r="GFM1" s="536"/>
      <c r="GFN1" s="536"/>
      <c r="GFO1" s="536"/>
      <c r="GFP1" s="536"/>
      <c r="GFQ1" s="536"/>
      <c r="GFR1" s="536"/>
      <c r="GFS1" s="536"/>
      <c r="GFT1" s="536"/>
      <c r="GFU1" s="536"/>
      <c r="GFV1" s="536"/>
      <c r="GFW1" s="536"/>
      <c r="GFX1" s="536"/>
      <c r="GFY1" s="536"/>
      <c r="GFZ1" s="536"/>
      <c r="GGA1" s="536"/>
      <c r="GGB1" s="536"/>
      <c r="GGC1" s="536"/>
      <c r="GGD1" s="536"/>
      <c r="GGE1" s="536"/>
      <c r="GGF1" s="536"/>
      <c r="GGG1" s="536"/>
      <c r="GGH1" s="536"/>
      <c r="GGI1" s="536"/>
      <c r="GGJ1" s="536"/>
      <c r="GGK1" s="536"/>
      <c r="GGL1" s="536"/>
      <c r="GGM1" s="536"/>
      <c r="GGN1" s="536"/>
      <c r="GGO1" s="536"/>
      <c r="GGP1" s="536"/>
      <c r="GGQ1" s="536"/>
      <c r="GGR1" s="536"/>
      <c r="GGS1" s="536"/>
      <c r="GGT1" s="536"/>
      <c r="GGU1" s="536"/>
      <c r="GGV1" s="536"/>
      <c r="GGW1" s="536"/>
      <c r="GGX1" s="536"/>
      <c r="GGY1" s="536"/>
      <c r="GGZ1" s="536"/>
      <c r="GHA1" s="536"/>
      <c r="GHB1" s="536"/>
      <c r="GHC1" s="536"/>
      <c r="GHD1" s="536"/>
      <c r="GHE1" s="536"/>
      <c r="GHF1" s="536"/>
      <c r="GHG1" s="536"/>
      <c r="GHH1" s="536"/>
      <c r="GHI1" s="536"/>
      <c r="GHJ1" s="536"/>
      <c r="GHK1" s="536"/>
      <c r="GHL1" s="536"/>
      <c r="GHM1" s="536"/>
      <c r="GHN1" s="536"/>
      <c r="GHO1" s="536"/>
      <c r="GHP1" s="536"/>
      <c r="GHQ1" s="536"/>
      <c r="GHR1" s="536"/>
      <c r="GHS1" s="536"/>
      <c r="GHT1" s="536"/>
      <c r="GHU1" s="536"/>
      <c r="GHV1" s="536"/>
      <c r="GHW1" s="536"/>
      <c r="GHX1" s="536"/>
      <c r="GHY1" s="536"/>
      <c r="GHZ1" s="536"/>
      <c r="GIA1" s="536"/>
      <c r="GIB1" s="536"/>
      <c r="GIC1" s="536"/>
      <c r="GID1" s="536"/>
      <c r="GIE1" s="536"/>
      <c r="GIF1" s="536"/>
      <c r="GIG1" s="536"/>
      <c r="GIH1" s="536"/>
      <c r="GII1" s="536"/>
      <c r="GIJ1" s="536"/>
      <c r="GIK1" s="536"/>
      <c r="GIL1" s="536"/>
      <c r="GIM1" s="536"/>
      <c r="GIN1" s="536"/>
      <c r="GIO1" s="536"/>
      <c r="GIP1" s="536"/>
      <c r="GIQ1" s="536"/>
      <c r="GIR1" s="536"/>
      <c r="GIS1" s="536"/>
      <c r="GIT1" s="536"/>
      <c r="GIU1" s="536"/>
      <c r="GIV1" s="536"/>
      <c r="GIW1" s="536"/>
      <c r="GIX1" s="536"/>
      <c r="GIY1" s="536"/>
      <c r="GIZ1" s="536"/>
      <c r="GJA1" s="536"/>
      <c r="GJB1" s="536"/>
      <c r="GJC1" s="536"/>
      <c r="GJD1" s="536"/>
      <c r="GJE1" s="536"/>
      <c r="GJF1" s="536"/>
      <c r="GJG1" s="536"/>
      <c r="GJH1" s="536"/>
      <c r="GJI1" s="536"/>
      <c r="GJJ1" s="536"/>
      <c r="GJK1" s="536"/>
      <c r="GJL1" s="536"/>
      <c r="GJM1" s="536"/>
      <c r="GJN1" s="536"/>
      <c r="GJO1" s="536"/>
      <c r="GJP1" s="536"/>
      <c r="GJQ1" s="536"/>
      <c r="GJR1" s="536"/>
      <c r="GJS1" s="536"/>
      <c r="GJT1" s="536"/>
      <c r="GJU1" s="536"/>
      <c r="GJV1" s="536"/>
      <c r="GJW1" s="536"/>
      <c r="GJX1" s="536"/>
      <c r="GJY1" s="536"/>
      <c r="GJZ1" s="536"/>
      <c r="GKA1" s="536"/>
      <c r="GKB1" s="536"/>
      <c r="GKC1" s="536"/>
      <c r="GKD1" s="536"/>
      <c r="GKE1" s="536"/>
      <c r="GKF1" s="536"/>
      <c r="GKG1" s="536"/>
      <c r="GKH1" s="536"/>
      <c r="GKI1" s="536"/>
      <c r="GKJ1" s="536"/>
      <c r="GKK1" s="536"/>
      <c r="GKL1" s="536"/>
      <c r="GKM1" s="536"/>
      <c r="GKN1" s="536"/>
      <c r="GKO1" s="536"/>
      <c r="GKP1" s="536"/>
      <c r="GKQ1" s="536"/>
      <c r="GKR1" s="536"/>
      <c r="GKS1" s="536"/>
      <c r="GKT1" s="536"/>
      <c r="GKU1" s="536"/>
      <c r="GKV1" s="536"/>
      <c r="GKW1" s="536"/>
      <c r="GKX1" s="536"/>
      <c r="GKY1" s="536"/>
      <c r="GKZ1" s="536"/>
      <c r="GLA1" s="536"/>
      <c r="GLB1" s="536"/>
      <c r="GLC1" s="536"/>
      <c r="GLD1" s="536"/>
      <c r="GLE1" s="536"/>
      <c r="GLF1" s="536"/>
      <c r="GLG1" s="536"/>
      <c r="GLH1" s="536"/>
      <c r="GLI1" s="536"/>
      <c r="GLJ1" s="536"/>
      <c r="GLK1" s="536"/>
      <c r="GLL1" s="536"/>
      <c r="GLM1" s="536"/>
      <c r="GLN1" s="536"/>
      <c r="GLO1" s="536"/>
      <c r="GLP1" s="536"/>
      <c r="GLQ1" s="536"/>
      <c r="GLR1" s="536"/>
      <c r="GLS1" s="536"/>
      <c r="GLT1" s="536"/>
      <c r="GLU1" s="536"/>
      <c r="GLV1" s="536"/>
      <c r="GLW1" s="536"/>
      <c r="GLX1" s="536"/>
      <c r="GLY1" s="536"/>
      <c r="GLZ1" s="536"/>
      <c r="GMA1" s="536"/>
      <c r="GMB1" s="536"/>
      <c r="GMC1" s="536"/>
      <c r="GMD1" s="536"/>
      <c r="GME1" s="536"/>
      <c r="GMF1" s="536"/>
      <c r="GMG1" s="536"/>
      <c r="GMH1" s="536"/>
      <c r="GMI1" s="536"/>
      <c r="GMJ1" s="536"/>
      <c r="GMK1" s="536"/>
      <c r="GML1" s="536"/>
      <c r="GMM1" s="536"/>
      <c r="GMN1" s="536"/>
      <c r="GMO1" s="536"/>
      <c r="GMP1" s="536"/>
      <c r="GMQ1" s="536"/>
      <c r="GMR1" s="536"/>
      <c r="GMS1" s="536"/>
      <c r="GMT1" s="536"/>
      <c r="GMU1" s="536"/>
      <c r="GMV1" s="536"/>
      <c r="GMW1" s="536"/>
      <c r="GMX1" s="536"/>
      <c r="GMY1" s="536"/>
      <c r="GMZ1" s="536"/>
      <c r="GNA1" s="536"/>
      <c r="GNB1" s="536"/>
      <c r="GNC1" s="536"/>
      <c r="GND1" s="536"/>
      <c r="GNE1" s="536"/>
      <c r="GNF1" s="536"/>
      <c r="GNG1" s="536"/>
      <c r="GNH1" s="536"/>
      <c r="GNI1" s="536"/>
      <c r="GNJ1" s="536"/>
      <c r="GNK1" s="536"/>
      <c r="GNL1" s="536"/>
      <c r="GNM1" s="536"/>
      <c r="GNN1" s="536"/>
      <c r="GNO1" s="536"/>
      <c r="GNP1" s="536"/>
      <c r="GNQ1" s="536"/>
      <c r="GNR1" s="536"/>
      <c r="GNS1" s="536"/>
      <c r="GNT1" s="536"/>
      <c r="GNU1" s="536"/>
      <c r="GNV1" s="536"/>
      <c r="GNW1" s="536"/>
      <c r="GNX1" s="536"/>
      <c r="GNY1" s="536"/>
      <c r="GNZ1" s="536"/>
      <c r="GOA1" s="536"/>
      <c r="GOB1" s="536"/>
      <c r="GOC1" s="536"/>
      <c r="GOD1" s="536"/>
      <c r="GOE1" s="536"/>
      <c r="GOF1" s="536"/>
      <c r="GOG1" s="536"/>
      <c r="GOH1" s="536"/>
      <c r="GOI1" s="536"/>
      <c r="GOJ1" s="536"/>
      <c r="GOK1" s="536"/>
      <c r="GOL1" s="536"/>
      <c r="GOM1" s="536"/>
      <c r="GON1" s="536"/>
      <c r="GOO1" s="536"/>
      <c r="GOP1" s="536"/>
      <c r="GOQ1" s="536"/>
      <c r="GOR1" s="536"/>
      <c r="GOS1" s="536"/>
      <c r="GOT1" s="536"/>
      <c r="GOU1" s="536"/>
      <c r="GOV1" s="536"/>
      <c r="GOW1" s="536"/>
      <c r="GOX1" s="536"/>
      <c r="GOY1" s="536"/>
      <c r="GOZ1" s="536"/>
      <c r="GPA1" s="536"/>
      <c r="GPB1" s="536"/>
      <c r="GPC1" s="536"/>
      <c r="GPD1" s="536"/>
      <c r="GPE1" s="536"/>
      <c r="GPF1" s="536"/>
      <c r="GPG1" s="536"/>
      <c r="GPH1" s="536"/>
      <c r="GPI1" s="536"/>
      <c r="GPJ1" s="536"/>
      <c r="GPK1" s="536"/>
      <c r="GPL1" s="536"/>
      <c r="GPM1" s="536"/>
      <c r="GPN1" s="536"/>
      <c r="GPO1" s="536"/>
      <c r="GPP1" s="536"/>
      <c r="GPQ1" s="536"/>
      <c r="GPR1" s="536"/>
      <c r="GPS1" s="536"/>
      <c r="GPT1" s="536"/>
      <c r="GPU1" s="536"/>
      <c r="GPV1" s="536"/>
      <c r="GPW1" s="536"/>
      <c r="GPX1" s="536"/>
      <c r="GPY1" s="536"/>
      <c r="GPZ1" s="536"/>
      <c r="GQA1" s="536"/>
      <c r="GQB1" s="536"/>
      <c r="GQC1" s="536"/>
      <c r="GQD1" s="536"/>
      <c r="GQE1" s="536"/>
      <c r="GQF1" s="536"/>
      <c r="GQG1" s="536"/>
      <c r="GQH1" s="536"/>
      <c r="GQI1" s="536"/>
      <c r="GQJ1" s="536"/>
      <c r="GQK1" s="536"/>
      <c r="GQL1" s="536"/>
      <c r="GQM1" s="536"/>
      <c r="GQN1" s="536"/>
      <c r="GQO1" s="536"/>
      <c r="GQP1" s="536"/>
      <c r="GQQ1" s="536"/>
      <c r="GQR1" s="536"/>
      <c r="GQS1" s="536"/>
      <c r="GQT1" s="536"/>
      <c r="GQU1" s="536"/>
      <c r="GQV1" s="536"/>
      <c r="GQW1" s="536"/>
      <c r="GQX1" s="536"/>
      <c r="GQY1" s="536"/>
      <c r="GQZ1" s="536"/>
      <c r="GRA1" s="536"/>
      <c r="GRB1" s="536"/>
      <c r="GRC1" s="536"/>
      <c r="GRD1" s="536"/>
      <c r="GRE1" s="536"/>
      <c r="GRF1" s="536"/>
      <c r="GRG1" s="536"/>
      <c r="GRH1" s="536"/>
      <c r="GRI1" s="536"/>
      <c r="GRJ1" s="536"/>
      <c r="GRK1" s="536"/>
      <c r="GRL1" s="536"/>
      <c r="GRM1" s="536"/>
      <c r="GRN1" s="536"/>
      <c r="GRO1" s="536"/>
      <c r="GRP1" s="536"/>
      <c r="GRQ1" s="536"/>
      <c r="GRR1" s="536"/>
      <c r="GRS1" s="536"/>
      <c r="GRT1" s="536"/>
      <c r="GRU1" s="536"/>
      <c r="GRV1" s="536"/>
      <c r="GRW1" s="536"/>
      <c r="GRX1" s="536"/>
      <c r="GRY1" s="536"/>
      <c r="GRZ1" s="536"/>
      <c r="GSA1" s="536"/>
      <c r="GSB1" s="536"/>
      <c r="GSC1" s="536"/>
      <c r="GSD1" s="536"/>
      <c r="GSE1" s="536"/>
      <c r="GSF1" s="536"/>
      <c r="GSG1" s="536"/>
      <c r="GSH1" s="536"/>
      <c r="GSI1" s="536"/>
      <c r="GSJ1" s="536"/>
      <c r="GSK1" s="536"/>
      <c r="GSL1" s="536"/>
      <c r="GSM1" s="536"/>
      <c r="GSN1" s="536"/>
      <c r="GSO1" s="536"/>
      <c r="GSP1" s="536"/>
      <c r="GSQ1" s="536"/>
      <c r="GSR1" s="536"/>
      <c r="GSS1" s="536"/>
      <c r="GST1" s="536"/>
      <c r="GSU1" s="536"/>
      <c r="GSV1" s="536"/>
      <c r="GSW1" s="536"/>
      <c r="GSX1" s="536"/>
      <c r="GSY1" s="536"/>
      <c r="GSZ1" s="536"/>
      <c r="GTA1" s="536"/>
      <c r="GTB1" s="536"/>
      <c r="GTC1" s="536"/>
      <c r="GTD1" s="536"/>
      <c r="GTE1" s="536"/>
      <c r="GTF1" s="536"/>
      <c r="GTG1" s="536"/>
      <c r="GTH1" s="536"/>
      <c r="GTI1" s="536"/>
      <c r="GTJ1" s="536"/>
      <c r="GTK1" s="536"/>
      <c r="GTL1" s="536"/>
      <c r="GTM1" s="536"/>
      <c r="GTN1" s="536"/>
      <c r="GTO1" s="536"/>
      <c r="GTP1" s="536"/>
      <c r="GTQ1" s="536"/>
      <c r="GTR1" s="536"/>
      <c r="GTS1" s="536"/>
      <c r="GTT1" s="536"/>
      <c r="GTU1" s="536"/>
      <c r="GTV1" s="536"/>
      <c r="GTW1" s="536"/>
      <c r="GTX1" s="536"/>
      <c r="GTY1" s="536"/>
      <c r="GTZ1" s="536"/>
      <c r="GUA1" s="536"/>
      <c r="GUB1" s="536"/>
      <c r="GUC1" s="536"/>
      <c r="GUD1" s="536"/>
      <c r="GUE1" s="536"/>
      <c r="GUF1" s="536"/>
      <c r="GUG1" s="536"/>
      <c r="GUH1" s="536"/>
      <c r="GUI1" s="536"/>
      <c r="GUJ1" s="536"/>
      <c r="GUK1" s="536"/>
      <c r="GUL1" s="536"/>
      <c r="GUM1" s="536"/>
      <c r="GUN1" s="536"/>
      <c r="GUO1" s="536"/>
      <c r="GUP1" s="536"/>
      <c r="GUQ1" s="536"/>
      <c r="GUR1" s="536"/>
      <c r="GUS1" s="536"/>
      <c r="GUT1" s="536"/>
      <c r="GUU1" s="536"/>
      <c r="GUV1" s="536"/>
      <c r="GUW1" s="536"/>
      <c r="GUX1" s="536"/>
      <c r="GUY1" s="536"/>
      <c r="GUZ1" s="536"/>
      <c r="GVA1" s="536"/>
      <c r="GVB1" s="536"/>
      <c r="GVC1" s="536"/>
      <c r="GVD1" s="536"/>
      <c r="GVE1" s="536"/>
      <c r="GVF1" s="536"/>
      <c r="GVG1" s="536"/>
      <c r="GVH1" s="536"/>
      <c r="GVI1" s="536"/>
      <c r="GVJ1" s="536"/>
      <c r="GVK1" s="536"/>
      <c r="GVL1" s="536"/>
      <c r="GVM1" s="536"/>
      <c r="GVN1" s="536"/>
      <c r="GVO1" s="536"/>
      <c r="GVP1" s="536"/>
      <c r="GVQ1" s="536"/>
      <c r="GVR1" s="536"/>
      <c r="GVS1" s="536"/>
      <c r="GVT1" s="536"/>
      <c r="GVU1" s="536"/>
      <c r="GVV1" s="536"/>
      <c r="GVW1" s="536"/>
      <c r="GVX1" s="536"/>
      <c r="GVY1" s="536"/>
      <c r="GVZ1" s="536"/>
      <c r="GWA1" s="536"/>
      <c r="GWB1" s="536"/>
      <c r="GWC1" s="536"/>
      <c r="GWD1" s="536"/>
      <c r="GWE1" s="536"/>
      <c r="GWF1" s="536"/>
      <c r="GWG1" s="536"/>
      <c r="GWH1" s="536"/>
      <c r="GWI1" s="536"/>
      <c r="GWJ1" s="536"/>
      <c r="GWK1" s="536"/>
      <c r="GWL1" s="536"/>
      <c r="GWM1" s="536"/>
      <c r="GWN1" s="536"/>
      <c r="GWO1" s="536"/>
      <c r="GWP1" s="536"/>
      <c r="GWQ1" s="536"/>
      <c r="GWR1" s="536"/>
      <c r="GWS1" s="536"/>
      <c r="GWT1" s="536"/>
      <c r="GWU1" s="536"/>
      <c r="GWV1" s="536"/>
      <c r="GWW1" s="536"/>
      <c r="GWX1" s="536"/>
      <c r="GWY1" s="536"/>
      <c r="GWZ1" s="536"/>
      <c r="GXA1" s="536"/>
      <c r="GXB1" s="536"/>
      <c r="GXC1" s="536"/>
      <c r="GXD1" s="536"/>
      <c r="GXE1" s="536"/>
      <c r="GXF1" s="536"/>
      <c r="GXG1" s="536"/>
      <c r="GXH1" s="536"/>
      <c r="GXI1" s="536"/>
      <c r="GXJ1" s="536"/>
      <c r="GXK1" s="536"/>
      <c r="GXL1" s="536"/>
      <c r="GXM1" s="536"/>
      <c r="GXN1" s="536"/>
      <c r="GXO1" s="536"/>
      <c r="GXP1" s="536"/>
      <c r="GXQ1" s="536"/>
      <c r="GXR1" s="536"/>
      <c r="GXS1" s="536"/>
      <c r="GXT1" s="536"/>
      <c r="GXU1" s="536"/>
      <c r="GXV1" s="536"/>
      <c r="GXW1" s="536"/>
      <c r="GXX1" s="536"/>
      <c r="GXY1" s="536"/>
      <c r="GXZ1" s="536"/>
      <c r="GYA1" s="536"/>
      <c r="GYB1" s="536"/>
      <c r="GYC1" s="536"/>
      <c r="GYD1" s="536"/>
      <c r="GYE1" s="536"/>
      <c r="GYF1" s="536"/>
      <c r="GYG1" s="536"/>
      <c r="GYH1" s="536"/>
      <c r="GYI1" s="536"/>
      <c r="GYJ1" s="536"/>
      <c r="GYK1" s="536"/>
      <c r="GYL1" s="536"/>
      <c r="GYM1" s="536"/>
      <c r="GYN1" s="536"/>
      <c r="GYO1" s="536"/>
      <c r="GYP1" s="536"/>
      <c r="GYQ1" s="536"/>
      <c r="GYR1" s="536"/>
      <c r="GYS1" s="536"/>
      <c r="GYT1" s="536"/>
      <c r="GYU1" s="536"/>
      <c r="GYV1" s="536"/>
      <c r="GYW1" s="536"/>
      <c r="GYX1" s="536"/>
      <c r="GYY1" s="536"/>
      <c r="GYZ1" s="536"/>
      <c r="GZA1" s="536"/>
      <c r="GZB1" s="536"/>
      <c r="GZC1" s="536"/>
      <c r="GZD1" s="536"/>
      <c r="GZE1" s="536"/>
      <c r="GZF1" s="536"/>
      <c r="GZG1" s="536"/>
      <c r="GZH1" s="536"/>
      <c r="GZI1" s="536"/>
      <c r="GZJ1" s="536"/>
      <c r="GZK1" s="536"/>
      <c r="GZL1" s="536"/>
      <c r="GZM1" s="536"/>
      <c r="GZN1" s="536"/>
      <c r="GZO1" s="536"/>
      <c r="GZP1" s="536"/>
      <c r="GZQ1" s="536"/>
      <c r="GZR1" s="536"/>
      <c r="GZS1" s="536"/>
      <c r="GZT1" s="536"/>
      <c r="GZU1" s="536"/>
      <c r="GZV1" s="536"/>
      <c r="GZW1" s="536"/>
      <c r="GZX1" s="536"/>
      <c r="GZY1" s="536"/>
      <c r="GZZ1" s="536"/>
      <c r="HAA1" s="536"/>
      <c r="HAB1" s="536"/>
      <c r="HAC1" s="536"/>
      <c r="HAD1" s="536"/>
      <c r="HAE1" s="536"/>
      <c r="HAF1" s="536"/>
      <c r="HAG1" s="536"/>
      <c r="HAH1" s="536"/>
      <c r="HAI1" s="536"/>
      <c r="HAJ1" s="536"/>
      <c r="HAK1" s="536"/>
      <c r="HAL1" s="536"/>
      <c r="HAM1" s="536"/>
      <c r="HAN1" s="536"/>
      <c r="HAO1" s="536"/>
      <c r="HAP1" s="536"/>
      <c r="HAQ1" s="536"/>
      <c r="HAR1" s="536"/>
      <c r="HAS1" s="536"/>
      <c r="HAT1" s="536"/>
      <c r="HAU1" s="536"/>
      <c r="HAV1" s="536"/>
      <c r="HAW1" s="536"/>
      <c r="HAX1" s="536"/>
      <c r="HAY1" s="536"/>
      <c r="HAZ1" s="536"/>
      <c r="HBA1" s="536"/>
      <c r="HBB1" s="536"/>
      <c r="HBC1" s="536"/>
      <c r="HBD1" s="536"/>
      <c r="HBE1" s="536"/>
      <c r="HBF1" s="536"/>
      <c r="HBG1" s="536"/>
      <c r="HBH1" s="536"/>
      <c r="HBI1" s="536"/>
      <c r="HBJ1" s="536"/>
      <c r="HBK1" s="536"/>
      <c r="HBL1" s="536"/>
      <c r="HBM1" s="536"/>
      <c r="HBN1" s="536"/>
      <c r="HBO1" s="536"/>
      <c r="HBP1" s="536"/>
      <c r="HBQ1" s="536"/>
      <c r="HBR1" s="536"/>
      <c r="HBS1" s="536"/>
      <c r="HBT1" s="536"/>
      <c r="HBU1" s="536"/>
      <c r="HBV1" s="536"/>
      <c r="HBW1" s="536"/>
      <c r="HBX1" s="536"/>
      <c r="HBY1" s="536"/>
      <c r="HBZ1" s="536"/>
      <c r="HCA1" s="536"/>
      <c r="HCB1" s="536"/>
      <c r="HCC1" s="536"/>
      <c r="HCD1" s="536"/>
      <c r="HCE1" s="536"/>
      <c r="HCF1" s="536"/>
      <c r="HCG1" s="536"/>
      <c r="HCH1" s="536"/>
      <c r="HCI1" s="536"/>
      <c r="HCJ1" s="536"/>
      <c r="HCK1" s="536"/>
      <c r="HCL1" s="536"/>
      <c r="HCM1" s="536"/>
      <c r="HCN1" s="536"/>
      <c r="HCO1" s="536"/>
      <c r="HCP1" s="536"/>
      <c r="HCQ1" s="536"/>
      <c r="HCR1" s="536"/>
      <c r="HCS1" s="536"/>
      <c r="HCT1" s="536"/>
      <c r="HCU1" s="536"/>
      <c r="HCV1" s="536"/>
      <c r="HCW1" s="536"/>
      <c r="HCX1" s="536"/>
      <c r="HCY1" s="536"/>
      <c r="HCZ1" s="536"/>
      <c r="HDA1" s="536"/>
      <c r="HDB1" s="536"/>
      <c r="HDC1" s="536"/>
      <c r="HDD1" s="536"/>
      <c r="HDE1" s="536"/>
      <c r="HDF1" s="536"/>
      <c r="HDG1" s="536"/>
      <c r="HDH1" s="536"/>
      <c r="HDI1" s="536"/>
      <c r="HDJ1" s="536"/>
      <c r="HDK1" s="536"/>
      <c r="HDL1" s="536"/>
      <c r="HDM1" s="536"/>
      <c r="HDN1" s="536"/>
      <c r="HDO1" s="536"/>
      <c r="HDP1" s="536"/>
      <c r="HDQ1" s="536"/>
      <c r="HDR1" s="536"/>
      <c r="HDS1" s="536"/>
      <c r="HDT1" s="536"/>
      <c r="HDU1" s="536"/>
      <c r="HDV1" s="536"/>
      <c r="HDW1" s="536"/>
      <c r="HDX1" s="536"/>
      <c r="HDY1" s="536"/>
      <c r="HDZ1" s="536"/>
      <c r="HEA1" s="536"/>
      <c r="HEB1" s="536"/>
      <c r="HEC1" s="536"/>
      <c r="HED1" s="536"/>
      <c r="HEE1" s="536"/>
      <c r="HEF1" s="536"/>
      <c r="HEG1" s="536"/>
      <c r="HEH1" s="536"/>
      <c r="HEI1" s="536"/>
      <c r="HEJ1" s="536"/>
      <c r="HEK1" s="536"/>
      <c r="HEL1" s="536"/>
      <c r="HEM1" s="536"/>
      <c r="HEN1" s="536"/>
      <c r="HEO1" s="536"/>
      <c r="HEP1" s="536"/>
      <c r="HEQ1" s="536"/>
      <c r="HER1" s="536"/>
      <c r="HES1" s="536"/>
      <c r="HET1" s="536"/>
      <c r="HEU1" s="536"/>
      <c r="HEV1" s="536"/>
      <c r="HEW1" s="536"/>
      <c r="HEX1" s="536"/>
      <c r="HEY1" s="536"/>
      <c r="HEZ1" s="536"/>
      <c r="HFA1" s="536"/>
      <c r="HFB1" s="536"/>
      <c r="HFC1" s="536"/>
      <c r="HFD1" s="536"/>
      <c r="HFE1" s="536"/>
      <c r="HFF1" s="536"/>
      <c r="HFG1" s="536"/>
      <c r="HFH1" s="536"/>
      <c r="HFI1" s="536"/>
      <c r="HFJ1" s="536"/>
      <c r="HFK1" s="536"/>
      <c r="HFL1" s="536"/>
      <c r="HFM1" s="536"/>
      <c r="HFN1" s="536"/>
      <c r="HFO1" s="536"/>
      <c r="HFP1" s="536"/>
      <c r="HFQ1" s="536"/>
      <c r="HFR1" s="536"/>
      <c r="HFS1" s="536"/>
      <c r="HFT1" s="536"/>
      <c r="HFU1" s="536"/>
      <c r="HFV1" s="536"/>
      <c r="HFW1" s="536"/>
      <c r="HFX1" s="536"/>
      <c r="HFY1" s="536"/>
      <c r="HFZ1" s="536"/>
      <c r="HGA1" s="536"/>
      <c r="HGB1" s="536"/>
      <c r="HGC1" s="536"/>
      <c r="HGD1" s="536"/>
      <c r="HGE1" s="536"/>
      <c r="HGF1" s="536"/>
      <c r="HGG1" s="536"/>
      <c r="HGH1" s="536"/>
      <c r="HGI1" s="536"/>
      <c r="HGJ1" s="536"/>
      <c r="HGK1" s="536"/>
      <c r="HGL1" s="536"/>
      <c r="HGM1" s="536"/>
      <c r="HGN1" s="536"/>
      <c r="HGO1" s="536"/>
      <c r="HGP1" s="536"/>
      <c r="HGQ1" s="536"/>
      <c r="HGR1" s="536"/>
      <c r="HGS1" s="536"/>
      <c r="HGT1" s="536"/>
      <c r="HGU1" s="536"/>
      <c r="HGV1" s="536"/>
      <c r="HGW1" s="536"/>
      <c r="HGX1" s="536"/>
      <c r="HGY1" s="536"/>
      <c r="HGZ1" s="536"/>
      <c r="HHA1" s="536"/>
      <c r="HHB1" s="536"/>
      <c r="HHC1" s="536"/>
      <c r="HHD1" s="536"/>
      <c r="HHE1" s="536"/>
      <c r="HHF1" s="536"/>
      <c r="HHG1" s="536"/>
      <c r="HHH1" s="536"/>
      <c r="HHI1" s="536"/>
      <c r="HHJ1" s="536"/>
      <c r="HHK1" s="536"/>
      <c r="HHL1" s="536"/>
      <c r="HHM1" s="536"/>
      <c r="HHN1" s="536"/>
      <c r="HHO1" s="536"/>
      <c r="HHP1" s="536"/>
      <c r="HHQ1" s="536"/>
      <c r="HHR1" s="536"/>
      <c r="HHS1" s="536"/>
      <c r="HHT1" s="536"/>
      <c r="HHU1" s="536"/>
      <c r="HHV1" s="536"/>
      <c r="HHW1" s="536"/>
      <c r="HHX1" s="536"/>
      <c r="HHY1" s="536"/>
      <c r="HHZ1" s="536"/>
      <c r="HIA1" s="536"/>
      <c r="HIB1" s="536"/>
      <c r="HIC1" s="536"/>
      <c r="HID1" s="536"/>
      <c r="HIE1" s="536"/>
      <c r="HIF1" s="536"/>
      <c r="HIG1" s="536"/>
      <c r="HIH1" s="536"/>
      <c r="HII1" s="536"/>
      <c r="HIJ1" s="536"/>
      <c r="HIK1" s="536"/>
      <c r="HIL1" s="536"/>
      <c r="HIM1" s="536"/>
      <c r="HIN1" s="536"/>
      <c r="HIO1" s="536"/>
      <c r="HIP1" s="536"/>
      <c r="HIQ1" s="536"/>
      <c r="HIR1" s="536"/>
      <c r="HIS1" s="536"/>
      <c r="HIT1" s="536"/>
      <c r="HIU1" s="536"/>
      <c r="HIV1" s="536"/>
      <c r="HIW1" s="536"/>
      <c r="HIX1" s="536"/>
      <c r="HIY1" s="536"/>
      <c r="HIZ1" s="536"/>
      <c r="HJA1" s="536"/>
      <c r="HJB1" s="536"/>
      <c r="HJC1" s="536"/>
      <c r="HJD1" s="536"/>
      <c r="HJE1" s="536"/>
      <c r="HJF1" s="536"/>
      <c r="HJG1" s="536"/>
      <c r="HJH1" s="536"/>
      <c r="HJI1" s="536"/>
      <c r="HJJ1" s="536"/>
      <c r="HJK1" s="536"/>
      <c r="HJL1" s="536"/>
      <c r="HJM1" s="536"/>
      <c r="HJN1" s="536"/>
      <c r="HJO1" s="536"/>
      <c r="HJP1" s="536"/>
      <c r="HJQ1" s="536"/>
      <c r="HJR1" s="536"/>
      <c r="HJS1" s="536"/>
      <c r="HJT1" s="536"/>
      <c r="HJU1" s="536"/>
      <c r="HJV1" s="536"/>
      <c r="HJW1" s="536"/>
      <c r="HJX1" s="536"/>
      <c r="HJY1" s="536"/>
      <c r="HJZ1" s="536"/>
      <c r="HKA1" s="536"/>
      <c r="HKB1" s="536"/>
      <c r="HKC1" s="536"/>
      <c r="HKD1" s="536"/>
      <c r="HKE1" s="536"/>
      <c r="HKF1" s="536"/>
      <c r="HKG1" s="536"/>
      <c r="HKH1" s="536"/>
      <c r="HKI1" s="536"/>
      <c r="HKJ1" s="536"/>
      <c r="HKK1" s="536"/>
      <c r="HKL1" s="536"/>
      <c r="HKM1" s="536"/>
      <c r="HKN1" s="536"/>
      <c r="HKO1" s="536"/>
      <c r="HKP1" s="536"/>
      <c r="HKQ1" s="536"/>
      <c r="HKR1" s="536"/>
      <c r="HKS1" s="536"/>
      <c r="HKT1" s="536"/>
      <c r="HKU1" s="536"/>
      <c r="HKV1" s="536"/>
      <c r="HKW1" s="536"/>
      <c r="HKX1" s="536"/>
      <c r="HKY1" s="536"/>
      <c r="HKZ1" s="536"/>
      <c r="HLA1" s="536"/>
      <c r="HLB1" s="536"/>
      <c r="HLC1" s="536"/>
      <c r="HLD1" s="536"/>
      <c r="HLE1" s="536"/>
      <c r="HLF1" s="536"/>
      <c r="HLG1" s="536"/>
      <c r="HLH1" s="536"/>
      <c r="HLI1" s="536"/>
      <c r="HLJ1" s="536"/>
      <c r="HLK1" s="536"/>
      <c r="HLL1" s="536"/>
      <c r="HLM1" s="536"/>
      <c r="HLN1" s="536"/>
      <c r="HLO1" s="536"/>
      <c r="HLP1" s="536"/>
      <c r="HLQ1" s="536"/>
      <c r="HLR1" s="536"/>
      <c r="HLS1" s="536"/>
      <c r="HLT1" s="536"/>
      <c r="HLU1" s="536"/>
      <c r="HLV1" s="536"/>
      <c r="HLW1" s="536"/>
      <c r="HLX1" s="536"/>
      <c r="HLY1" s="536"/>
      <c r="HLZ1" s="536"/>
      <c r="HMA1" s="536"/>
      <c r="HMB1" s="536"/>
      <c r="HMC1" s="536"/>
      <c r="HMD1" s="536"/>
      <c r="HME1" s="536"/>
      <c r="HMF1" s="536"/>
      <c r="HMG1" s="536"/>
      <c r="HMH1" s="536"/>
      <c r="HMI1" s="536"/>
      <c r="HMJ1" s="536"/>
      <c r="HMK1" s="536"/>
      <c r="HML1" s="536"/>
      <c r="HMM1" s="536"/>
      <c r="HMN1" s="536"/>
      <c r="HMO1" s="536"/>
      <c r="HMP1" s="536"/>
      <c r="HMQ1" s="536"/>
      <c r="HMR1" s="536"/>
      <c r="HMS1" s="536"/>
      <c r="HMT1" s="536"/>
      <c r="HMU1" s="536"/>
      <c r="HMV1" s="536"/>
      <c r="HMW1" s="536"/>
      <c r="HMX1" s="536"/>
      <c r="HMY1" s="536"/>
      <c r="HMZ1" s="536"/>
      <c r="HNA1" s="536"/>
      <c r="HNB1" s="536"/>
      <c r="HNC1" s="536"/>
      <c r="HND1" s="536"/>
      <c r="HNE1" s="536"/>
      <c r="HNF1" s="536"/>
      <c r="HNG1" s="536"/>
      <c r="HNH1" s="536"/>
      <c r="HNI1" s="536"/>
      <c r="HNJ1" s="536"/>
      <c r="HNK1" s="536"/>
      <c r="HNL1" s="536"/>
      <c r="HNM1" s="536"/>
      <c r="HNN1" s="536"/>
      <c r="HNO1" s="536"/>
      <c r="HNP1" s="536"/>
      <c r="HNQ1" s="536"/>
      <c r="HNR1" s="536"/>
      <c r="HNS1" s="536"/>
      <c r="HNT1" s="536"/>
      <c r="HNU1" s="536"/>
      <c r="HNV1" s="536"/>
      <c r="HNW1" s="536"/>
      <c r="HNX1" s="536"/>
      <c r="HNY1" s="536"/>
      <c r="HNZ1" s="536"/>
      <c r="HOA1" s="536"/>
      <c r="HOB1" s="536"/>
      <c r="HOC1" s="536"/>
      <c r="HOD1" s="536"/>
      <c r="HOE1" s="536"/>
      <c r="HOF1" s="536"/>
      <c r="HOG1" s="536"/>
      <c r="HOH1" s="536"/>
      <c r="HOI1" s="536"/>
      <c r="HOJ1" s="536"/>
      <c r="HOK1" s="536"/>
      <c r="HOL1" s="536"/>
      <c r="HOM1" s="536"/>
      <c r="HON1" s="536"/>
      <c r="HOO1" s="536"/>
      <c r="HOP1" s="536"/>
      <c r="HOQ1" s="536"/>
      <c r="HOR1" s="536"/>
      <c r="HOS1" s="536"/>
      <c r="HOT1" s="536"/>
      <c r="HOU1" s="536"/>
      <c r="HOV1" s="536"/>
      <c r="HOW1" s="536"/>
      <c r="HOX1" s="536"/>
      <c r="HOY1" s="536"/>
      <c r="HOZ1" s="536"/>
      <c r="HPA1" s="536"/>
      <c r="HPB1" s="536"/>
      <c r="HPC1" s="536"/>
      <c r="HPD1" s="536"/>
      <c r="HPE1" s="536"/>
      <c r="HPF1" s="536"/>
      <c r="HPG1" s="536"/>
      <c r="HPH1" s="536"/>
      <c r="HPI1" s="536"/>
      <c r="HPJ1" s="536"/>
      <c r="HPK1" s="536"/>
      <c r="HPL1" s="536"/>
      <c r="HPM1" s="536"/>
      <c r="HPN1" s="536"/>
      <c r="HPO1" s="536"/>
      <c r="HPP1" s="536"/>
      <c r="HPQ1" s="536"/>
      <c r="HPR1" s="536"/>
      <c r="HPS1" s="536"/>
      <c r="HPT1" s="536"/>
      <c r="HPU1" s="536"/>
      <c r="HPV1" s="536"/>
      <c r="HPW1" s="536"/>
      <c r="HPX1" s="536"/>
      <c r="HPY1" s="536"/>
      <c r="HPZ1" s="536"/>
      <c r="HQA1" s="536"/>
      <c r="HQB1" s="536"/>
      <c r="HQC1" s="536"/>
      <c r="HQD1" s="536"/>
      <c r="HQE1" s="536"/>
      <c r="HQF1" s="536"/>
      <c r="HQG1" s="536"/>
      <c r="HQH1" s="536"/>
      <c r="HQI1" s="536"/>
      <c r="HQJ1" s="536"/>
      <c r="HQK1" s="536"/>
      <c r="HQL1" s="536"/>
      <c r="HQM1" s="536"/>
      <c r="HQN1" s="536"/>
      <c r="HQO1" s="536"/>
      <c r="HQP1" s="536"/>
      <c r="HQQ1" s="536"/>
      <c r="HQR1" s="536"/>
      <c r="HQS1" s="536"/>
      <c r="HQT1" s="536"/>
      <c r="HQU1" s="536"/>
      <c r="HQV1" s="536"/>
      <c r="HQW1" s="536"/>
      <c r="HQX1" s="536"/>
      <c r="HQY1" s="536"/>
      <c r="HQZ1" s="536"/>
      <c r="HRA1" s="536"/>
      <c r="HRB1" s="536"/>
      <c r="HRC1" s="536"/>
      <c r="HRD1" s="536"/>
      <c r="HRE1" s="536"/>
      <c r="HRF1" s="536"/>
      <c r="HRG1" s="536"/>
      <c r="HRH1" s="536"/>
      <c r="HRI1" s="536"/>
      <c r="HRJ1" s="536"/>
      <c r="HRK1" s="536"/>
      <c r="HRL1" s="536"/>
      <c r="HRM1" s="536"/>
      <c r="HRN1" s="536"/>
      <c r="HRO1" s="536"/>
      <c r="HRP1" s="536"/>
      <c r="HRQ1" s="536"/>
      <c r="HRR1" s="536"/>
      <c r="HRS1" s="536"/>
      <c r="HRT1" s="536"/>
      <c r="HRU1" s="536"/>
      <c r="HRV1" s="536"/>
      <c r="HRW1" s="536"/>
      <c r="HRX1" s="536"/>
      <c r="HRY1" s="536"/>
      <c r="HRZ1" s="536"/>
      <c r="HSA1" s="536"/>
      <c r="HSB1" s="536"/>
      <c r="HSC1" s="536"/>
      <c r="HSD1" s="536"/>
      <c r="HSE1" s="536"/>
      <c r="HSF1" s="536"/>
      <c r="HSG1" s="536"/>
      <c r="HSH1" s="536"/>
      <c r="HSI1" s="536"/>
      <c r="HSJ1" s="536"/>
      <c r="HSK1" s="536"/>
      <c r="HSL1" s="536"/>
      <c r="HSM1" s="536"/>
      <c r="HSN1" s="536"/>
      <c r="HSO1" s="536"/>
      <c r="HSP1" s="536"/>
      <c r="HSQ1" s="536"/>
      <c r="HSR1" s="536"/>
      <c r="HSS1" s="536"/>
      <c r="HST1" s="536"/>
      <c r="HSU1" s="536"/>
      <c r="HSV1" s="536"/>
      <c r="HSW1" s="536"/>
      <c r="HSX1" s="536"/>
      <c r="HSY1" s="536"/>
      <c r="HSZ1" s="536"/>
      <c r="HTA1" s="536"/>
      <c r="HTB1" s="536"/>
      <c r="HTC1" s="536"/>
      <c r="HTD1" s="536"/>
      <c r="HTE1" s="536"/>
      <c r="HTF1" s="536"/>
      <c r="HTG1" s="536"/>
      <c r="HTH1" s="536"/>
      <c r="HTI1" s="536"/>
      <c r="HTJ1" s="536"/>
      <c r="HTK1" s="536"/>
      <c r="HTL1" s="536"/>
      <c r="HTM1" s="536"/>
      <c r="HTN1" s="536"/>
      <c r="HTO1" s="536"/>
      <c r="HTP1" s="536"/>
      <c r="HTQ1" s="536"/>
      <c r="HTR1" s="536"/>
      <c r="HTS1" s="536"/>
      <c r="HTT1" s="536"/>
      <c r="HTU1" s="536"/>
      <c r="HTV1" s="536"/>
      <c r="HTW1" s="536"/>
      <c r="HTX1" s="536"/>
      <c r="HTY1" s="536"/>
      <c r="HTZ1" s="536"/>
      <c r="HUA1" s="536"/>
      <c r="HUB1" s="536"/>
      <c r="HUC1" s="536"/>
      <c r="HUD1" s="536"/>
      <c r="HUE1" s="536"/>
      <c r="HUF1" s="536"/>
      <c r="HUG1" s="536"/>
      <c r="HUH1" s="536"/>
      <c r="HUI1" s="536"/>
      <c r="HUJ1" s="536"/>
      <c r="HUK1" s="536"/>
      <c r="HUL1" s="536"/>
      <c r="HUM1" s="536"/>
      <c r="HUN1" s="536"/>
      <c r="HUO1" s="536"/>
      <c r="HUP1" s="536"/>
      <c r="HUQ1" s="536"/>
      <c r="HUR1" s="536"/>
      <c r="HUS1" s="536"/>
      <c r="HUT1" s="536"/>
      <c r="HUU1" s="536"/>
      <c r="HUV1" s="536"/>
      <c r="HUW1" s="536"/>
      <c r="HUX1" s="536"/>
      <c r="HUY1" s="536"/>
      <c r="HUZ1" s="536"/>
      <c r="HVA1" s="536"/>
      <c r="HVB1" s="536"/>
      <c r="HVC1" s="536"/>
      <c r="HVD1" s="536"/>
      <c r="HVE1" s="536"/>
      <c r="HVF1" s="536"/>
      <c r="HVG1" s="536"/>
      <c r="HVH1" s="536"/>
      <c r="HVI1" s="536"/>
      <c r="HVJ1" s="536"/>
      <c r="HVK1" s="536"/>
      <c r="HVL1" s="536"/>
      <c r="HVM1" s="536"/>
      <c r="HVN1" s="536"/>
      <c r="HVO1" s="536"/>
      <c r="HVP1" s="536"/>
      <c r="HVQ1" s="536"/>
      <c r="HVR1" s="536"/>
      <c r="HVS1" s="536"/>
      <c r="HVT1" s="536"/>
      <c r="HVU1" s="536"/>
      <c r="HVV1" s="536"/>
      <c r="HVW1" s="536"/>
      <c r="HVX1" s="536"/>
      <c r="HVY1" s="536"/>
      <c r="HVZ1" s="536"/>
      <c r="HWA1" s="536"/>
      <c r="HWB1" s="536"/>
      <c r="HWC1" s="536"/>
      <c r="HWD1" s="536"/>
      <c r="HWE1" s="536"/>
      <c r="HWF1" s="536"/>
      <c r="HWG1" s="536"/>
      <c r="HWH1" s="536"/>
      <c r="HWI1" s="536"/>
      <c r="HWJ1" s="536"/>
      <c r="HWK1" s="536"/>
      <c r="HWL1" s="536"/>
      <c r="HWM1" s="536"/>
      <c r="HWN1" s="536"/>
      <c r="HWO1" s="536"/>
      <c r="HWP1" s="536"/>
      <c r="HWQ1" s="536"/>
      <c r="HWR1" s="536"/>
      <c r="HWS1" s="536"/>
      <c r="HWT1" s="536"/>
      <c r="HWU1" s="536"/>
      <c r="HWV1" s="536"/>
      <c r="HWW1" s="536"/>
      <c r="HWX1" s="536"/>
      <c r="HWY1" s="536"/>
      <c r="HWZ1" s="536"/>
      <c r="HXA1" s="536"/>
      <c r="HXB1" s="536"/>
      <c r="HXC1" s="536"/>
      <c r="HXD1" s="536"/>
      <c r="HXE1" s="536"/>
      <c r="HXF1" s="536"/>
      <c r="HXG1" s="536"/>
      <c r="HXH1" s="536"/>
      <c r="HXI1" s="536"/>
      <c r="HXJ1" s="536"/>
      <c r="HXK1" s="536"/>
      <c r="HXL1" s="536"/>
      <c r="HXM1" s="536"/>
      <c r="HXN1" s="536"/>
      <c r="HXO1" s="536"/>
      <c r="HXP1" s="536"/>
      <c r="HXQ1" s="536"/>
      <c r="HXR1" s="536"/>
      <c r="HXS1" s="536"/>
      <c r="HXT1" s="536"/>
      <c r="HXU1" s="536"/>
      <c r="HXV1" s="536"/>
      <c r="HXW1" s="536"/>
      <c r="HXX1" s="536"/>
      <c r="HXY1" s="536"/>
      <c r="HXZ1" s="536"/>
      <c r="HYA1" s="536"/>
      <c r="HYB1" s="536"/>
      <c r="HYC1" s="536"/>
      <c r="HYD1" s="536"/>
      <c r="HYE1" s="536"/>
      <c r="HYF1" s="536"/>
      <c r="HYG1" s="536"/>
      <c r="HYH1" s="536"/>
      <c r="HYI1" s="536"/>
      <c r="HYJ1" s="536"/>
      <c r="HYK1" s="536"/>
      <c r="HYL1" s="536"/>
      <c r="HYM1" s="536"/>
      <c r="HYN1" s="536"/>
      <c r="HYO1" s="536"/>
      <c r="HYP1" s="536"/>
      <c r="HYQ1" s="536"/>
      <c r="HYR1" s="536"/>
      <c r="HYS1" s="536"/>
      <c r="HYT1" s="536"/>
      <c r="HYU1" s="536"/>
      <c r="HYV1" s="536"/>
      <c r="HYW1" s="536"/>
      <c r="HYX1" s="536"/>
      <c r="HYY1" s="536"/>
      <c r="HYZ1" s="536"/>
      <c r="HZA1" s="536"/>
      <c r="HZB1" s="536"/>
      <c r="HZC1" s="536"/>
      <c r="HZD1" s="536"/>
      <c r="HZE1" s="536"/>
      <c r="HZF1" s="536"/>
      <c r="HZG1" s="536"/>
      <c r="HZH1" s="536"/>
      <c r="HZI1" s="536"/>
      <c r="HZJ1" s="536"/>
      <c r="HZK1" s="536"/>
      <c r="HZL1" s="536"/>
      <c r="HZM1" s="536"/>
      <c r="HZN1" s="536"/>
      <c r="HZO1" s="536"/>
      <c r="HZP1" s="536"/>
      <c r="HZQ1" s="536"/>
      <c r="HZR1" s="536"/>
      <c r="HZS1" s="536"/>
      <c r="HZT1" s="536"/>
      <c r="HZU1" s="536"/>
      <c r="HZV1" s="536"/>
      <c r="HZW1" s="536"/>
      <c r="HZX1" s="536"/>
      <c r="HZY1" s="536"/>
      <c r="HZZ1" s="536"/>
      <c r="IAA1" s="536"/>
      <c r="IAB1" s="536"/>
      <c r="IAC1" s="536"/>
      <c r="IAD1" s="536"/>
      <c r="IAE1" s="536"/>
      <c r="IAF1" s="536"/>
      <c r="IAG1" s="536"/>
      <c r="IAH1" s="536"/>
      <c r="IAI1" s="536"/>
      <c r="IAJ1" s="536"/>
      <c r="IAK1" s="536"/>
      <c r="IAL1" s="536"/>
      <c r="IAM1" s="536"/>
      <c r="IAN1" s="536"/>
      <c r="IAO1" s="536"/>
      <c r="IAP1" s="536"/>
      <c r="IAQ1" s="536"/>
      <c r="IAR1" s="536"/>
      <c r="IAS1" s="536"/>
      <c r="IAT1" s="536"/>
      <c r="IAU1" s="536"/>
      <c r="IAV1" s="536"/>
      <c r="IAW1" s="536"/>
      <c r="IAX1" s="536"/>
      <c r="IAY1" s="536"/>
      <c r="IAZ1" s="536"/>
      <c r="IBA1" s="536"/>
      <c r="IBB1" s="536"/>
      <c r="IBC1" s="536"/>
      <c r="IBD1" s="536"/>
      <c r="IBE1" s="536"/>
      <c r="IBF1" s="536"/>
      <c r="IBG1" s="536"/>
      <c r="IBH1" s="536"/>
      <c r="IBI1" s="536"/>
      <c r="IBJ1" s="536"/>
      <c r="IBK1" s="536"/>
      <c r="IBL1" s="536"/>
      <c r="IBM1" s="536"/>
      <c r="IBN1" s="536"/>
      <c r="IBO1" s="536"/>
      <c r="IBP1" s="536"/>
      <c r="IBQ1" s="536"/>
      <c r="IBR1" s="536"/>
      <c r="IBS1" s="536"/>
      <c r="IBT1" s="536"/>
      <c r="IBU1" s="536"/>
      <c r="IBV1" s="536"/>
      <c r="IBW1" s="536"/>
      <c r="IBX1" s="536"/>
      <c r="IBY1" s="536"/>
      <c r="IBZ1" s="536"/>
      <c r="ICA1" s="536"/>
      <c r="ICB1" s="536"/>
      <c r="ICC1" s="536"/>
      <c r="ICD1" s="536"/>
      <c r="ICE1" s="536"/>
      <c r="ICF1" s="536"/>
      <c r="ICG1" s="536"/>
      <c r="ICH1" s="536"/>
      <c r="ICI1" s="536"/>
      <c r="ICJ1" s="536"/>
      <c r="ICK1" s="536"/>
      <c r="ICL1" s="536"/>
      <c r="ICM1" s="536"/>
      <c r="ICN1" s="536"/>
      <c r="ICO1" s="536"/>
      <c r="ICP1" s="536"/>
      <c r="ICQ1" s="536"/>
      <c r="ICR1" s="536"/>
      <c r="ICS1" s="536"/>
      <c r="ICT1" s="536"/>
      <c r="ICU1" s="536"/>
      <c r="ICV1" s="536"/>
      <c r="ICW1" s="536"/>
      <c r="ICX1" s="536"/>
      <c r="ICY1" s="536"/>
      <c r="ICZ1" s="536"/>
      <c r="IDA1" s="536"/>
      <c r="IDB1" s="536"/>
      <c r="IDC1" s="536"/>
      <c r="IDD1" s="536"/>
      <c r="IDE1" s="536"/>
      <c r="IDF1" s="536"/>
      <c r="IDG1" s="536"/>
      <c r="IDH1" s="536"/>
      <c r="IDI1" s="536"/>
      <c r="IDJ1" s="536"/>
      <c r="IDK1" s="536"/>
      <c r="IDL1" s="536"/>
      <c r="IDM1" s="536"/>
      <c r="IDN1" s="536"/>
      <c r="IDO1" s="536"/>
      <c r="IDP1" s="536"/>
      <c r="IDQ1" s="536"/>
      <c r="IDR1" s="536"/>
      <c r="IDS1" s="536"/>
      <c r="IDT1" s="536"/>
      <c r="IDU1" s="536"/>
      <c r="IDV1" s="536"/>
      <c r="IDW1" s="536"/>
      <c r="IDX1" s="536"/>
      <c r="IDY1" s="536"/>
      <c r="IDZ1" s="536"/>
      <c r="IEA1" s="536"/>
      <c r="IEB1" s="536"/>
      <c r="IEC1" s="536"/>
      <c r="IED1" s="536"/>
      <c r="IEE1" s="536"/>
      <c r="IEF1" s="536"/>
      <c r="IEG1" s="536"/>
      <c r="IEH1" s="536"/>
      <c r="IEI1" s="536"/>
      <c r="IEJ1" s="536"/>
      <c r="IEK1" s="536"/>
      <c r="IEL1" s="536"/>
      <c r="IEM1" s="536"/>
      <c r="IEN1" s="536"/>
      <c r="IEO1" s="536"/>
      <c r="IEP1" s="536"/>
      <c r="IEQ1" s="536"/>
      <c r="IER1" s="536"/>
      <c r="IES1" s="536"/>
      <c r="IET1" s="536"/>
      <c r="IEU1" s="536"/>
      <c r="IEV1" s="536"/>
      <c r="IEW1" s="536"/>
      <c r="IEX1" s="536"/>
      <c r="IEY1" s="536"/>
      <c r="IEZ1" s="536"/>
      <c r="IFA1" s="536"/>
      <c r="IFB1" s="536"/>
      <c r="IFC1" s="536"/>
      <c r="IFD1" s="536"/>
      <c r="IFE1" s="536"/>
      <c r="IFF1" s="536"/>
      <c r="IFG1" s="536"/>
      <c r="IFH1" s="536"/>
      <c r="IFI1" s="536"/>
      <c r="IFJ1" s="536"/>
      <c r="IFK1" s="536"/>
      <c r="IFL1" s="536"/>
      <c r="IFM1" s="536"/>
      <c r="IFN1" s="536"/>
      <c r="IFO1" s="536"/>
      <c r="IFP1" s="536"/>
      <c r="IFQ1" s="536"/>
      <c r="IFR1" s="536"/>
      <c r="IFS1" s="536"/>
      <c r="IFT1" s="536"/>
      <c r="IFU1" s="536"/>
      <c r="IFV1" s="536"/>
      <c r="IFW1" s="536"/>
      <c r="IFX1" s="536"/>
      <c r="IFY1" s="536"/>
      <c r="IFZ1" s="536"/>
      <c r="IGA1" s="536"/>
      <c r="IGB1" s="536"/>
      <c r="IGC1" s="536"/>
      <c r="IGD1" s="536"/>
      <c r="IGE1" s="536"/>
      <c r="IGF1" s="536"/>
      <c r="IGG1" s="536"/>
      <c r="IGH1" s="536"/>
      <c r="IGI1" s="536"/>
      <c r="IGJ1" s="536"/>
      <c r="IGK1" s="536"/>
      <c r="IGL1" s="536"/>
      <c r="IGM1" s="536"/>
      <c r="IGN1" s="536"/>
      <c r="IGO1" s="536"/>
      <c r="IGP1" s="536"/>
      <c r="IGQ1" s="536"/>
      <c r="IGR1" s="536"/>
      <c r="IGS1" s="536"/>
      <c r="IGT1" s="536"/>
      <c r="IGU1" s="536"/>
      <c r="IGV1" s="536"/>
      <c r="IGW1" s="536"/>
      <c r="IGX1" s="536"/>
      <c r="IGY1" s="536"/>
      <c r="IGZ1" s="536"/>
      <c r="IHA1" s="536"/>
      <c r="IHB1" s="536"/>
      <c r="IHC1" s="536"/>
      <c r="IHD1" s="536"/>
      <c r="IHE1" s="536"/>
      <c r="IHF1" s="536"/>
      <c r="IHG1" s="536"/>
      <c r="IHH1" s="536"/>
      <c r="IHI1" s="536"/>
      <c r="IHJ1" s="536"/>
      <c r="IHK1" s="536"/>
      <c r="IHL1" s="536"/>
      <c r="IHM1" s="536"/>
      <c r="IHN1" s="536"/>
      <c r="IHO1" s="536"/>
      <c r="IHP1" s="536"/>
      <c r="IHQ1" s="536"/>
      <c r="IHR1" s="536"/>
      <c r="IHS1" s="536"/>
      <c r="IHT1" s="536"/>
      <c r="IHU1" s="536"/>
      <c r="IHV1" s="536"/>
      <c r="IHW1" s="536"/>
      <c r="IHX1" s="536"/>
      <c r="IHY1" s="536"/>
      <c r="IHZ1" s="536"/>
      <c r="IIA1" s="536"/>
      <c r="IIB1" s="536"/>
      <c r="IIC1" s="536"/>
      <c r="IID1" s="536"/>
      <c r="IIE1" s="536"/>
      <c r="IIF1" s="536"/>
      <c r="IIG1" s="536"/>
      <c r="IIH1" s="536"/>
      <c r="III1" s="536"/>
      <c r="IIJ1" s="536"/>
      <c r="IIK1" s="536"/>
      <c r="IIL1" s="536"/>
      <c r="IIM1" s="536"/>
      <c r="IIN1" s="536"/>
      <c r="IIO1" s="536"/>
      <c r="IIP1" s="536"/>
      <c r="IIQ1" s="536"/>
      <c r="IIR1" s="536"/>
      <c r="IIS1" s="536"/>
      <c r="IIT1" s="536"/>
      <c r="IIU1" s="536"/>
      <c r="IIV1" s="536"/>
      <c r="IIW1" s="536"/>
      <c r="IIX1" s="536"/>
      <c r="IIY1" s="536"/>
      <c r="IIZ1" s="536"/>
      <c r="IJA1" s="536"/>
      <c r="IJB1" s="536"/>
      <c r="IJC1" s="536"/>
      <c r="IJD1" s="536"/>
      <c r="IJE1" s="536"/>
      <c r="IJF1" s="536"/>
      <c r="IJG1" s="536"/>
      <c r="IJH1" s="536"/>
      <c r="IJI1" s="536"/>
      <c r="IJJ1" s="536"/>
      <c r="IJK1" s="536"/>
      <c r="IJL1" s="536"/>
      <c r="IJM1" s="536"/>
      <c r="IJN1" s="536"/>
      <c r="IJO1" s="536"/>
      <c r="IJP1" s="536"/>
      <c r="IJQ1" s="536"/>
      <c r="IJR1" s="536"/>
      <c r="IJS1" s="536"/>
      <c r="IJT1" s="536"/>
      <c r="IJU1" s="536"/>
      <c r="IJV1" s="536"/>
      <c r="IJW1" s="536"/>
      <c r="IJX1" s="536"/>
      <c r="IJY1" s="536"/>
      <c r="IJZ1" s="536"/>
      <c r="IKA1" s="536"/>
      <c r="IKB1" s="536"/>
      <c r="IKC1" s="536"/>
      <c r="IKD1" s="536"/>
      <c r="IKE1" s="536"/>
      <c r="IKF1" s="536"/>
      <c r="IKG1" s="536"/>
      <c r="IKH1" s="536"/>
      <c r="IKI1" s="536"/>
      <c r="IKJ1" s="536"/>
      <c r="IKK1" s="536"/>
      <c r="IKL1" s="536"/>
      <c r="IKM1" s="536"/>
      <c r="IKN1" s="536"/>
      <c r="IKO1" s="536"/>
      <c r="IKP1" s="536"/>
      <c r="IKQ1" s="536"/>
      <c r="IKR1" s="536"/>
      <c r="IKS1" s="536"/>
      <c r="IKT1" s="536"/>
      <c r="IKU1" s="536"/>
      <c r="IKV1" s="536"/>
      <c r="IKW1" s="536"/>
      <c r="IKX1" s="536"/>
      <c r="IKY1" s="536"/>
      <c r="IKZ1" s="536"/>
      <c r="ILA1" s="536"/>
      <c r="ILB1" s="536"/>
      <c r="ILC1" s="536"/>
      <c r="ILD1" s="536"/>
      <c r="ILE1" s="536"/>
      <c r="ILF1" s="536"/>
      <c r="ILG1" s="536"/>
      <c r="ILH1" s="536"/>
      <c r="ILI1" s="536"/>
      <c r="ILJ1" s="536"/>
      <c r="ILK1" s="536"/>
      <c r="ILL1" s="536"/>
      <c r="ILM1" s="536"/>
      <c r="ILN1" s="536"/>
      <c r="ILO1" s="536"/>
      <c r="ILP1" s="536"/>
      <c r="ILQ1" s="536"/>
      <c r="ILR1" s="536"/>
      <c r="ILS1" s="536"/>
      <c r="ILT1" s="536"/>
      <c r="ILU1" s="536"/>
      <c r="ILV1" s="536"/>
      <c r="ILW1" s="536"/>
      <c r="ILX1" s="536"/>
      <c r="ILY1" s="536"/>
      <c r="ILZ1" s="536"/>
      <c r="IMA1" s="536"/>
      <c r="IMB1" s="536"/>
      <c r="IMC1" s="536"/>
      <c r="IMD1" s="536"/>
      <c r="IME1" s="536"/>
      <c r="IMF1" s="536"/>
      <c r="IMG1" s="536"/>
      <c r="IMH1" s="536"/>
      <c r="IMI1" s="536"/>
      <c r="IMJ1" s="536"/>
      <c r="IMK1" s="536"/>
      <c r="IML1" s="536"/>
      <c r="IMM1" s="536"/>
      <c r="IMN1" s="536"/>
      <c r="IMO1" s="536"/>
      <c r="IMP1" s="536"/>
      <c r="IMQ1" s="536"/>
      <c r="IMR1" s="536"/>
      <c r="IMS1" s="536"/>
      <c r="IMT1" s="536"/>
      <c r="IMU1" s="536"/>
      <c r="IMV1" s="536"/>
      <c r="IMW1" s="536"/>
      <c r="IMX1" s="536"/>
      <c r="IMY1" s="536"/>
      <c r="IMZ1" s="536"/>
      <c r="INA1" s="536"/>
      <c r="INB1" s="536"/>
      <c r="INC1" s="536"/>
      <c r="IND1" s="536"/>
      <c r="INE1" s="536"/>
      <c r="INF1" s="536"/>
      <c r="ING1" s="536"/>
      <c r="INH1" s="536"/>
      <c r="INI1" s="536"/>
      <c r="INJ1" s="536"/>
      <c r="INK1" s="536"/>
      <c r="INL1" s="536"/>
      <c r="INM1" s="536"/>
      <c r="INN1" s="536"/>
      <c r="INO1" s="536"/>
      <c r="INP1" s="536"/>
      <c r="INQ1" s="536"/>
      <c r="INR1" s="536"/>
      <c r="INS1" s="536"/>
      <c r="INT1" s="536"/>
      <c r="INU1" s="536"/>
      <c r="INV1" s="536"/>
      <c r="INW1" s="536"/>
      <c r="INX1" s="536"/>
      <c r="INY1" s="536"/>
      <c r="INZ1" s="536"/>
      <c r="IOA1" s="536"/>
      <c r="IOB1" s="536"/>
      <c r="IOC1" s="536"/>
      <c r="IOD1" s="536"/>
      <c r="IOE1" s="536"/>
      <c r="IOF1" s="536"/>
      <c r="IOG1" s="536"/>
      <c r="IOH1" s="536"/>
      <c r="IOI1" s="536"/>
      <c r="IOJ1" s="536"/>
      <c r="IOK1" s="536"/>
      <c r="IOL1" s="536"/>
      <c r="IOM1" s="536"/>
      <c r="ION1" s="536"/>
      <c r="IOO1" s="536"/>
      <c r="IOP1" s="536"/>
      <c r="IOQ1" s="536"/>
      <c r="IOR1" s="536"/>
      <c r="IOS1" s="536"/>
      <c r="IOT1" s="536"/>
      <c r="IOU1" s="536"/>
      <c r="IOV1" s="536"/>
      <c r="IOW1" s="536"/>
      <c r="IOX1" s="536"/>
      <c r="IOY1" s="536"/>
      <c r="IOZ1" s="536"/>
      <c r="IPA1" s="536"/>
      <c r="IPB1" s="536"/>
      <c r="IPC1" s="536"/>
      <c r="IPD1" s="536"/>
      <c r="IPE1" s="536"/>
      <c r="IPF1" s="536"/>
      <c r="IPG1" s="536"/>
      <c r="IPH1" s="536"/>
      <c r="IPI1" s="536"/>
      <c r="IPJ1" s="536"/>
      <c r="IPK1" s="536"/>
      <c r="IPL1" s="536"/>
      <c r="IPM1" s="536"/>
      <c r="IPN1" s="536"/>
      <c r="IPO1" s="536"/>
      <c r="IPP1" s="536"/>
      <c r="IPQ1" s="536"/>
      <c r="IPR1" s="536"/>
      <c r="IPS1" s="536"/>
      <c r="IPT1" s="536"/>
      <c r="IPU1" s="536"/>
      <c r="IPV1" s="536"/>
      <c r="IPW1" s="536"/>
      <c r="IPX1" s="536"/>
      <c r="IPY1" s="536"/>
      <c r="IPZ1" s="536"/>
      <c r="IQA1" s="536"/>
      <c r="IQB1" s="536"/>
      <c r="IQC1" s="536"/>
      <c r="IQD1" s="536"/>
      <c r="IQE1" s="536"/>
      <c r="IQF1" s="536"/>
      <c r="IQG1" s="536"/>
      <c r="IQH1" s="536"/>
      <c r="IQI1" s="536"/>
      <c r="IQJ1" s="536"/>
      <c r="IQK1" s="536"/>
      <c r="IQL1" s="536"/>
      <c r="IQM1" s="536"/>
      <c r="IQN1" s="536"/>
      <c r="IQO1" s="536"/>
      <c r="IQP1" s="536"/>
      <c r="IQQ1" s="536"/>
      <c r="IQR1" s="536"/>
      <c r="IQS1" s="536"/>
      <c r="IQT1" s="536"/>
      <c r="IQU1" s="536"/>
      <c r="IQV1" s="536"/>
      <c r="IQW1" s="536"/>
      <c r="IQX1" s="536"/>
      <c r="IQY1" s="536"/>
      <c r="IQZ1" s="536"/>
      <c r="IRA1" s="536"/>
      <c r="IRB1" s="536"/>
      <c r="IRC1" s="536"/>
      <c r="IRD1" s="536"/>
      <c r="IRE1" s="536"/>
      <c r="IRF1" s="536"/>
      <c r="IRG1" s="536"/>
      <c r="IRH1" s="536"/>
      <c r="IRI1" s="536"/>
      <c r="IRJ1" s="536"/>
      <c r="IRK1" s="536"/>
      <c r="IRL1" s="536"/>
      <c r="IRM1" s="536"/>
      <c r="IRN1" s="536"/>
      <c r="IRO1" s="536"/>
      <c r="IRP1" s="536"/>
      <c r="IRQ1" s="536"/>
      <c r="IRR1" s="536"/>
      <c r="IRS1" s="536"/>
      <c r="IRT1" s="536"/>
      <c r="IRU1" s="536"/>
      <c r="IRV1" s="536"/>
      <c r="IRW1" s="536"/>
      <c r="IRX1" s="536"/>
      <c r="IRY1" s="536"/>
      <c r="IRZ1" s="536"/>
      <c r="ISA1" s="536"/>
      <c r="ISB1" s="536"/>
      <c r="ISC1" s="536"/>
      <c r="ISD1" s="536"/>
      <c r="ISE1" s="536"/>
      <c r="ISF1" s="536"/>
      <c r="ISG1" s="536"/>
      <c r="ISH1" s="536"/>
      <c r="ISI1" s="536"/>
      <c r="ISJ1" s="536"/>
      <c r="ISK1" s="536"/>
      <c r="ISL1" s="536"/>
      <c r="ISM1" s="536"/>
      <c r="ISN1" s="536"/>
      <c r="ISO1" s="536"/>
      <c r="ISP1" s="536"/>
      <c r="ISQ1" s="536"/>
      <c r="ISR1" s="536"/>
      <c r="ISS1" s="536"/>
      <c r="IST1" s="536"/>
      <c r="ISU1" s="536"/>
      <c r="ISV1" s="536"/>
      <c r="ISW1" s="536"/>
      <c r="ISX1" s="536"/>
      <c r="ISY1" s="536"/>
      <c r="ISZ1" s="536"/>
      <c r="ITA1" s="536"/>
      <c r="ITB1" s="536"/>
      <c r="ITC1" s="536"/>
      <c r="ITD1" s="536"/>
      <c r="ITE1" s="536"/>
      <c r="ITF1" s="536"/>
      <c r="ITG1" s="536"/>
      <c r="ITH1" s="536"/>
      <c r="ITI1" s="536"/>
      <c r="ITJ1" s="536"/>
      <c r="ITK1" s="536"/>
      <c r="ITL1" s="536"/>
      <c r="ITM1" s="536"/>
      <c r="ITN1" s="536"/>
      <c r="ITO1" s="536"/>
      <c r="ITP1" s="536"/>
      <c r="ITQ1" s="536"/>
      <c r="ITR1" s="536"/>
      <c r="ITS1" s="536"/>
      <c r="ITT1" s="536"/>
      <c r="ITU1" s="536"/>
      <c r="ITV1" s="536"/>
      <c r="ITW1" s="536"/>
      <c r="ITX1" s="536"/>
      <c r="ITY1" s="536"/>
      <c r="ITZ1" s="536"/>
      <c r="IUA1" s="536"/>
      <c r="IUB1" s="536"/>
      <c r="IUC1" s="536"/>
      <c r="IUD1" s="536"/>
      <c r="IUE1" s="536"/>
      <c r="IUF1" s="536"/>
      <c r="IUG1" s="536"/>
      <c r="IUH1" s="536"/>
      <c r="IUI1" s="536"/>
      <c r="IUJ1" s="536"/>
      <c r="IUK1" s="536"/>
      <c r="IUL1" s="536"/>
      <c r="IUM1" s="536"/>
      <c r="IUN1" s="536"/>
      <c r="IUO1" s="536"/>
      <c r="IUP1" s="536"/>
      <c r="IUQ1" s="536"/>
      <c r="IUR1" s="536"/>
      <c r="IUS1" s="536"/>
      <c r="IUT1" s="536"/>
      <c r="IUU1" s="536"/>
      <c r="IUV1" s="536"/>
      <c r="IUW1" s="536"/>
      <c r="IUX1" s="536"/>
      <c r="IUY1" s="536"/>
      <c r="IUZ1" s="536"/>
      <c r="IVA1" s="536"/>
      <c r="IVB1" s="536"/>
      <c r="IVC1" s="536"/>
      <c r="IVD1" s="536"/>
      <c r="IVE1" s="536"/>
      <c r="IVF1" s="536"/>
      <c r="IVG1" s="536"/>
      <c r="IVH1" s="536"/>
      <c r="IVI1" s="536"/>
      <c r="IVJ1" s="536"/>
      <c r="IVK1" s="536"/>
      <c r="IVL1" s="536"/>
      <c r="IVM1" s="536"/>
      <c r="IVN1" s="536"/>
      <c r="IVO1" s="536"/>
      <c r="IVP1" s="536"/>
      <c r="IVQ1" s="536"/>
      <c r="IVR1" s="536"/>
      <c r="IVS1" s="536"/>
      <c r="IVT1" s="536"/>
      <c r="IVU1" s="536"/>
      <c r="IVV1" s="536"/>
      <c r="IVW1" s="536"/>
      <c r="IVX1" s="536"/>
      <c r="IVY1" s="536"/>
      <c r="IVZ1" s="536"/>
      <c r="IWA1" s="536"/>
      <c r="IWB1" s="536"/>
      <c r="IWC1" s="536"/>
      <c r="IWD1" s="536"/>
      <c r="IWE1" s="536"/>
      <c r="IWF1" s="536"/>
      <c r="IWG1" s="536"/>
      <c r="IWH1" s="536"/>
      <c r="IWI1" s="536"/>
      <c r="IWJ1" s="536"/>
      <c r="IWK1" s="536"/>
      <c r="IWL1" s="536"/>
      <c r="IWM1" s="536"/>
      <c r="IWN1" s="536"/>
      <c r="IWO1" s="536"/>
      <c r="IWP1" s="536"/>
      <c r="IWQ1" s="536"/>
      <c r="IWR1" s="536"/>
      <c r="IWS1" s="536"/>
      <c r="IWT1" s="536"/>
      <c r="IWU1" s="536"/>
      <c r="IWV1" s="536"/>
      <c r="IWW1" s="536"/>
      <c r="IWX1" s="536"/>
      <c r="IWY1" s="536"/>
      <c r="IWZ1" s="536"/>
      <c r="IXA1" s="536"/>
      <c r="IXB1" s="536"/>
      <c r="IXC1" s="536"/>
      <c r="IXD1" s="536"/>
      <c r="IXE1" s="536"/>
      <c r="IXF1" s="536"/>
      <c r="IXG1" s="536"/>
      <c r="IXH1" s="536"/>
      <c r="IXI1" s="536"/>
      <c r="IXJ1" s="536"/>
      <c r="IXK1" s="536"/>
      <c r="IXL1" s="536"/>
      <c r="IXM1" s="536"/>
      <c r="IXN1" s="536"/>
      <c r="IXO1" s="536"/>
      <c r="IXP1" s="536"/>
      <c r="IXQ1" s="536"/>
      <c r="IXR1" s="536"/>
      <c r="IXS1" s="536"/>
      <c r="IXT1" s="536"/>
      <c r="IXU1" s="536"/>
      <c r="IXV1" s="536"/>
      <c r="IXW1" s="536"/>
      <c r="IXX1" s="536"/>
      <c r="IXY1" s="536"/>
      <c r="IXZ1" s="536"/>
      <c r="IYA1" s="536"/>
      <c r="IYB1" s="536"/>
      <c r="IYC1" s="536"/>
      <c r="IYD1" s="536"/>
      <c r="IYE1" s="536"/>
      <c r="IYF1" s="536"/>
      <c r="IYG1" s="536"/>
      <c r="IYH1" s="536"/>
      <c r="IYI1" s="536"/>
      <c r="IYJ1" s="536"/>
      <c r="IYK1" s="536"/>
      <c r="IYL1" s="536"/>
      <c r="IYM1" s="536"/>
      <c r="IYN1" s="536"/>
      <c r="IYO1" s="536"/>
      <c r="IYP1" s="536"/>
      <c r="IYQ1" s="536"/>
      <c r="IYR1" s="536"/>
      <c r="IYS1" s="536"/>
      <c r="IYT1" s="536"/>
      <c r="IYU1" s="536"/>
      <c r="IYV1" s="536"/>
      <c r="IYW1" s="536"/>
      <c r="IYX1" s="536"/>
      <c r="IYY1" s="536"/>
      <c r="IYZ1" s="536"/>
      <c r="IZA1" s="536"/>
      <c r="IZB1" s="536"/>
      <c r="IZC1" s="536"/>
      <c r="IZD1" s="536"/>
      <c r="IZE1" s="536"/>
      <c r="IZF1" s="536"/>
      <c r="IZG1" s="536"/>
      <c r="IZH1" s="536"/>
      <c r="IZI1" s="536"/>
      <c r="IZJ1" s="536"/>
      <c r="IZK1" s="536"/>
      <c r="IZL1" s="536"/>
      <c r="IZM1" s="536"/>
      <c r="IZN1" s="536"/>
      <c r="IZO1" s="536"/>
      <c r="IZP1" s="536"/>
      <c r="IZQ1" s="536"/>
      <c r="IZR1" s="536"/>
      <c r="IZS1" s="536"/>
      <c r="IZT1" s="536"/>
      <c r="IZU1" s="536"/>
      <c r="IZV1" s="536"/>
      <c r="IZW1" s="536"/>
      <c r="IZX1" s="536"/>
      <c r="IZY1" s="536"/>
      <c r="IZZ1" s="536"/>
      <c r="JAA1" s="536"/>
      <c r="JAB1" s="536"/>
      <c r="JAC1" s="536"/>
      <c r="JAD1" s="536"/>
      <c r="JAE1" s="536"/>
      <c r="JAF1" s="536"/>
      <c r="JAG1" s="536"/>
      <c r="JAH1" s="536"/>
      <c r="JAI1" s="536"/>
      <c r="JAJ1" s="536"/>
      <c r="JAK1" s="536"/>
      <c r="JAL1" s="536"/>
      <c r="JAM1" s="536"/>
      <c r="JAN1" s="536"/>
      <c r="JAO1" s="536"/>
      <c r="JAP1" s="536"/>
      <c r="JAQ1" s="536"/>
      <c r="JAR1" s="536"/>
      <c r="JAS1" s="536"/>
      <c r="JAT1" s="536"/>
      <c r="JAU1" s="536"/>
      <c r="JAV1" s="536"/>
      <c r="JAW1" s="536"/>
      <c r="JAX1" s="536"/>
      <c r="JAY1" s="536"/>
      <c r="JAZ1" s="536"/>
      <c r="JBA1" s="536"/>
      <c r="JBB1" s="536"/>
      <c r="JBC1" s="536"/>
      <c r="JBD1" s="536"/>
      <c r="JBE1" s="536"/>
      <c r="JBF1" s="536"/>
      <c r="JBG1" s="536"/>
      <c r="JBH1" s="536"/>
      <c r="JBI1" s="536"/>
      <c r="JBJ1" s="536"/>
      <c r="JBK1" s="536"/>
      <c r="JBL1" s="536"/>
      <c r="JBM1" s="536"/>
      <c r="JBN1" s="536"/>
      <c r="JBO1" s="536"/>
      <c r="JBP1" s="536"/>
      <c r="JBQ1" s="536"/>
      <c r="JBR1" s="536"/>
      <c r="JBS1" s="536"/>
      <c r="JBT1" s="536"/>
      <c r="JBU1" s="536"/>
      <c r="JBV1" s="536"/>
      <c r="JBW1" s="536"/>
      <c r="JBX1" s="536"/>
      <c r="JBY1" s="536"/>
      <c r="JBZ1" s="536"/>
      <c r="JCA1" s="536"/>
      <c r="JCB1" s="536"/>
      <c r="JCC1" s="536"/>
      <c r="JCD1" s="536"/>
      <c r="JCE1" s="536"/>
      <c r="JCF1" s="536"/>
      <c r="JCG1" s="536"/>
      <c r="JCH1" s="536"/>
      <c r="JCI1" s="536"/>
      <c r="JCJ1" s="536"/>
      <c r="JCK1" s="536"/>
      <c r="JCL1" s="536"/>
      <c r="JCM1" s="536"/>
      <c r="JCN1" s="536"/>
      <c r="JCO1" s="536"/>
      <c r="JCP1" s="536"/>
      <c r="JCQ1" s="536"/>
      <c r="JCR1" s="536"/>
      <c r="JCS1" s="536"/>
      <c r="JCT1" s="536"/>
      <c r="JCU1" s="536"/>
      <c r="JCV1" s="536"/>
      <c r="JCW1" s="536"/>
      <c r="JCX1" s="536"/>
      <c r="JCY1" s="536"/>
      <c r="JCZ1" s="536"/>
      <c r="JDA1" s="536"/>
      <c r="JDB1" s="536"/>
      <c r="JDC1" s="536"/>
      <c r="JDD1" s="536"/>
      <c r="JDE1" s="536"/>
      <c r="JDF1" s="536"/>
      <c r="JDG1" s="536"/>
      <c r="JDH1" s="536"/>
      <c r="JDI1" s="536"/>
      <c r="JDJ1" s="536"/>
      <c r="JDK1" s="536"/>
      <c r="JDL1" s="536"/>
      <c r="JDM1" s="536"/>
      <c r="JDN1" s="536"/>
      <c r="JDO1" s="536"/>
      <c r="JDP1" s="536"/>
      <c r="JDQ1" s="536"/>
      <c r="JDR1" s="536"/>
      <c r="JDS1" s="536"/>
      <c r="JDT1" s="536"/>
      <c r="JDU1" s="536"/>
      <c r="JDV1" s="536"/>
      <c r="JDW1" s="536"/>
      <c r="JDX1" s="536"/>
      <c r="JDY1" s="536"/>
      <c r="JDZ1" s="536"/>
      <c r="JEA1" s="536"/>
      <c r="JEB1" s="536"/>
      <c r="JEC1" s="536"/>
      <c r="JED1" s="536"/>
      <c r="JEE1" s="536"/>
      <c r="JEF1" s="536"/>
      <c r="JEG1" s="536"/>
      <c r="JEH1" s="536"/>
      <c r="JEI1" s="536"/>
      <c r="JEJ1" s="536"/>
      <c r="JEK1" s="536"/>
      <c r="JEL1" s="536"/>
      <c r="JEM1" s="536"/>
      <c r="JEN1" s="536"/>
      <c r="JEO1" s="536"/>
      <c r="JEP1" s="536"/>
      <c r="JEQ1" s="536"/>
      <c r="JER1" s="536"/>
      <c r="JES1" s="536"/>
      <c r="JET1" s="536"/>
      <c r="JEU1" s="536"/>
      <c r="JEV1" s="536"/>
      <c r="JEW1" s="536"/>
      <c r="JEX1" s="536"/>
      <c r="JEY1" s="536"/>
      <c r="JEZ1" s="536"/>
      <c r="JFA1" s="536"/>
      <c r="JFB1" s="536"/>
      <c r="JFC1" s="536"/>
      <c r="JFD1" s="536"/>
      <c r="JFE1" s="536"/>
      <c r="JFF1" s="536"/>
      <c r="JFG1" s="536"/>
      <c r="JFH1" s="536"/>
      <c r="JFI1" s="536"/>
      <c r="JFJ1" s="536"/>
      <c r="JFK1" s="536"/>
      <c r="JFL1" s="536"/>
      <c r="JFM1" s="536"/>
      <c r="JFN1" s="536"/>
      <c r="JFO1" s="536"/>
      <c r="JFP1" s="536"/>
      <c r="JFQ1" s="536"/>
      <c r="JFR1" s="536"/>
      <c r="JFS1" s="536"/>
      <c r="JFT1" s="536"/>
      <c r="JFU1" s="536"/>
      <c r="JFV1" s="536"/>
      <c r="JFW1" s="536"/>
      <c r="JFX1" s="536"/>
      <c r="JFY1" s="536"/>
      <c r="JFZ1" s="536"/>
      <c r="JGA1" s="536"/>
      <c r="JGB1" s="536"/>
      <c r="JGC1" s="536"/>
      <c r="JGD1" s="536"/>
      <c r="JGE1" s="536"/>
      <c r="JGF1" s="536"/>
      <c r="JGG1" s="536"/>
      <c r="JGH1" s="536"/>
      <c r="JGI1" s="536"/>
      <c r="JGJ1" s="536"/>
      <c r="JGK1" s="536"/>
      <c r="JGL1" s="536"/>
      <c r="JGM1" s="536"/>
      <c r="JGN1" s="536"/>
      <c r="JGO1" s="536"/>
      <c r="JGP1" s="536"/>
      <c r="JGQ1" s="536"/>
      <c r="JGR1" s="536"/>
      <c r="JGS1" s="536"/>
      <c r="JGT1" s="536"/>
      <c r="JGU1" s="536"/>
      <c r="JGV1" s="536"/>
      <c r="JGW1" s="536"/>
      <c r="JGX1" s="536"/>
      <c r="JGY1" s="536"/>
      <c r="JGZ1" s="536"/>
      <c r="JHA1" s="536"/>
      <c r="JHB1" s="536"/>
      <c r="JHC1" s="536"/>
      <c r="JHD1" s="536"/>
      <c r="JHE1" s="536"/>
      <c r="JHF1" s="536"/>
      <c r="JHG1" s="536"/>
      <c r="JHH1" s="536"/>
      <c r="JHI1" s="536"/>
      <c r="JHJ1" s="536"/>
      <c r="JHK1" s="536"/>
      <c r="JHL1" s="536"/>
      <c r="JHM1" s="536"/>
      <c r="JHN1" s="536"/>
      <c r="JHO1" s="536"/>
      <c r="JHP1" s="536"/>
      <c r="JHQ1" s="536"/>
      <c r="JHR1" s="536"/>
      <c r="JHS1" s="536"/>
      <c r="JHT1" s="536"/>
      <c r="JHU1" s="536"/>
      <c r="JHV1" s="536"/>
      <c r="JHW1" s="536"/>
      <c r="JHX1" s="536"/>
      <c r="JHY1" s="536"/>
      <c r="JHZ1" s="536"/>
      <c r="JIA1" s="536"/>
      <c r="JIB1" s="536"/>
      <c r="JIC1" s="536"/>
      <c r="JID1" s="536"/>
      <c r="JIE1" s="536"/>
      <c r="JIF1" s="536"/>
      <c r="JIG1" s="536"/>
      <c r="JIH1" s="536"/>
      <c r="JII1" s="536"/>
      <c r="JIJ1" s="536"/>
      <c r="JIK1" s="536"/>
      <c r="JIL1" s="536"/>
      <c r="JIM1" s="536"/>
      <c r="JIN1" s="536"/>
      <c r="JIO1" s="536"/>
      <c r="JIP1" s="536"/>
      <c r="JIQ1" s="536"/>
      <c r="JIR1" s="536"/>
      <c r="JIS1" s="536"/>
      <c r="JIT1" s="536"/>
      <c r="JIU1" s="536"/>
      <c r="JIV1" s="536"/>
      <c r="JIW1" s="536"/>
      <c r="JIX1" s="536"/>
      <c r="JIY1" s="536"/>
      <c r="JIZ1" s="536"/>
      <c r="JJA1" s="536"/>
      <c r="JJB1" s="536"/>
      <c r="JJC1" s="536"/>
      <c r="JJD1" s="536"/>
      <c r="JJE1" s="536"/>
      <c r="JJF1" s="536"/>
      <c r="JJG1" s="536"/>
      <c r="JJH1" s="536"/>
      <c r="JJI1" s="536"/>
      <c r="JJJ1" s="536"/>
      <c r="JJK1" s="536"/>
      <c r="JJL1" s="536"/>
      <c r="JJM1" s="536"/>
      <c r="JJN1" s="536"/>
      <c r="JJO1" s="536"/>
      <c r="JJP1" s="536"/>
      <c r="JJQ1" s="536"/>
      <c r="JJR1" s="536"/>
      <c r="JJS1" s="536"/>
      <c r="JJT1" s="536"/>
      <c r="JJU1" s="536"/>
      <c r="JJV1" s="536"/>
      <c r="JJW1" s="536"/>
      <c r="JJX1" s="536"/>
      <c r="JJY1" s="536"/>
      <c r="JJZ1" s="536"/>
      <c r="JKA1" s="536"/>
      <c r="JKB1" s="536"/>
      <c r="JKC1" s="536"/>
      <c r="JKD1" s="536"/>
      <c r="JKE1" s="536"/>
      <c r="JKF1" s="536"/>
      <c r="JKG1" s="536"/>
      <c r="JKH1" s="536"/>
      <c r="JKI1" s="536"/>
      <c r="JKJ1" s="536"/>
      <c r="JKK1" s="536"/>
      <c r="JKL1" s="536"/>
      <c r="JKM1" s="536"/>
      <c r="JKN1" s="536"/>
      <c r="JKO1" s="536"/>
      <c r="JKP1" s="536"/>
      <c r="JKQ1" s="536"/>
      <c r="JKR1" s="536"/>
      <c r="JKS1" s="536"/>
      <c r="JKT1" s="536"/>
      <c r="JKU1" s="536"/>
      <c r="JKV1" s="536"/>
      <c r="JKW1" s="536"/>
      <c r="JKX1" s="536"/>
      <c r="JKY1" s="536"/>
      <c r="JKZ1" s="536"/>
      <c r="JLA1" s="536"/>
      <c r="JLB1" s="536"/>
      <c r="JLC1" s="536"/>
      <c r="JLD1" s="536"/>
      <c r="JLE1" s="536"/>
      <c r="JLF1" s="536"/>
      <c r="JLG1" s="536"/>
      <c r="JLH1" s="536"/>
      <c r="JLI1" s="536"/>
      <c r="JLJ1" s="536"/>
      <c r="JLK1" s="536"/>
      <c r="JLL1" s="536"/>
      <c r="JLM1" s="536"/>
      <c r="JLN1" s="536"/>
      <c r="JLO1" s="536"/>
      <c r="JLP1" s="536"/>
      <c r="JLQ1" s="536"/>
      <c r="JLR1" s="536"/>
      <c r="JLS1" s="536"/>
      <c r="JLT1" s="536"/>
      <c r="JLU1" s="536"/>
      <c r="JLV1" s="536"/>
      <c r="JLW1" s="536"/>
      <c r="JLX1" s="536"/>
      <c r="JLY1" s="536"/>
      <c r="JLZ1" s="536"/>
      <c r="JMA1" s="536"/>
      <c r="JMB1" s="536"/>
      <c r="JMC1" s="536"/>
      <c r="JMD1" s="536"/>
      <c r="JME1" s="536"/>
      <c r="JMF1" s="536"/>
      <c r="JMG1" s="536"/>
      <c r="JMH1" s="536"/>
      <c r="JMI1" s="536"/>
      <c r="JMJ1" s="536"/>
      <c r="JMK1" s="536"/>
      <c r="JML1" s="536"/>
      <c r="JMM1" s="536"/>
      <c r="JMN1" s="536"/>
      <c r="JMO1" s="536"/>
      <c r="JMP1" s="536"/>
      <c r="JMQ1" s="536"/>
      <c r="JMR1" s="536"/>
      <c r="JMS1" s="536"/>
      <c r="JMT1" s="536"/>
      <c r="JMU1" s="536"/>
      <c r="JMV1" s="536"/>
      <c r="JMW1" s="536"/>
      <c r="JMX1" s="536"/>
      <c r="JMY1" s="536"/>
      <c r="JMZ1" s="536"/>
      <c r="JNA1" s="536"/>
      <c r="JNB1" s="536"/>
      <c r="JNC1" s="536"/>
      <c r="JND1" s="536"/>
      <c r="JNE1" s="536"/>
      <c r="JNF1" s="536"/>
      <c r="JNG1" s="536"/>
      <c r="JNH1" s="536"/>
      <c r="JNI1" s="536"/>
      <c r="JNJ1" s="536"/>
      <c r="JNK1" s="536"/>
      <c r="JNL1" s="536"/>
      <c r="JNM1" s="536"/>
      <c r="JNN1" s="536"/>
      <c r="JNO1" s="536"/>
      <c r="JNP1" s="536"/>
      <c r="JNQ1" s="536"/>
      <c r="JNR1" s="536"/>
      <c r="JNS1" s="536"/>
      <c r="JNT1" s="536"/>
      <c r="JNU1" s="536"/>
      <c r="JNV1" s="536"/>
      <c r="JNW1" s="536"/>
      <c r="JNX1" s="536"/>
      <c r="JNY1" s="536"/>
      <c r="JNZ1" s="536"/>
      <c r="JOA1" s="536"/>
      <c r="JOB1" s="536"/>
      <c r="JOC1" s="536"/>
      <c r="JOD1" s="536"/>
      <c r="JOE1" s="536"/>
      <c r="JOF1" s="536"/>
      <c r="JOG1" s="536"/>
      <c r="JOH1" s="536"/>
      <c r="JOI1" s="536"/>
      <c r="JOJ1" s="536"/>
      <c r="JOK1" s="536"/>
      <c r="JOL1" s="536"/>
      <c r="JOM1" s="536"/>
      <c r="JON1" s="536"/>
      <c r="JOO1" s="536"/>
      <c r="JOP1" s="536"/>
      <c r="JOQ1" s="536"/>
      <c r="JOR1" s="536"/>
      <c r="JOS1" s="536"/>
      <c r="JOT1" s="536"/>
      <c r="JOU1" s="536"/>
      <c r="JOV1" s="536"/>
      <c r="JOW1" s="536"/>
      <c r="JOX1" s="536"/>
      <c r="JOY1" s="536"/>
      <c r="JOZ1" s="536"/>
      <c r="JPA1" s="536"/>
      <c r="JPB1" s="536"/>
      <c r="JPC1" s="536"/>
      <c r="JPD1" s="536"/>
      <c r="JPE1" s="536"/>
      <c r="JPF1" s="536"/>
      <c r="JPG1" s="536"/>
      <c r="JPH1" s="536"/>
      <c r="JPI1" s="536"/>
      <c r="JPJ1" s="536"/>
      <c r="JPK1" s="536"/>
      <c r="JPL1" s="536"/>
      <c r="JPM1" s="536"/>
      <c r="JPN1" s="536"/>
      <c r="JPO1" s="536"/>
      <c r="JPP1" s="536"/>
      <c r="JPQ1" s="536"/>
      <c r="JPR1" s="536"/>
      <c r="JPS1" s="536"/>
      <c r="JPT1" s="536"/>
      <c r="JPU1" s="536"/>
      <c r="JPV1" s="536"/>
      <c r="JPW1" s="536"/>
      <c r="JPX1" s="536"/>
      <c r="JPY1" s="536"/>
      <c r="JPZ1" s="536"/>
      <c r="JQA1" s="536"/>
      <c r="JQB1" s="536"/>
      <c r="JQC1" s="536"/>
      <c r="JQD1" s="536"/>
      <c r="JQE1" s="536"/>
      <c r="JQF1" s="536"/>
      <c r="JQG1" s="536"/>
      <c r="JQH1" s="536"/>
      <c r="JQI1" s="536"/>
      <c r="JQJ1" s="536"/>
      <c r="JQK1" s="536"/>
      <c r="JQL1" s="536"/>
      <c r="JQM1" s="536"/>
      <c r="JQN1" s="536"/>
      <c r="JQO1" s="536"/>
      <c r="JQP1" s="536"/>
      <c r="JQQ1" s="536"/>
      <c r="JQR1" s="536"/>
      <c r="JQS1" s="536"/>
      <c r="JQT1" s="536"/>
      <c r="JQU1" s="536"/>
      <c r="JQV1" s="536"/>
      <c r="JQW1" s="536"/>
      <c r="JQX1" s="536"/>
      <c r="JQY1" s="536"/>
      <c r="JQZ1" s="536"/>
      <c r="JRA1" s="536"/>
      <c r="JRB1" s="536"/>
      <c r="JRC1" s="536"/>
      <c r="JRD1" s="536"/>
      <c r="JRE1" s="536"/>
      <c r="JRF1" s="536"/>
      <c r="JRG1" s="536"/>
      <c r="JRH1" s="536"/>
      <c r="JRI1" s="536"/>
      <c r="JRJ1" s="536"/>
      <c r="JRK1" s="536"/>
      <c r="JRL1" s="536"/>
      <c r="JRM1" s="536"/>
      <c r="JRN1" s="536"/>
      <c r="JRO1" s="536"/>
      <c r="JRP1" s="536"/>
      <c r="JRQ1" s="536"/>
      <c r="JRR1" s="536"/>
      <c r="JRS1" s="536"/>
      <c r="JRT1" s="536"/>
      <c r="JRU1" s="536"/>
      <c r="JRV1" s="536"/>
      <c r="JRW1" s="536"/>
      <c r="JRX1" s="536"/>
      <c r="JRY1" s="536"/>
      <c r="JRZ1" s="536"/>
      <c r="JSA1" s="536"/>
      <c r="JSB1" s="536"/>
      <c r="JSC1" s="536"/>
      <c r="JSD1" s="536"/>
      <c r="JSE1" s="536"/>
      <c r="JSF1" s="536"/>
      <c r="JSG1" s="536"/>
      <c r="JSH1" s="536"/>
      <c r="JSI1" s="536"/>
      <c r="JSJ1" s="536"/>
      <c r="JSK1" s="536"/>
      <c r="JSL1" s="536"/>
      <c r="JSM1" s="536"/>
      <c r="JSN1" s="536"/>
      <c r="JSO1" s="536"/>
      <c r="JSP1" s="536"/>
      <c r="JSQ1" s="536"/>
      <c r="JSR1" s="536"/>
      <c r="JSS1" s="536"/>
      <c r="JST1" s="536"/>
      <c r="JSU1" s="536"/>
      <c r="JSV1" s="536"/>
      <c r="JSW1" s="536"/>
      <c r="JSX1" s="536"/>
      <c r="JSY1" s="536"/>
      <c r="JSZ1" s="536"/>
      <c r="JTA1" s="536"/>
      <c r="JTB1" s="536"/>
      <c r="JTC1" s="536"/>
      <c r="JTD1" s="536"/>
      <c r="JTE1" s="536"/>
      <c r="JTF1" s="536"/>
      <c r="JTG1" s="536"/>
      <c r="JTH1" s="536"/>
      <c r="JTI1" s="536"/>
      <c r="JTJ1" s="536"/>
      <c r="JTK1" s="536"/>
      <c r="JTL1" s="536"/>
      <c r="JTM1" s="536"/>
      <c r="JTN1" s="536"/>
      <c r="JTO1" s="536"/>
      <c r="JTP1" s="536"/>
      <c r="JTQ1" s="536"/>
      <c r="JTR1" s="536"/>
      <c r="JTS1" s="536"/>
      <c r="JTT1" s="536"/>
      <c r="JTU1" s="536"/>
      <c r="JTV1" s="536"/>
      <c r="JTW1" s="536"/>
      <c r="JTX1" s="536"/>
      <c r="JTY1" s="536"/>
      <c r="JTZ1" s="536"/>
      <c r="JUA1" s="536"/>
      <c r="JUB1" s="536"/>
      <c r="JUC1" s="536"/>
      <c r="JUD1" s="536"/>
      <c r="JUE1" s="536"/>
      <c r="JUF1" s="536"/>
      <c r="JUG1" s="536"/>
      <c r="JUH1" s="536"/>
      <c r="JUI1" s="536"/>
      <c r="JUJ1" s="536"/>
      <c r="JUK1" s="536"/>
      <c r="JUL1" s="536"/>
      <c r="JUM1" s="536"/>
      <c r="JUN1" s="536"/>
      <c r="JUO1" s="536"/>
      <c r="JUP1" s="536"/>
      <c r="JUQ1" s="536"/>
      <c r="JUR1" s="536"/>
      <c r="JUS1" s="536"/>
      <c r="JUT1" s="536"/>
      <c r="JUU1" s="536"/>
      <c r="JUV1" s="536"/>
      <c r="JUW1" s="536"/>
      <c r="JUX1" s="536"/>
      <c r="JUY1" s="536"/>
      <c r="JUZ1" s="536"/>
      <c r="JVA1" s="536"/>
      <c r="JVB1" s="536"/>
      <c r="JVC1" s="536"/>
      <c r="JVD1" s="536"/>
      <c r="JVE1" s="536"/>
      <c r="JVF1" s="536"/>
      <c r="JVG1" s="536"/>
      <c r="JVH1" s="536"/>
      <c r="JVI1" s="536"/>
      <c r="JVJ1" s="536"/>
      <c r="JVK1" s="536"/>
      <c r="JVL1" s="536"/>
      <c r="JVM1" s="536"/>
      <c r="JVN1" s="536"/>
      <c r="JVO1" s="536"/>
      <c r="JVP1" s="536"/>
      <c r="JVQ1" s="536"/>
      <c r="JVR1" s="536"/>
      <c r="JVS1" s="536"/>
      <c r="JVT1" s="536"/>
      <c r="JVU1" s="536"/>
      <c r="JVV1" s="536"/>
      <c r="JVW1" s="536"/>
      <c r="JVX1" s="536"/>
      <c r="JVY1" s="536"/>
      <c r="JVZ1" s="536"/>
      <c r="JWA1" s="536"/>
      <c r="JWB1" s="536"/>
      <c r="JWC1" s="536"/>
      <c r="JWD1" s="536"/>
      <c r="JWE1" s="536"/>
      <c r="JWF1" s="536"/>
      <c r="JWG1" s="536"/>
      <c r="JWH1" s="536"/>
      <c r="JWI1" s="536"/>
      <c r="JWJ1" s="536"/>
      <c r="JWK1" s="536"/>
      <c r="JWL1" s="536"/>
      <c r="JWM1" s="536"/>
      <c r="JWN1" s="536"/>
      <c r="JWO1" s="536"/>
      <c r="JWP1" s="536"/>
      <c r="JWQ1" s="536"/>
      <c r="JWR1" s="536"/>
      <c r="JWS1" s="536"/>
      <c r="JWT1" s="536"/>
      <c r="JWU1" s="536"/>
      <c r="JWV1" s="536"/>
      <c r="JWW1" s="536"/>
      <c r="JWX1" s="536"/>
      <c r="JWY1" s="536"/>
      <c r="JWZ1" s="536"/>
      <c r="JXA1" s="536"/>
      <c r="JXB1" s="536"/>
      <c r="JXC1" s="536"/>
      <c r="JXD1" s="536"/>
      <c r="JXE1" s="536"/>
      <c r="JXF1" s="536"/>
      <c r="JXG1" s="536"/>
      <c r="JXH1" s="536"/>
      <c r="JXI1" s="536"/>
      <c r="JXJ1" s="536"/>
      <c r="JXK1" s="536"/>
      <c r="JXL1" s="536"/>
      <c r="JXM1" s="536"/>
      <c r="JXN1" s="536"/>
      <c r="JXO1" s="536"/>
      <c r="JXP1" s="536"/>
      <c r="JXQ1" s="536"/>
      <c r="JXR1" s="536"/>
      <c r="JXS1" s="536"/>
      <c r="JXT1" s="536"/>
      <c r="JXU1" s="536"/>
      <c r="JXV1" s="536"/>
      <c r="JXW1" s="536"/>
      <c r="JXX1" s="536"/>
      <c r="JXY1" s="536"/>
      <c r="JXZ1" s="536"/>
      <c r="JYA1" s="536"/>
      <c r="JYB1" s="536"/>
      <c r="JYC1" s="536"/>
      <c r="JYD1" s="536"/>
      <c r="JYE1" s="536"/>
      <c r="JYF1" s="536"/>
      <c r="JYG1" s="536"/>
      <c r="JYH1" s="536"/>
      <c r="JYI1" s="536"/>
      <c r="JYJ1" s="536"/>
      <c r="JYK1" s="536"/>
      <c r="JYL1" s="536"/>
      <c r="JYM1" s="536"/>
      <c r="JYN1" s="536"/>
      <c r="JYO1" s="536"/>
      <c r="JYP1" s="536"/>
      <c r="JYQ1" s="536"/>
      <c r="JYR1" s="536"/>
      <c r="JYS1" s="536"/>
      <c r="JYT1" s="536"/>
      <c r="JYU1" s="536"/>
      <c r="JYV1" s="536"/>
      <c r="JYW1" s="536"/>
      <c r="JYX1" s="536"/>
      <c r="JYY1" s="536"/>
      <c r="JYZ1" s="536"/>
      <c r="JZA1" s="536"/>
      <c r="JZB1" s="536"/>
      <c r="JZC1" s="536"/>
      <c r="JZD1" s="536"/>
      <c r="JZE1" s="536"/>
      <c r="JZF1" s="536"/>
      <c r="JZG1" s="536"/>
      <c r="JZH1" s="536"/>
      <c r="JZI1" s="536"/>
      <c r="JZJ1" s="536"/>
      <c r="JZK1" s="536"/>
      <c r="JZL1" s="536"/>
      <c r="JZM1" s="536"/>
      <c r="JZN1" s="536"/>
      <c r="JZO1" s="536"/>
      <c r="JZP1" s="536"/>
      <c r="JZQ1" s="536"/>
      <c r="JZR1" s="536"/>
      <c r="JZS1" s="536"/>
      <c r="JZT1" s="536"/>
      <c r="JZU1" s="536"/>
      <c r="JZV1" s="536"/>
      <c r="JZW1" s="536"/>
      <c r="JZX1" s="536"/>
      <c r="JZY1" s="536"/>
      <c r="JZZ1" s="536"/>
      <c r="KAA1" s="536"/>
      <c r="KAB1" s="536"/>
      <c r="KAC1" s="536"/>
      <c r="KAD1" s="536"/>
      <c r="KAE1" s="536"/>
      <c r="KAF1" s="536"/>
      <c r="KAG1" s="536"/>
      <c r="KAH1" s="536"/>
      <c r="KAI1" s="536"/>
      <c r="KAJ1" s="536"/>
      <c r="KAK1" s="536"/>
      <c r="KAL1" s="536"/>
      <c r="KAM1" s="536"/>
      <c r="KAN1" s="536"/>
      <c r="KAO1" s="536"/>
      <c r="KAP1" s="536"/>
      <c r="KAQ1" s="536"/>
      <c r="KAR1" s="536"/>
      <c r="KAS1" s="536"/>
      <c r="KAT1" s="536"/>
      <c r="KAU1" s="536"/>
      <c r="KAV1" s="536"/>
      <c r="KAW1" s="536"/>
      <c r="KAX1" s="536"/>
      <c r="KAY1" s="536"/>
      <c r="KAZ1" s="536"/>
      <c r="KBA1" s="536"/>
      <c r="KBB1" s="536"/>
      <c r="KBC1" s="536"/>
      <c r="KBD1" s="536"/>
      <c r="KBE1" s="536"/>
      <c r="KBF1" s="536"/>
      <c r="KBG1" s="536"/>
      <c r="KBH1" s="536"/>
      <c r="KBI1" s="536"/>
      <c r="KBJ1" s="536"/>
      <c r="KBK1" s="536"/>
      <c r="KBL1" s="536"/>
      <c r="KBM1" s="536"/>
      <c r="KBN1" s="536"/>
      <c r="KBO1" s="536"/>
      <c r="KBP1" s="536"/>
      <c r="KBQ1" s="536"/>
      <c r="KBR1" s="536"/>
      <c r="KBS1" s="536"/>
      <c r="KBT1" s="536"/>
      <c r="KBU1" s="536"/>
      <c r="KBV1" s="536"/>
      <c r="KBW1" s="536"/>
      <c r="KBX1" s="536"/>
      <c r="KBY1" s="536"/>
      <c r="KBZ1" s="536"/>
      <c r="KCA1" s="536"/>
      <c r="KCB1" s="536"/>
      <c r="KCC1" s="536"/>
      <c r="KCD1" s="536"/>
      <c r="KCE1" s="536"/>
      <c r="KCF1" s="536"/>
      <c r="KCG1" s="536"/>
      <c r="KCH1" s="536"/>
      <c r="KCI1" s="536"/>
      <c r="KCJ1" s="536"/>
      <c r="KCK1" s="536"/>
      <c r="KCL1" s="536"/>
      <c r="KCM1" s="536"/>
      <c r="KCN1" s="536"/>
      <c r="KCO1" s="536"/>
      <c r="KCP1" s="536"/>
      <c r="KCQ1" s="536"/>
      <c r="KCR1" s="536"/>
      <c r="KCS1" s="536"/>
      <c r="KCT1" s="536"/>
      <c r="KCU1" s="536"/>
      <c r="KCV1" s="536"/>
      <c r="KCW1" s="536"/>
      <c r="KCX1" s="536"/>
      <c r="KCY1" s="536"/>
      <c r="KCZ1" s="536"/>
      <c r="KDA1" s="536"/>
      <c r="KDB1" s="536"/>
      <c r="KDC1" s="536"/>
      <c r="KDD1" s="536"/>
      <c r="KDE1" s="536"/>
      <c r="KDF1" s="536"/>
      <c r="KDG1" s="536"/>
      <c r="KDH1" s="536"/>
      <c r="KDI1" s="536"/>
      <c r="KDJ1" s="536"/>
      <c r="KDK1" s="536"/>
      <c r="KDL1" s="536"/>
      <c r="KDM1" s="536"/>
      <c r="KDN1" s="536"/>
      <c r="KDO1" s="536"/>
      <c r="KDP1" s="536"/>
      <c r="KDQ1" s="536"/>
      <c r="KDR1" s="536"/>
      <c r="KDS1" s="536"/>
      <c r="KDT1" s="536"/>
      <c r="KDU1" s="536"/>
      <c r="KDV1" s="536"/>
      <c r="KDW1" s="536"/>
      <c r="KDX1" s="536"/>
      <c r="KDY1" s="536"/>
      <c r="KDZ1" s="536"/>
      <c r="KEA1" s="536"/>
      <c r="KEB1" s="536"/>
      <c r="KEC1" s="536"/>
      <c r="KED1" s="536"/>
      <c r="KEE1" s="536"/>
      <c r="KEF1" s="536"/>
      <c r="KEG1" s="536"/>
      <c r="KEH1" s="536"/>
      <c r="KEI1" s="536"/>
      <c r="KEJ1" s="536"/>
      <c r="KEK1" s="536"/>
      <c r="KEL1" s="536"/>
      <c r="KEM1" s="536"/>
      <c r="KEN1" s="536"/>
      <c r="KEO1" s="536"/>
      <c r="KEP1" s="536"/>
      <c r="KEQ1" s="536"/>
      <c r="KER1" s="536"/>
      <c r="KES1" s="536"/>
      <c r="KET1" s="536"/>
      <c r="KEU1" s="536"/>
      <c r="KEV1" s="536"/>
      <c r="KEW1" s="536"/>
      <c r="KEX1" s="536"/>
      <c r="KEY1" s="536"/>
      <c r="KEZ1" s="536"/>
      <c r="KFA1" s="536"/>
      <c r="KFB1" s="536"/>
      <c r="KFC1" s="536"/>
      <c r="KFD1" s="536"/>
      <c r="KFE1" s="536"/>
      <c r="KFF1" s="536"/>
      <c r="KFG1" s="536"/>
      <c r="KFH1" s="536"/>
      <c r="KFI1" s="536"/>
      <c r="KFJ1" s="536"/>
      <c r="KFK1" s="536"/>
      <c r="KFL1" s="536"/>
      <c r="KFM1" s="536"/>
      <c r="KFN1" s="536"/>
      <c r="KFO1" s="536"/>
      <c r="KFP1" s="536"/>
      <c r="KFQ1" s="536"/>
      <c r="KFR1" s="536"/>
      <c r="KFS1" s="536"/>
      <c r="KFT1" s="536"/>
      <c r="KFU1" s="536"/>
      <c r="KFV1" s="536"/>
      <c r="KFW1" s="536"/>
      <c r="KFX1" s="536"/>
      <c r="KFY1" s="536"/>
      <c r="KFZ1" s="536"/>
      <c r="KGA1" s="536"/>
      <c r="KGB1" s="536"/>
      <c r="KGC1" s="536"/>
      <c r="KGD1" s="536"/>
      <c r="KGE1" s="536"/>
      <c r="KGF1" s="536"/>
      <c r="KGG1" s="536"/>
      <c r="KGH1" s="536"/>
      <c r="KGI1" s="536"/>
      <c r="KGJ1" s="536"/>
      <c r="KGK1" s="536"/>
      <c r="KGL1" s="536"/>
      <c r="KGM1" s="536"/>
      <c r="KGN1" s="536"/>
      <c r="KGO1" s="536"/>
      <c r="KGP1" s="536"/>
      <c r="KGQ1" s="536"/>
      <c r="KGR1" s="536"/>
      <c r="KGS1" s="536"/>
      <c r="KGT1" s="536"/>
      <c r="KGU1" s="536"/>
      <c r="KGV1" s="536"/>
      <c r="KGW1" s="536"/>
      <c r="KGX1" s="536"/>
      <c r="KGY1" s="536"/>
      <c r="KGZ1" s="536"/>
      <c r="KHA1" s="536"/>
      <c r="KHB1" s="536"/>
      <c r="KHC1" s="536"/>
      <c r="KHD1" s="536"/>
      <c r="KHE1" s="536"/>
      <c r="KHF1" s="536"/>
      <c r="KHG1" s="536"/>
      <c r="KHH1" s="536"/>
      <c r="KHI1" s="536"/>
      <c r="KHJ1" s="536"/>
      <c r="KHK1" s="536"/>
      <c r="KHL1" s="536"/>
      <c r="KHM1" s="536"/>
      <c r="KHN1" s="536"/>
      <c r="KHO1" s="536"/>
      <c r="KHP1" s="536"/>
      <c r="KHQ1" s="536"/>
      <c r="KHR1" s="536"/>
      <c r="KHS1" s="536"/>
      <c r="KHT1" s="536"/>
      <c r="KHU1" s="536"/>
      <c r="KHV1" s="536"/>
      <c r="KHW1" s="536"/>
      <c r="KHX1" s="536"/>
      <c r="KHY1" s="536"/>
      <c r="KHZ1" s="536"/>
      <c r="KIA1" s="536"/>
      <c r="KIB1" s="536"/>
      <c r="KIC1" s="536"/>
      <c r="KID1" s="536"/>
      <c r="KIE1" s="536"/>
      <c r="KIF1" s="536"/>
      <c r="KIG1" s="536"/>
      <c r="KIH1" s="536"/>
      <c r="KII1" s="536"/>
      <c r="KIJ1" s="536"/>
      <c r="KIK1" s="536"/>
      <c r="KIL1" s="536"/>
      <c r="KIM1" s="536"/>
      <c r="KIN1" s="536"/>
      <c r="KIO1" s="536"/>
      <c r="KIP1" s="536"/>
      <c r="KIQ1" s="536"/>
      <c r="KIR1" s="536"/>
      <c r="KIS1" s="536"/>
      <c r="KIT1" s="536"/>
      <c r="KIU1" s="536"/>
      <c r="KIV1" s="536"/>
      <c r="KIW1" s="536"/>
      <c r="KIX1" s="536"/>
      <c r="KIY1" s="536"/>
      <c r="KIZ1" s="536"/>
      <c r="KJA1" s="536"/>
      <c r="KJB1" s="536"/>
      <c r="KJC1" s="536"/>
      <c r="KJD1" s="536"/>
      <c r="KJE1" s="536"/>
      <c r="KJF1" s="536"/>
      <c r="KJG1" s="536"/>
      <c r="KJH1" s="536"/>
      <c r="KJI1" s="536"/>
      <c r="KJJ1" s="536"/>
      <c r="KJK1" s="536"/>
      <c r="KJL1" s="536"/>
      <c r="KJM1" s="536"/>
      <c r="KJN1" s="536"/>
      <c r="KJO1" s="536"/>
      <c r="KJP1" s="536"/>
      <c r="KJQ1" s="536"/>
      <c r="KJR1" s="536"/>
      <c r="KJS1" s="536"/>
      <c r="KJT1" s="536"/>
      <c r="KJU1" s="536"/>
      <c r="KJV1" s="536"/>
      <c r="KJW1" s="536"/>
      <c r="KJX1" s="536"/>
      <c r="KJY1" s="536"/>
      <c r="KJZ1" s="536"/>
      <c r="KKA1" s="536"/>
      <c r="KKB1" s="536"/>
      <c r="KKC1" s="536"/>
      <c r="KKD1" s="536"/>
      <c r="KKE1" s="536"/>
      <c r="KKF1" s="536"/>
      <c r="KKG1" s="536"/>
      <c r="KKH1" s="536"/>
      <c r="KKI1" s="536"/>
      <c r="KKJ1" s="536"/>
      <c r="KKK1" s="536"/>
      <c r="KKL1" s="536"/>
      <c r="KKM1" s="536"/>
      <c r="KKN1" s="536"/>
      <c r="KKO1" s="536"/>
      <c r="KKP1" s="536"/>
      <c r="KKQ1" s="536"/>
      <c r="KKR1" s="536"/>
      <c r="KKS1" s="536"/>
      <c r="KKT1" s="536"/>
      <c r="KKU1" s="536"/>
      <c r="KKV1" s="536"/>
      <c r="KKW1" s="536"/>
      <c r="KKX1" s="536"/>
      <c r="KKY1" s="536"/>
      <c r="KKZ1" s="536"/>
      <c r="KLA1" s="536"/>
      <c r="KLB1" s="536"/>
      <c r="KLC1" s="536"/>
      <c r="KLD1" s="536"/>
      <c r="KLE1" s="536"/>
      <c r="KLF1" s="536"/>
      <c r="KLG1" s="536"/>
      <c r="KLH1" s="536"/>
      <c r="KLI1" s="536"/>
      <c r="KLJ1" s="536"/>
      <c r="KLK1" s="536"/>
      <c r="KLL1" s="536"/>
      <c r="KLM1" s="536"/>
      <c r="KLN1" s="536"/>
      <c r="KLO1" s="536"/>
      <c r="KLP1" s="536"/>
      <c r="KLQ1" s="536"/>
      <c r="KLR1" s="536"/>
      <c r="KLS1" s="536"/>
      <c r="KLT1" s="536"/>
      <c r="KLU1" s="536"/>
      <c r="KLV1" s="536"/>
      <c r="KLW1" s="536"/>
      <c r="KLX1" s="536"/>
      <c r="KLY1" s="536"/>
      <c r="KLZ1" s="536"/>
      <c r="KMA1" s="536"/>
      <c r="KMB1" s="536"/>
      <c r="KMC1" s="536"/>
      <c r="KMD1" s="536"/>
      <c r="KME1" s="536"/>
      <c r="KMF1" s="536"/>
      <c r="KMG1" s="536"/>
      <c r="KMH1" s="536"/>
      <c r="KMI1" s="536"/>
      <c r="KMJ1" s="536"/>
      <c r="KMK1" s="536"/>
      <c r="KML1" s="536"/>
      <c r="KMM1" s="536"/>
      <c r="KMN1" s="536"/>
      <c r="KMO1" s="536"/>
      <c r="KMP1" s="536"/>
      <c r="KMQ1" s="536"/>
      <c r="KMR1" s="536"/>
      <c r="KMS1" s="536"/>
      <c r="KMT1" s="536"/>
      <c r="KMU1" s="536"/>
      <c r="KMV1" s="536"/>
      <c r="KMW1" s="536"/>
      <c r="KMX1" s="536"/>
      <c r="KMY1" s="536"/>
      <c r="KMZ1" s="536"/>
      <c r="KNA1" s="536"/>
      <c r="KNB1" s="536"/>
      <c r="KNC1" s="536"/>
      <c r="KND1" s="536"/>
      <c r="KNE1" s="536"/>
      <c r="KNF1" s="536"/>
      <c r="KNG1" s="536"/>
      <c r="KNH1" s="536"/>
      <c r="KNI1" s="536"/>
      <c r="KNJ1" s="536"/>
      <c r="KNK1" s="536"/>
      <c r="KNL1" s="536"/>
      <c r="KNM1" s="536"/>
      <c r="KNN1" s="536"/>
      <c r="KNO1" s="536"/>
      <c r="KNP1" s="536"/>
      <c r="KNQ1" s="536"/>
      <c r="KNR1" s="536"/>
      <c r="KNS1" s="536"/>
      <c r="KNT1" s="536"/>
      <c r="KNU1" s="536"/>
      <c r="KNV1" s="536"/>
      <c r="KNW1" s="536"/>
      <c r="KNX1" s="536"/>
      <c r="KNY1" s="536"/>
      <c r="KNZ1" s="536"/>
      <c r="KOA1" s="536"/>
      <c r="KOB1" s="536"/>
      <c r="KOC1" s="536"/>
      <c r="KOD1" s="536"/>
      <c r="KOE1" s="536"/>
      <c r="KOF1" s="536"/>
      <c r="KOG1" s="536"/>
      <c r="KOH1" s="536"/>
      <c r="KOI1" s="536"/>
      <c r="KOJ1" s="536"/>
      <c r="KOK1" s="536"/>
      <c r="KOL1" s="536"/>
      <c r="KOM1" s="536"/>
      <c r="KON1" s="536"/>
      <c r="KOO1" s="536"/>
      <c r="KOP1" s="536"/>
      <c r="KOQ1" s="536"/>
      <c r="KOR1" s="536"/>
      <c r="KOS1" s="536"/>
      <c r="KOT1" s="536"/>
      <c r="KOU1" s="536"/>
      <c r="KOV1" s="536"/>
      <c r="KOW1" s="536"/>
      <c r="KOX1" s="536"/>
      <c r="KOY1" s="536"/>
      <c r="KOZ1" s="536"/>
      <c r="KPA1" s="536"/>
      <c r="KPB1" s="536"/>
      <c r="KPC1" s="536"/>
      <c r="KPD1" s="536"/>
      <c r="KPE1" s="536"/>
      <c r="KPF1" s="536"/>
      <c r="KPG1" s="536"/>
      <c r="KPH1" s="536"/>
      <c r="KPI1" s="536"/>
      <c r="KPJ1" s="536"/>
      <c r="KPK1" s="536"/>
      <c r="KPL1" s="536"/>
      <c r="KPM1" s="536"/>
      <c r="KPN1" s="536"/>
      <c r="KPO1" s="536"/>
      <c r="KPP1" s="536"/>
      <c r="KPQ1" s="536"/>
      <c r="KPR1" s="536"/>
      <c r="KPS1" s="536"/>
      <c r="KPT1" s="536"/>
      <c r="KPU1" s="536"/>
      <c r="KPV1" s="536"/>
      <c r="KPW1" s="536"/>
      <c r="KPX1" s="536"/>
      <c r="KPY1" s="536"/>
      <c r="KPZ1" s="536"/>
      <c r="KQA1" s="536"/>
      <c r="KQB1" s="536"/>
      <c r="KQC1" s="536"/>
      <c r="KQD1" s="536"/>
      <c r="KQE1" s="536"/>
      <c r="KQF1" s="536"/>
      <c r="KQG1" s="536"/>
      <c r="KQH1" s="536"/>
      <c r="KQI1" s="536"/>
      <c r="KQJ1" s="536"/>
      <c r="KQK1" s="536"/>
      <c r="KQL1" s="536"/>
      <c r="KQM1" s="536"/>
      <c r="KQN1" s="536"/>
      <c r="KQO1" s="536"/>
      <c r="KQP1" s="536"/>
      <c r="KQQ1" s="536"/>
      <c r="KQR1" s="536"/>
      <c r="KQS1" s="536"/>
      <c r="KQT1" s="536"/>
      <c r="KQU1" s="536"/>
      <c r="KQV1" s="536"/>
      <c r="KQW1" s="536"/>
      <c r="KQX1" s="536"/>
      <c r="KQY1" s="536"/>
      <c r="KQZ1" s="536"/>
      <c r="KRA1" s="536"/>
      <c r="KRB1" s="536"/>
      <c r="KRC1" s="536"/>
      <c r="KRD1" s="536"/>
      <c r="KRE1" s="536"/>
      <c r="KRF1" s="536"/>
      <c r="KRG1" s="536"/>
      <c r="KRH1" s="536"/>
      <c r="KRI1" s="536"/>
      <c r="KRJ1" s="536"/>
      <c r="KRK1" s="536"/>
      <c r="KRL1" s="536"/>
      <c r="KRM1" s="536"/>
      <c r="KRN1" s="536"/>
      <c r="KRO1" s="536"/>
      <c r="KRP1" s="536"/>
      <c r="KRQ1" s="536"/>
      <c r="KRR1" s="536"/>
      <c r="KRS1" s="536"/>
      <c r="KRT1" s="536"/>
      <c r="KRU1" s="536"/>
      <c r="KRV1" s="536"/>
      <c r="KRW1" s="536"/>
      <c r="KRX1" s="536"/>
      <c r="KRY1" s="536"/>
      <c r="KRZ1" s="536"/>
      <c r="KSA1" s="536"/>
      <c r="KSB1" s="536"/>
      <c r="KSC1" s="536"/>
      <c r="KSD1" s="536"/>
      <c r="KSE1" s="536"/>
      <c r="KSF1" s="536"/>
      <c r="KSG1" s="536"/>
      <c r="KSH1" s="536"/>
      <c r="KSI1" s="536"/>
      <c r="KSJ1" s="536"/>
      <c r="KSK1" s="536"/>
      <c r="KSL1" s="536"/>
      <c r="KSM1" s="536"/>
      <c r="KSN1" s="536"/>
      <c r="KSO1" s="536"/>
      <c r="KSP1" s="536"/>
      <c r="KSQ1" s="536"/>
      <c r="KSR1" s="536"/>
      <c r="KSS1" s="536"/>
      <c r="KST1" s="536"/>
      <c r="KSU1" s="536"/>
      <c r="KSV1" s="536"/>
      <c r="KSW1" s="536"/>
      <c r="KSX1" s="536"/>
      <c r="KSY1" s="536"/>
      <c r="KSZ1" s="536"/>
      <c r="KTA1" s="536"/>
      <c r="KTB1" s="536"/>
      <c r="KTC1" s="536"/>
      <c r="KTD1" s="536"/>
      <c r="KTE1" s="536"/>
      <c r="KTF1" s="536"/>
      <c r="KTG1" s="536"/>
      <c r="KTH1" s="536"/>
      <c r="KTI1" s="536"/>
      <c r="KTJ1" s="536"/>
      <c r="KTK1" s="536"/>
      <c r="KTL1" s="536"/>
      <c r="KTM1" s="536"/>
      <c r="KTN1" s="536"/>
      <c r="KTO1" s="536"/>
      <c r="KTP1" s="536"/>
      <c r="KTQ1" s="536"/>
      <c r="KTR1" s="536"/>
      <c r="KTS1" s="536"/>
      <c r="KTT1" s="536"/>
      <c r="KTU1" s="536"/>
      <c r="KTV1" s="536"/>
      <c r="KTW1" s="536"/>
      <c r="KTX1" s="536"/>
      <c r="KTY1" s="536"/>
      <c r="KTZ1" s="536"/>
      <c r="KUA1" s="536"/>
      <c r="KUB1" s="536"/>
      <c r="KUC1" s="536"/>
      <c r="KUD1" s="536"/>
      <c r="KUE1" s="536"/>
      <c r="KUF1" s="536"/>
      <c r="KUG1" s="536"/>
      <c r="KUH1" s="536"/>
      <c r="KUI1" s="536"/>
      <c r="KUJ1" s="536"/>
      <c r="KUK1" s="536"/>
      <c r="KUL1" s="536"/>
      <c r="KUM1" s="536"/>
      <c r="KUN1" s="536"/>
      <c r="KUO1" s="536"/>
      <c r="KUP1" s="536"/>
      <c r="KUQ1" s="536"/>
      <c r="KUR1" s="536"/>
      <c r="KUS1" s="536"/>
      <c r="KUT1" s="536"/>
      <c r="KUU1" s="536"/>
      <c r="KUV1" s="536"/>
      <c r="KUW1" s="536"/>
      <c r="KUX1" s="536"/>
      <c r="KUY1" s="536"/>
      <c r="KUZ1" s="536"/>
      <c r="KVA1" s="536"/>
      <c r="KVB1" s="536"/>
      <c r="KVC1" s="536"/>
      <c r="KVD1" s="536"/>
      <c r="KVE1" s="536"/>
      <c r="KVF1" s="536"/>
      <c r="KVG1" s="536"/>
      <c r="KVH1" s="536"/>
      <c r="KVI1" s="536"/>
      <c r="KVJ1" s="536"/>
      <c r="KVK1" s="536"/>
      <c r="KVL1" s="536"/>
      <c r="KVM1" s="536"/>
      <c r="KVN1" s="536"/>
      <c r="KVO1" s="536"/>
      <c r="KVP1" s="536"/>
      <c r="KVQ1" s="536"/>
      <c r="KVR1" s="536"/>
      <c r="KVS1" s="536"/>
      <c r="KVT1" s="536"/>
      <c r="KVU1" s="536"/>
      <c r="KVV1" s="536"/>
      <c r="KVW1" s="536"/>
      <c r="KVX1" s="536"/>
      <c r="KVY1" s="536"/>
      <c r="KVZ1" s="536"/>
      <c r="KWA1" s="536"/>
      <c r="KWB1" s="536"/>
      <c r="KWC1" s="536"/>
      <c r="KWD1" s="536"/>
      <c r="KWE1" s="536"/>
      <c r="KWF1" s="536"/>
      <c r="KWG1" s="536"/>
      <c r="KWH1" s="536"/>
      <c r="KWI1" s="536"/>
      <c r="KWJ1" s="536"/>
      <c r="KWK1" s="536"/>
      <c r="KWL1" s="536"/>
      <c r="KWM1" s="536"/>
      <c r="KWN1" s="536"/>
      <c r="KWO1" s="536"/>
      <c r="KWP1" s="536"/>
      <c r="KWQ1" s="536"/>
      <c r="KWR1" s="536"/>
      <c r="KWS1" s="536"/>
      <c r="KWT1" s="536"/>
      <c r="KWU1" s="536"/>
      <c r="KWV1" s="536"/>
      <c r="KWW1" s="536"/>
      <c r="KWX1" s="536"/>
      <c r="KWY1" s="536"/>
      <c r="KWZ1" s="536"/>
      <c r="KXA1" s="536"/>
      <c r="KXB1" s="536"/>
      <c r="KXC1" s="536"/>
      <c r="KXD1" s="536"/>
      <c r="KXE1" s="536"/>
      <c r="KXF1" s="536"/>
      <c r="KXG1" s="536"/>
      <c r="KXH1" s="536"/>
      <c r="KXI1" s="536"/>
      <c r="KXJ1" s="536"/>
      <c r="KXK1" s="536"/>
      <c r="KXL1" s="536"/>
      <c r="KXM1" s="536"/>
      <c r="KXN1" s="536"/>
      <c r="KXO1" s="536"/>
      <c r="KXP1" s="536"/>
      <c r="KXQ1" s="536"/>
      <c r="KXR1" s="536"/>
      <c r="KXS1" s="536"/>
      <c r="KXT1" s="536"/>
      <c r="KXU1" s="536"/>
      <c r="KXV1" s="536"/>
      <c r="KXW1" s="536"/>
      <c r="KXX1" s="536"/>
      <c r="KXY1" s="536"/>
      <c r="KXZ1" s="536"/>
      <c r="KYA1" s="536"/>
      <c r="KYB1" s="536"/>
      <c r="KYC1" s="536"/>
      <c r="KYD1" s="536"/>
      <c r="KYE1" s="536"/>
      <c r="KYF1" s="536"/>
      <c r="KYG1" s="536"/>
      <c r="KYH1" s="536"/>
      <c r="KYI1" s="536"/>
      <c r="KYJ1" s="536"/>
      <c r="KYK1" s="536"/>
      <c r="KYL1" s="536"/>
      <c r="KYM1" s="536"/>
      <c r="KYN1" s="536"/>
      <c r="KYO1" s="536"/>
      <c r="KYP1" s="536"/>
      <c r="KYQ1" s="536"/>
      <c r="KYR1" s="536"/>
      <c r="KYS1" s="536"/>
      <c r="KYT1" s="536"/>
      <c r="KYU1" s="536"/>
      <c r="KYV1" s="536"/>
      <c r="KYW1" s="536"/>
      <c r="KYX1" s="536"/>
      <c r="KYY1" s="536"/>
      <c r="KYZ1" s="536"/>
      <c r="KZA1" s="536"/>
      <c r="KZB1" s="536"/>
      <c r="KZC1" s="536"/>
      <c r="KZD1" s="536"/>
      <c r="KZE1" s="536"/>
      <c r="KZF1" s="536"/>
      <c r="KZG1" s="536"/>
      <c r="KZH1" s="536"/>
      <c r="KZI1" s="536"/>
      <c r="KZJ1" s="536"/>
      <c r="KZK1" s="536"/>
      <c r="KZL1" s="536"/>
      <c r="KZM1" s="536"/>
      <c r="KZN1" s="536"/>
      <c r="KZO1" s="536"/>
      <c r="KZP1" s="536"/>
      <c r="KZQ1" s="536"/>
      <c r="KZR1" s="536"/>
      <c r="KZS1" s="536"/>
      <c r="KZT1" s="536"/>
      <c r="KZU1" s="536"/>
      <c r="KZV1" s="536"/>
      <c r="KZW1" s="536"/>
      <c r="KZX1" s="536"/>
      <c r="KZY1" s="536"/>
      <c r="KZZ1" s="536"/>
      <c r="LAA1" s="536"/>
      <c r="LAB1" s="536"/>
      <c r="LAC1" s="536"/>
      <c r="LAD1" s="536"/>
      <c r="LAE1" s="536"/>
      <c r="LAF1" s="536"/>
      <c r="LAG1" s="536"/>
      <c r="LAH1" s="536"/>
      <c r="LAI1" s="536"/>
      <c r="LAJ1" s="536"/>
      <c r="LAK1" s="536"/>
      <c r="LAL1" s="536"/>
      <c r="LAM1" s="536"/>
      <c r="LAN1" s="536"/>
      <c r="LAO1" s="536"/>
      <c r="LAP1" s="536"/>
      <c r="LAQ1" s="536"/>
      <c r="LAR1" s="536"/>
      <c r="LAS1" s="536"/>
      <c r="LAT1" s="536"/>
      <c r="LAU1" s="536"/>
      <c r="LAV1" s="536"/>
      <c r="LAW1" s="536"/>
      <c r="LAX1" s="536"/>
      <c r="LAY1" s="536"/>
      <c r="LAZ1" s="536"/>
      <c r="LBA1" s="536"/>
      <c r="LBB1" s="536"/>
      <c r="LBC1" s="536"/>
      <c r="LBD1" s="536"/>
      <c r="LBE1" s="536"/>
      <c r="LBF1" s="536"/>
      <c r="LBG1" s="536"/>
      <c r="LBH1" s="536"/>
      <c r="LBI1" s="536"/>
      <c r="LBJ1" s="536"/>
      <c r="LBK1" s="536"/>
      <c r="LBL1" s="536"/>
      <c r="LBM1" s="536"/>
      <c r="LBN1" s="536"/>
      <c r="LBO1" s="536"/>
      <c r="LBP1" s="536"/>
      <c r="LBQ1" s="536"/>
      <c r="LBR1" s="536"/>
      <c r="LBS1" s="536"/>
      <c r="LBT1" s="536"/>
      <c r="LBU1" s="536"/>
      <c r="LBV1" s="536"/>
      <c r="LBW1" s="536"/>
      <c r="LBX1" s="536"/>
      <c r="LBY1" s="536"/>
      <c r="LBZ1" s="536"/>
      <c r="LCA1" s="536"/>
      <c r="LCB1" s="536"/>
      <c r="LCC1" s="536"/>
      <c r="LCD1" s="536"/>
      <c r="LCE1" s="536"/>
      <c r="LCF1" s="536"/>
      <c r="LCG1" s="536"/>
      <c r="LCH1" s="536"/>
      <c r="LCI1" s="536"/>
      <c r="LCJ1" s="536"/>
      <c r="LCK1" s="536"/>
      <c r="LCL1" s="536"/>
      <c r="LCM1" s="536"/>
      <c r="LCN1" s="536"/>
      <c r="LCO1" s="536"/>
      <c r="LCP1" s="536"/>
      <c r="LCQ1" s="536"/>
      <c r="LCR1" s="536"/>
      <c r="LCS1" s="536"/>
      <c r="LCT1" s="536"/>
      <c r="LCU1" s="536"/>
      <c r="LCV1" s="536"/>
      <c r="LCW1" s="536"/>
      <c r="LCX1" s="536"/>
      <c r="LCY1" s="536"/>
      <c r="LCZ1" s="536"/>
      <c r="LDA1" s="536"/>
      <c r="LDB1" s="536"/>
      <c r="LDC1" s="536"/>
      <c r="LDD1" s="536"/>
      <c r="LDE1" s="536"/>
      <c r="LDF1" s="536"/>
      <c r="LDG1" s="536"/>
      <c r="LDH1" s="536"/>
      <c r="LDI1" s="536"/>
      <c r="LDJ1" s="536"/>
      <c r="LDK1" s="536"/>
      <c r="LDL1" s="536"/>
      <c r="LDM1" s="536"/>
      <c r="LDN1" s="536"/>
      <c r="LDO1" s="536"/>
      <c r="LDP1" s="536"/>
      <c r="LDQ1" s="536"/>
      <c r="LDR1" s="536"/>
      <c r="LDS1" s="536"/>
      <c r="LDT1" s="536"/>
      <c r="LDU1" s="536"/>
      <c r="LDV1" s="536"/>
      <c r="LDW1" s="536"/>
      <c r="LDX1" s="536"/>
      <c r="LDY1" s="536"/>
      <c r="LDZ1" s="536"/>
      <c r="LEA1" s="536"/>
      <c r="LEB1" s="536"/>
      <c r="LEC1" s="536"/>
      <c r="LED1" s="536"/>
      <c r="LEE1" s="536"/>
      <c r="LEF1" s="536"/>
      <c r="LEG1" s="536"/>
      <c r="LEH1" s="536"/>
      <c r="LEI1" s="536"/>
      <c r="LEJ1" s="536"/>
      <c r="LEK1" s="536"/>
      <c r="LEL1" s="536"/>
      <c r="LEM1" s="536"/>
      <c r="LEN1" s="536"/>
      <c r="LEO1" s="536"/>
      <c r="LEP1" s="536"/>
      <c r="LEQ1" s="536"/>
      <c r="LER1" s="536"/>
      <c r="LES1" s="536"/>
      <c r="LET1" s="536"/>
      <c r="LEU1" s="536"/>
      <c r="LEV1" s="536"/>
      <c r="LEW1" s="536"/>
      <c r="LEX1" s="536"/>
      <c r="LEY1" s="536"/>
      <c r="LEZ1" s="536"/>
      <c r="LFA1" s="536"/>
      <c r="LFB1" s="536"/>
      <c r="LFC1" s="536"/>
      <c r="LFD1" s="536"/>
      <c r="LFE1" s="536"/>
      <c r="LFF1" s="536"/>
      <c r="LFG1" s="536"/>
      <c r="LFH1" s="536"/>
      <c r="LFI1" s="536"/>
      <c r="LFJ1" s="536"/>
      <c r="LFK1" s="536"/>
      <c r="LFL1" s="536"/>
      <c r="LFM1" s="536"/>
      <c r="LFN1" s="536"/>
      <c r="LFO1" s="536"/>
      <c r="LFP1" s="536"/>
      <c r="LFQ1" s="536"/>
      <c r="LFR1" s="536"/>
      <c r="LFS1" s="536"/>
      <c r="LFT1" s="536"/>
      <c r="LFU1" s="536"/>
      <c r="LFV1" s="536"/>
      <c r="LFW1" s="536"/>
      <c r="LFX1" s="536"/>
      <c r="LFY1" s="536"/>
      <c r="LFZ1" s="536"/>
      <c r="LGA1" s="536"/>
      <c r="LGB1" s="536"/>
      <c r="LGC1" s="536"/>
      <c r="LGD1" s="536"/>
      <c r="LGE1" s="536"/>
      <c r="LGF1" s="536"/>
      <c r="LGG1" s="536"/>
      <c r="LGH1" s="536"/>
      <c r="LGI1" s="536"/>
      <c r="LGJ1" s="536"/>
      <c r="LGK1" s="536"/>
      <c r="LGL1" s="536"/>
      <c r="LGM1" s="536"/>
      <c r="LGN1" s="536"/>
      <c r="LGO1" s="536"/>
      <c r="LGP1" s="536"/>
      <c r="LGQ1" s="536"/>
      <c r="LGR1" s="536"/>
      <c r="LGS1" s="536"/>
      <c r="LGT1" s="536"/>
      <c r="LGU1" s="536"/>
      <c r="LGV1" s="536"/>
      <c r="LGW1" s="536"/>
      <c r="LGX1" s="536"/>
      <c r="LGY1" s="536"/>
      <c r="LGZ1" s="536"/>
      <c r="LHA1" s="536"/>
      <c r="LHB1" s="536"/>
      <c r="LHC1" s="536"/>
      <c r="LHD1" s="536"/>
      <c r="LHE1" s="536"/>
      <c r="LHF1" s="536"/>
      <c r="LHG1" s="536"/>
      <c r="LHH1" s="536"/>
      <c r="LHI1" s="536"/>
      <c r="LHJ1" s="536"/>
      <c r="LHK1" s="536"/>
      <c r="LHL1" s="536"/>
      <c r="LHM1" s="536"/>
      <c r="LHN1" s="536"/>
      <c r="LHO1" s="536"/>
      <c r="LHP1" s="536"/>
      <c r="LHQ1" s="536"/>
      <c r="LHR1" s="536"/>
      <c r="LHS1" s="536"/>
      <c r="LHT1" s="536"/>
      <c r="LHU1" s="536"/>
      <c r="LHV1" s="536"/>
      <c r="LHW1" s="536"/>
      <c r="LHX1" s="536"/>
      <c r="LHY1" s="536"/>
      <c r="LHZ1" s="536"/>
      <c r="LIA1" s="536"/>
      <c r="LIB1" s="536"/>
      <c r="LIC1" s="536"/>
      <c r="LID1" s="536"/>
      <c r="LIE1" s="536"/>
      <c r="LIF1" s="536"/>
      <c r="LIG1" s="536"/>
      <c r="LIH1" s="536"/>
      <c r="LII1" s="536"/>
      <c r="LIJ1" s="536"/>
      <c r="LIK1" s="536"/>
      <c r="LIL1" s="536"/>
      <c r="LIM1" s="536"/>
      <c r="LIN1" s="536"/>
      <c r="LIO1" s="536"/>
      <c r="LIP1" s="536"/>
      <c r="LIQ1" s="536"/>
      <c r="LIR1" s="536"/>
      <c r="LIS1" s="536"/>
      <c r="LIT1" s="536"/>
      <c r="LIU1" s="536"/>
      <c r="LIV1" s="536"/>
      <c r="LIW1" s="536"/>
      <c r="LIX1" s="536"/>
      <c r="LIY1" s="536"/>
      <c r="LIZ1" s="536"/>
      <c r="LJA1" s="536"/>
      <c r="LJB1" s="536"/>
      <c r="LJC1" s="536"/>
      <c r="LJD1" s="536"/>
      <c r="LJE1" s="536"/>
      <c r="LJF1" s="536"/>
      <c r="LJG1" s="536"/>
      <c r="LJH1" s="536"/>
      <c r="LJI1" s="536"/>
      <c r="LJJ1" s="536"/>
      <c r="LJK1" s="536"/>
      <c r="LJL1" s="536"/>
      <c r="LJM1" s="536"/>
      <c r="LJN1" s="536"/>
      <c r="LJO1" s="536"/>
      <c r="LJP1" s="536"/>
      <c r="LJQ1" s="536"/>
      <c r="LJR1" s="536"/>
      <c r="LJS1" s="536"/>
      <c r="LJT1" s="536"/>
      <c r="LJU1" s="536"/>
      <c r="LJV1" s="536"/>
      <c r="LJW1" s="536"/>
      <c r="LJX1" s="536"/>
      <c r="LJY1" s="536"/>
      <c r="LJZ1" s="536"/>
      <c r="LKA1" s="536"/>
      <c r="LKB1" s="536"/>
      <c r="LKC1" s="536"/>
      <c r="LKD1" s="536"/>
      <c r="LKE1" s="536"/>
      <c r="LKF1" s="536"/>
      <c r="LKG1" s="536"/>
      <c r="LKH1" s="536"/>
      <c r="LKI1" s="536"/>
      <c r="LKJ1" s="536"/>
      <c r="LKK1" s="536"/>
      <c r="LKL1" s="536"/>
      <c r="LKM1" s="536"/>
      <c r="LKN1" s="536"/>
      <c r="LKO1" s="536"/>
      <c r="LKP1" s="536"/>
      <c r="LKQ1" s="536"/>
      <c r="LKR1" s="536"/>
      <c r="LKS1" s="536"/>
      <c r="LKT1" s="536"/>
      <c r="LKU1" s="536"/>
      <c r="LKV1" s="536"/>
      <c r="LKW1" s="536"/>
      <c r="LKX1" s="536"/>
      <c r="LKY1" s="536"/>
      <c r="LKZ1" s="536"/>
      <c r="LLA1" s="536"/>
      <c r="LLB1" s="536"/>
      <c r="LLC1" s="536"/>
      <c r="LLD1" s="536"/>
      <c r="LLE1" s="536"/>
      <c r="LLF1" s="536"/>
      <c r="LLG1" s="536"/>
      <c r="LLH1" s="536"/>
      <c r="LLI1" s="536"/>
      <c r="LLJ1" s="536"/>
      <c r="LLK1" s="536"/>
      <c r="LLL1" s="536"/>
      <c r="LLM1" s="536"/>
      <c r="LLN1" s="536"/>
      <c r="LLO1" s="536"/>
      <c r="LLP1" s="536"/>
      <c r="LLQ1" s="536"/>
      <c r="LLR1" s="536"/>
      <c r="LLS1" s="536"/>
      <c r="LLT1" s="536"/>
      <c r="LLU1" s="536"/>
      <c r="LLV1" s="536"/>
      <c r="LLW1" s="536"/>
      <c r="LLX1" s="536"/>
      <c r="LLY1" s="536"/>
      <c r="LLZ1" s="536"/>
      <c r="LMA1" s="536"/>
      <c r="LMB1" s="536"/>
      <c r="LMC1" s="536"/>
      <c r="LMD1" s="536"/>
      <c r="LME1" s="536"/>
      <c r="LMF1" s="536"/>
      <c r="LMG1" s="536"/>
      <c r="LMH1" s="536"/>
      <c r="LMI1" s="536"/>
      <c r="LMJ1" s="536"/>
      <c r="LMK1" s="536"/>
      <c r="LML1" s="536"/>
      <c r="LMM1" s="536"/>
      <c r="LMN1" s="536"/>
      <c r="LMO1" s="536"/>
      <c r="LMP1" s="536"/>
      <c r="LMQ1" s="536"/>
      <c r="LMR1" s="536"/>
      <c r="LMS1" s="536"/>
      <c r="LMT1" s="536"/>
      <c r="LMU1" s="536"/>
      <c r="LMV1" s="536"/>
      <c r="LMW1" s="536"/>
      <c r="LMX1" s="536"/>
      <c r="LMY1" s="536"/>
      <c r="LMZ1" s="536"/>
      <c r="LNA1" s="536"/>
      <c r="LNB1" s="536"/>
      <c r="LNC1" s="536"/>
      <c r="LND1" s="536"/>
      <c r="LNE1" s="536"/>
      <c r="LNF1" s="536"/>
      <c r="LNG1" s="536"/>
      <c r="LNH1" s="536"/>
      <c r="LNI1" s="536"/>
      <c r="LNJ1" s="536"/>
      <c r="LNK1" s="536"/>
      <c r="LNL1" s="536"/>
      <c r="LNM1" s="536"/>
      <c r="LNN1" s="536"/>
      <c r="LNO1" s="536"/>
      <c r="LNP1" s="536"/>
      <c r="LNQ1" s="536"/>
      <c r="LNR1" s="536"/>
      <c r="LNS1" s="536"/>
      <c r="LNT1" s="536"/>
      <c r="LNU1" s="536"/>
      <c r="LNV1" s="536"/>
      <c r="LNW1" s="536"/>
      <c r="LNX1" s="536"/>
      <c r="LNY1" s="536"/>
      <c r="LNZ1" s="536"/>
      <c r="LOA1" s="536"/>
      <c r="LOB1" s="536"/>
      <c r="LOC1" s="536"/>
      <c r="LOD1" s="536"/>
      <c r="LOE1" s="536"/>
      <c r="LOF1" s="536"/>
      <c r="LOG1" s="536"/>
      <c r="LOH1" s="536"/>
      <c r="LOI1" s="536"/>
      <c r="LOJ1" s="536"/>
      <c r="LOK1" s="536"/>
      <c r="LOL1" s="536"/>
      <c r="LOM1" s="536"/>
      <c r="LON1" s="536"/>
      <c r="LOO1" s="536"/>
      <c r="LOP1" s="536"/>
      <c r="LOQ1" s="536"/>
      <c r="LOR1" s="536"/>
      <c r="LOS1" s="536"/>
      <c r="LOT1" s="536"/>
      <c r="LOU1" s="536"/>
      <c r="LOV1" s="536"/>
      <c r="LOW1" s="536"/>
      <c r="LOX1" s="536"/>
      <c r="LOY1" s="536"/>
      <c r="LOZ1" s="536"/>
      <c r="LPA1" s="536"/>
      <c r="LPB1" s="536"/>
      <c r="LPC1" s="536"/>
      <c r="LPD1" s="536"/>
      <c r="LPE1" s="536"/>
      <c r="LPF1" s="536"/>
      <c r="LPG1" s="536"/>
      <c r="LPH1" s="536"/>
      <c r="LPI1" s="536"/>
      <c r="LPJ1" s="536"/>
      <c r="LPK1" s="536"/>
      <c r="LPL1" s="536"/>
      <c r="LPM1" s="536"/>
      <c r="LPN1" s="536"/>
      <c r="LPO1" s="536"/>
      <c r="LPP1" s="536"/>
      <c r="LPQ1" s="536"/>
      <c r="LPR1" s="536"/>
      <c r="LPS1" s="536"/>
      <c r="LPT1" s="536"/>
      <c r="LPU1" s="536"/>
      <c r="LPV1" s="536"/>
      <c r="LPW1" s="536"/>
      <c r="LPX1" s="536"/>
      <c r="LPY1" s="536"/>
      <c r="LPZ1" s="536"/>
      <c r="LQA1" s="536"/>
      <c r="LQB1" s="536"/>
      <c r="LQC1" s="536"/>
      <c r="LQD1" s="536"/>
      <c r="LQE1" s="536"/>
      <c r="LQF1" s="536"/>
      <c r="LQG1" s="536"/>
      <c r="LQH1" s="536"/>
      <c r="LQI1" s="536"/>
      <c r="LQJ1" s="536"/>
      <c r="LQK1" s="536"/>
      <c r="LQL1" s="536"/>
      <c r="LQM1" s="536"/>
      <c r="LQN1" s="536"/>
      <c r="LQO1" s="536"/>
      <c r="LQP1" s="536"/>
      <c r="LQQ1" s="536"/>
      <c r="LQR1" s="536"/>
      <c r="LQS1" s="536"/>
      <c r="LQT1" s="536"/>
      <c r="LQU1" s="536"/>
      <c r="LQV1" s="536"/>
      <c r="LQW1" s="536"/>
      <c r="LQX1" s="536"/>
      <c r="LQY1" s="536"/>
      <c r="LQZ1" s="536"/>
      <c r="LRA1" s="536"/>
      <c r="LRB1" s="536"/>
      <c r="LRC1" s="536"/>
      <c r="LRD1" s="536"/>
      <c r="LRE1" s="536"/>
      <c r="LRF1" s="536"/>
      <c r="LRG1" s="536"/>
      <c r="LRH1" s="536"/>
      <c r="LRI1" s="536"/>
      <c r="LRJ1" s="536"/>
      <c r="LRK1" s="536"/>
      <c r="LRL1" s="536"/>
      <c r="LRM1" s="536"/>
      <c r="LRN1" s="536"/>
      <c r="LRO1" s="536"/>
      <c r="LRP1" s="536"/>
      <c r="LRQ1" s="536"/>
      <c r="LRR1" s="536"/>
      <c r="LRS1" s="536"/>
      <c r="LRT1" s="536"/>
      <c r="LRU1" s="536"/>
      <c r="LRV1" s="536"/>
      <c r="LRW1" s="536"/>
      <c r="LRX1" s="536"/>
      <c r="LRY1" s="536"/>
      <c r="LRZ1" s="536"/>
      <c r="LSA1" s="536"/>
      <c r="LSB1" s="536"/>
      <c r="LSC1" s="536"/>
      <c r="LSD1" s="536"/>
      <c r="LSE1" s="536"/>
      <c r="LSF1" s="536"/>
      <c r="LSG1" s="536"/>
      <c r="LSH1" s="536"/>
      <c r="LSI1" s="536"/>
      <c r="LSJ1" s="536"/>
      <c r="LSK1" s="536"/>
      <c r="LSL1" s="536"/>
      <c r="LSM1" s="536"/>
      <c r="LSN1" s="536"/>
      <c r="LSO1" s="536"/>
      <c r="LSP1" s="536"/>
      <c r="LSQ1" s="536"/>
      <c r="LSR1" s="536"/>
      <c r="LSS1" s="536"/>
      <c r="LST1" s="536"/>
      <c r="LSU1" s="536"/>
      <c r="LSV1" s="536"/>
      <c r="LSW1" s="536"/>
      <c r="LSX1" s="536"/>
      <c r="LSY1" s="536"/>
      <c r="LSZ1" s="536"/>
      <c r="LTA1" s="536"/>
      <c r="LTB1" s="536"/>
      <c r="LTC1" s="536"/>
      <c r="LTD1" s="536"/>
      <c r="LTE1" s="536"/>
      <c r="LTF1" s="536"/>
      <c r="LTG1" s="536"/>
      <c r="LTH1" s="536"/>
      <c r="LTI1" s="536"/>
      <c r="LTJ1" s="536"/>
      <c r="LTK1" s="536"/>
      <c r="LTL1" s="536"/>
      <c r="LTM1" s="536"/>
      <c r="LTN1" s="536"/>
      <c r="LTO1" s="536"/>
      <c r="LTP1" s="536"/>
      <c r="LTQ1" s="536"/>
      <c r="LTR1" s="536"/>
      <c r="LTS1" s="536"/>
      <c r="LTT1" s="536"/>
      <c r="LTU1" s="536"/>
      <c r="LTV1" s="536"/>
      <c r="LTW1" s="536"/>
      <c r="LTX1" s="536"/>
      <c r="LTY1" s="536"/>
      <c r="LTZ1" s="536"/>
      <c r="LUA1" s="536"/>
      <c r="LUB1" s="536"/>
      <c r="LUC1" s="536"/>
      <c r="LUD1" s="536"/>
      <c r="LUE1" s="536"/>
      <c r="LUF1" s="536"/>
      <c r="LUG1" s="536"/>
      <c r="LUH1" s="536"/>
      <c r="LUI1" s="536"/>
      <c r="LUJ1" s="536"/>
      <c r="LUK1" s="536"/>
      <c r="LUL1" s="536"/>
      <c r="LUM1" s="536"/>
      <c r="LUN1" s="536"/>
      <c r="LUO1" s="536"/>
      <c r="LUP1" s="536"/>
      <c r="LUQ1" s="536"/>
      <c r="LUR1" s="536"/>
      <c r="LUS1" s="536"/>
      <c r="LUT1" s="536"/>
      <c r="LUU1" s="536"/>
      <c r="LUV1" s="536"/>
      <c r="LUW1" s="536"/>
      <c r="LUX1" s="536"/>
      <c r="LUY1" s="536"/>
      <c r="LUZ1" s="536"/>
      <c r="LVA1" s="536"/>
      <c r="LVB1" s="536"/>
      <c r="LVC1" s="536"/>
      <c r="LVD1" s="536"/>
      <c r="LVE1" s="536"/>
      <c r="LVF1" s="536"/>
      <c r="LVG1" s="536"/>
      <c r="LVH1" s="536"/>
      <c r="LVI1" s="536"/>
      <c r="LVJ1" s="536"/>
      <c r="LVK1" s="536"/>
      <c r="LVL1" s="536"/>
      <c r="LVM1" s="536"/>
      <c r="LVN1" s="536"/>
      <c r="LVO1" s="536"/>
      <c r="LVP1" s="536"/>
      <c r="LVQ1" s="536"/>
      <c r="LVR1" s="536"/>
      <c r="LVS1" s="536"/>
      <c r="LVT1" s="536"/>
      <c r="LVU1" s="536"/>
      <c r="LVV1" s="536"/>
      <c r="LVW1" s="536"/>
      <c r="LVX1" s="536"/>
      <c r="LVY1" s="536"/>
      <c r="LVZ1" s="536"/>
      <c r="LWA1" s="536"/>
      <c r="LWB1" s="536"/>
      <c r="LWC1" s="536"/>
      <c r="LWD1" s="536"/>
      <c r="LWE1" s="536"/>
      <c r="LWF1" s="536"/>
      <c r="LWG1" s="536"/>
      <c r="LWH1" s="536"/>
      <c r="LWI1" s="536"/>
      <c r="LWJ1" s="536"/>
      <c r="LWK1" s="536"/>
      <c r="LWL1" s="536"/>
      <c r="LWM1" s="536"/>
      <c r="LWN1" s="536"/>
      <c r="LWO1" s="536"/>
      <c r="LWP1" s="536"/>
      <c r="LWQ1" s="536"/>
      <c r="LWR1" s="536"/>
      <c r="LWS1" s="536"/>
      <c r="LWT1" s="536"/>
      <c r="LWU1" s="536"/>
      <c r="LWV1" s="536"/>
      <c r="LWW1" s="536"/>
      <c r="LWX1" s="536"/>
      <c r="LWY1" s="536"/>
      <c r="LWZ1" s="536"/>
      <c r="LXA1" s="536"/>
      <c r="LXB1" s="536"/>
      <c r="LXC1" s="536"/>
      <c r="LXD1" s="536"/>
      <c r="LXE1" s="536"/>
      <c r="LXF1" s="536"/>
      <c r="LXG1" s="536"/>
      <c r="LXH1" s="536"/>
      <c r="LXI1" s="536"/>
      <c r="LXJ1" s="536"/>
      <c r="LXK1" s="536"/>
      <c r="LXL1" s="536"/>
      <c r="LXM1" s="536"/>
      <c r="LXN1" s="536"/>
      <c r="LXO1" s="536"/>
      <c r="LXP1" s="536"/>
      <c r="LXQ1" s="536"/>
      <c r="LXR1" s="536"/>
      <c r="LXS1" s="536"/>
      <c r="LXT1" s="536"/>
      <c r="LXU1" s="536"/>
      <c r="LXV1" s="536"/>
      <c r="LXW1" s="536"/>
      <c r="LXX1" s="536"/>
      <c r="LXY1" s="536"/>
      <c r="LXZ1" s="536"/>
      <c r="LYA1" s="536"/>
      <c r="LYB1" s="536"/>
      <c r="LYC1" s="536"/>
      <c r="LYD1" s="536"/>
      <c r="LYE1" s="536"/>
      <c r="LYF1" s="536"/>
      <c r="LYG1" s="536"/>
      <c r="LYH1" s="536"/>
      <c r="LYI1" s="536"/>
      <c r="LYJ1" s="536"/>
      <c r="LYK1" s="536"/>
      <c r="LYL1" s="536"/>
      <c r="LYM1" s="536"/>
      <c r="LYN1" s="536"/>
      <c r="LYO1" s="536"/>
      <c r="LYP1" s="536"/>
      <c r="LYQ1" s="536"/>
      <c r="LYR1" s="536"/>
      <c r="LYS1" s="536"/>
      <c r="LYT1" s="536"/>
      <c r="LYU1" s="536"/>
      <c r="LYV1" s="536"/>
      <c r="LYW1" s="536"/>
      <c r="LYX1" s="536"/>
      <c r="LYY1" s="536"/>
      <c r="LYZ1" s="536"/>
      <c r="LZA1" s="536"/>
      <c r="LZB1" s="536"/>
      <c r="LZC1" s="536"/>
      <c r="LZD1" s="536"/>
      <c r="LZE1" s="536"/>
      <c r="LZF1" s="536"/>
      <c r="LZG1" s="536"/>
      <c r="LZH1" s="536"/>
      <c r="LZI1" s="536"/>
      <c r="LZJ1" s="536"/>
      <c r="LZK1" s="536"/>
      <c r="LZL1" s="536"/>
      <c r="LZM1" s="536"/>
      <c r="LZN1" s="536"/>
      <c r="LZO1" s="536"/>
      <c r="LZP1" s="536"/>
      <c r="LZQ1" s="536"/>
      <c r="LZR1" s="536"/>
      <c r="LZS1" s="536"/>
      <c r="LZT1" s="536"/>
      <c r="LZU1" s="536"/>
      <c r="LZV1" s="536"/>
      <c r="LZW1" s="536"/>
      <c r="LZX1" s="536"/>
      <c r="LZY1" s="536"/>
      <c r="LZZ1" s="536"/>
      <c r="MAA1" s="536"/>
      <c r="MAB1" s="536"/>
      <c r="MAC1" s="536"/>
      <c r="MAD1" s="536"/>
      <c r="MAE1" s="536"/>
      <c r="MAF1" s="536"/>
      <c r="MAG1" s="536"/>
      <c r="MAH1" s="536"/>
      <c r="MAI1" s="536"/>
      <c r="MAJ1" s="536"/>
      <c r="MAK1" s="536"/>
      <c r="MAL1" s="536"/>
      <c r="MAM1" s="536"/>
      <c r="MAN1" s="536"/>
      <c r="MAO1" s="536"/>
      <c r="MAP1" s="536"/>
      <c r="MAQ1" s="536"/>
      <c r="MAR1" s="536"/>
      <c r="MAS1" s="536"/>
      <c r="MAT1" s="536"/>
      <c r="MAU1" s="536"/>
      <c r="MAV1" s="536"/>
      <c r="MAW1" s="536"/>
      <c r="MAX1" s="536"/>
      <c r="MAY1" s="536"/>
      <c r="MAZ1" s="536"/>
      <c r="MBA1" s="536"/>
      <c r="MBB1" s="536"/>
      <c r="MBC1" s="536"/>
      <c r="MBD1" s="536"/>
      <c r="MBE1" s="536"/>
      <c r="MBF1" s="536"/>
      <c r="MBG1" s="536"/>
      <c r="MBH1" s="536"/>
      <c r="MBI1" s="536"/>
      <c r="MBJ1" s="536"/>
      <c r="MBK1" s="536"/>
      <c r="MBL1" s="536"/>
      <c r="MBM1" s="536"/>
      <c r="MBN1" s="536"/>
      <c r="MBO1" s="536"/>
      <c r="MBP1" s="536"/>
      <c r="MBQ1" s="536"/>
      <c r="MBR1" s="536"/>
      <c r="MBS1" s="536"/>
      <c r="MBT1" s="536"/>
      <c r="MBU1" s="536"/>
      <c r="MBV1" s="536"/>
      <c r="MBW1" s="536"/>
      <c r="MBX1" s="536"/>
      <c r="MBY1" s="536"/>
      <c r="MBZ1" s="536"/>
      <c r="MCA1" s="536"/>
      <c r="MCB1" s="536"/>
      <c r="MCC1" s="536"/>
      <c r="MCD1" s="536"/>
      <c r="MCE1" s="536"/>
      <c r="MCF1" s="536"/>
      <c r="MCG1" s="536"/>
      <c r="MCH1" s="536"/>
      <c r="MCI1" s="536"/>
      <c r="MCJ1" s="536"/>
      <c r="MCK1" s="536"/>
      <c r="MCL1" s="536"/>
      <c r="MCM1" s="536"/>
      <c r="MCN1" s="536"/>
      <c r="MCO1" s="536"/>
      <c r="MCP1" s="536"/>
      <c r="MCQ1" s="536"/>
      <c r="MCR1" s="536"/>
      <c r="MCS1" s="536"/>
      <c r="MCT1" s="536"/>
      <c r="MCU1" s="536"/>
      <c r="MCV1" s="536"/>
      <c r="MCW1" s="536"/>
      <c r="MCX1" s="536"/>
      <c r="MCY1" s="536"/>
      <c r="MCZ1" s="536"/>
      <c r="MDA1" s="536"/>
      <c r="MDB1" s="536"/>
      <c r="MDC1" s="536"/>
      <c r="MDD1" s="536"/>
      <c r="MDE1" s="536"/>
      <c r="MDF1" s="536"/>
      <c r="MDG1" s="536"/>
      <c r="MDH1" s="536"/>
      <c r="MDI1" s="536"/>
      <c r="MDJ1" s="536"/>
      <c r="MDK1" s="536"/>
      <c r="MDL1" s="536"/>
      <c r="MDM1" s="536"/>
      <c r="MDN1" s="536"/>
      <c r="MDO1" s="536"/>
      <c r="MDP1" s="536"/>
      <c r="MDQ1" s="536"/>
      <c r="MDR1" s="536"/>
      <c r="MDS1" s="536"/>
      <c r="MDT1" s="536"/>
      <c r="MDU1" s="536"/>
      <c r="MDV1" s="536"/>
      <c r="MDW1" s="536"/>
      <c r="MDX1" s="536"/>
      <c r="MDY1" s="536"/>
      <c r="MDZ1" s="536"/>
      <c r="MEA1" s="536"/>
      <c r="MEB1" s="536"/>
      <c r="MEC1" s="536"/>
      <c r="MED1" s="536"/>
      <c r="MEE1" s="536"/>
      <c r="MEF1" s="536"/>
      <c r="MEG1" s="536"/>
      <c r="MEH1" s="536"/>
      <c r="MEI1" s="536"/>
      <c r="MEJ1" s="536"/>
      <c r="MEK1" s="536"/>
      <c r="MEL1" s="536"/>
      <c r="MEM1" s="536"/>
      <c r="MEN1" s="536"/>
      <c r="MEO1" s="536"/>
      <c r="MEP1" s="536"/>
      <c r="MEQ1" s="536"/>
      <c r="MER1" s="536"/>
      <c r="MES1" s="536"/>
      <c r="MET1" s="536"/>
      <c r="MEU1" s="536"/>
      <c r="MEV1" s="536"/>
      <c r="MEW1" s="536"/>
      <c r="MEX1" s="536"/>
      <c r="MEY1" s="536"/>
      <c r="MEZ1" s="536"/>
      <c r="MFA1" s="536"/>
      <c r="MFB1" s="536"/>
      <c r="MFC1" s="536"/>
      <c r="MFD1" s="536"/>
      <c r="MFE1" s="536"/>
      <c r="MFF1" s="536"/>
      <c r="MFG1" s="536"/>
      <c r="MFH1" s="536"/>
      <c r="MFI1" s="536"/>
      <c r="MFJ1" s="536"/>
      <c r="MFK1" s="536"/>
      <c r="MFL1" s="536"/>
      <c r="MFM1" s="536"/>
      <c r="MFN1" s="536"/>
      <c r="MFO1" s="536"/>
      <c r="MFP1" s="536"/>
      <c r="MFQ1" s="536"/>
      <c r="MFR1" s="536"/>
      <c r="MFS1" s="536"/>
      <c r="MFT1" s="536"/>
      <c r="MFU1" s="536"/>
      <c r="MFV1" s="536"/>
      <c r="MFW1" s="536"/>
      <c r="MFX1" s="536"/>
      <c r="MFY1" s="536"/>
      <c r="MFZ1" s="536"/>
      <c r="MGA1" s="536"/>
      <c r="MGB1" s="536"/>
      <c r="MGC1" s="536"/>
      <c r="MGD1" s="536"/>
      <c r="MGE1" s="536"/>
      <c r="MGF1" s="536"/>
      <c r="MGG1" s="536"/>
      <c r="MGH1" s="536"/>
      <c r="MGI1" s="536"/>
      <c r="MGJ1" s="536"/>
      <c r="MGK1" s="536"/>
      <c r="MGL1" s="536"/>
      <c r="MGM1" s="536"/>
      <c r="MGN1" s="536"/>
      <c r="MGO1" s="536"/>
      <c r="MGP1" s="536"/>
      <c r="MGQ1" s="536"/>
      <c r="MGR1" s="536"/>
      <c r="MGS1" s="536"/>
      <c r="MGT1" s="536"/>
      <c r="MGU1" s="536"/>
      <c r="MGV1" s="536"/>
      <c r="MGW1" s="536"/>
      <c r="MGX1" s="536"/>
      <c r="MGY1" s="536"/>
      <c r="MGZ1" s="536"/>
      <c r="MHA1" s="536"/>
      <c r="MHB1" s="536"/>
      <c r="MHC1" s="536"/>
      <c r="MHD1" s="536"/>
      <c r="MHE1" s="536"/>
      <c r="MHF1" s="536"/>
      <c r="MHG1" s="536"/>
      <c r="MHH1" s="536"/>
      <c r="MHI1" s="536"/>
      <c r="MHJ1" s="536"/>
      <c r="MHK1" s="536"/>
      <c r="MHL1" s="536"/>
      <c r="MHM1" s="536"/>
      <c r="MHN1" s="536"/>
      <c r="MHO1" s="536"/>
      <c r="MHP1" s="536"/>
      <c r="MHQ1" s="536"/>
      <c r="MHR1" s="536"/>
      <c r="MHS1" s="536"/>
      <c r="MHT1" s="536"/>
      <c r="MHU1" s="536"/>
      <c r="MHV1" s="536"/>
      <c r="MHW1" s="536"/>
      <c r="MHX1" s="536"/>
      <c r="MHY1" s="536"/>
      <c r="MHZ1" s="536"/>
      <c r="MIA1" s="536"/>
      <c r="MIB1" s="536"/>
      <c r="MIC1" s="536"/>
      <c r="MID1" s="536"/>
      <c r="MIE1" s="536"/>
      <c r="MIF1" s="536"/>
      <c r="MIG1" s="536"/>
      <c r="MIH1" s="536"/>
      <c r="MII1" s="536"/>
      <c r="MIJ1" s="536"/>
      <c r="MIK1" s="536"/>
      <c r="MIL1" s="536"/>
      <c r="MIM1" s="536"/>
      <c r="MIN1" s="536"/>
      <c r="MIO1" s="536"/>
      <c r="MIP1" s="536"/>
      <c r="MIQ1" s="536"/>
      <c r="MIR1" s="536"/>
      <c r="MIS1" s="536"/>
      <c r="MIT1" s="536"/>
      <c r="MIU1" s="536"/>
      <c r="MIV1" s="536"/>
      <c r="MIW1" s="536"/>
      <c r="MIX1" s="536"/>
      <c r="MIY1" s="536"/>
      <c r="MIZ1" s="536"/>
      <c r="MJA1" s="536"/>
      <c r="MJB1" s="536"/>
      <c r="MJC1" s="536"/>
      <c r="MJD1" s="536"/>
      <c r="MJE1" s="536"/>
      <c r="MJF1" s="536"/>
      <c r="MJG1" s="536"/>
      <c r="MJH1" s="536"/>
      <c r="MJI1" s="536"/>
      <c r="MJJ1" s="536"/>
      <c r="MJK1" s="536"/>
      <c r="MJL1" s="536"/>
      <c r="MJM1" s="536"/>
      <c r="MJN1" s="536"/>
      <c r="MJO1" s="536"/>
      <c r="MJP1" s="536"/>
      <c r="MJQ1" s="536"/>
      <c r="MJR1" s="536"/>
      <c r="MJS1" s="536"/>
      <c r="MJT1" s="536"/>
      <c r="MJU1" s="536"/>
      <c r="MJV1" s="536"/>
      <c r="MJW1" s="536"/>
      <c r="MJX1" s="536"/>
      <c r="MJY1" s="536"/>
      <c r="MJZ1" s="536"/>
      <c r="MKA1" s="536"/>
      <c r="MKB1" s="536"/>
      <c r="MKC1" s="536"/>
      <c r="MKD1" s="536"/>
      <c r="MKE1" s="536"/>
      <c r="MKF1" s="536"/>
      <c r="MKG1" s="536"/>
      <c r="MKH1" s="536"/>
      <c r="MKI1" s="536"/>
      <c r="MKJ1" s="536"/>
      <c r="MKK1" s="536"/>
      <c r="MKL1" s="536"/>
      <c r="MKM1" s="536"/>
      <c r="MKN1" s="536"/>
      <c r="MKO1" s="536"/>
      <c r="MKP1" s="536"/>
      <c r="MKQ1" s="536"/>
      <c r="MKR1" s="536"/>
      <c r="MKS1" s="536"/>
      <c r="MKT1" s="536"/>
      <c r="MKU1" s="536"/>
      <c r="MKV1" s="536"/>
      <c r="MKW1" s="536"/>
      <c r="MKX1" s="536"/>
      <c r="MKY1" s="536"/>
      <c r="MKZ1" s="536"/>
      <c r="MLA1" s="536"/>
      <c r="MLB1" s="536"/>
      <c r="MLC1" s="536"/>
      <c r="MLD1" s="536"/>
      <c r="MLE1" s="536"/>
      <c r="MLF1" s="536"/>
      <c r="MLG1" s="536"/>
      <c r="MLH1" s="536"/>
      <c r="MLI1" s="536"/>
      <c r="MLJ1" s="536"/>
      <c r="MLK1" s="536"/>
      <c r="MLL1" s="536"/>
      <c r="MLM1" s="536"/>
      <c r="MLN1" s="536"/>
      <c r="MLO1" s="536"/>
      <c r="MLP1" s="536"/>
      <c r="MLQ1" s="536"/>
      <c r="MLR1" s="536"/>
      <c r="MLS1" s="536"/>
      <c r="MLT1" s="536"/>
      <c r="MLU1" s="536"/>
      <c r="MLV1" s="536"/>
      <c r="MLW1" s="536"/>
      <c r="MLX1" s="536"/>
      <c r="MLY1" s="536"/>
      <c r="MLZ1" s="536"/>
      <c r="MMA1" s="536"/>
      <c r="MMB1" s="536"/>
      <c r="MMC1" s="536"/>
      <c r="MMD1" s="536"/>
      <c r="MME1" s="536"/>
      <c r="MMF1" s="536"/>
      <c r="MMG1" s="536"/>
      <c r="MMH1" s="536"/>
      <c r="MMI1" s="536"/>
      <c r="MMJ1" s="536"/>
      <c r="MMK1" s="536"/>
      <c r="MML1" s="536"/>
      <c r="MMM1" s="536"/>
      <c r="MMN1" s="536"/>
      <c r="MMO1" s="536"/>
      <c r="MMP1" s="536"/>
      <c r="MMQ1" s="536"/>
      <c r="MMR1" s="536"/>
      <c r="MMS1" s="536"/>
      <c r="MMT1" s="536"/>
      <c r="MMU1" s="536"/>
      <c r="MMV1" s="536"/>
      <c r="MMW1" s="536"/>
      <c r="MMX1" s="536"/>
      <c r="MMY1" s="536"/>
      <c r="MMZ1" s="536"/>
      <c r="MNA1" s="536"/>
      <c r="MNB1" s="536"/>
      <c r="MNC1" s="536"/>
      <c r="MND1" s="536"/>
      <c r="MNE1" s="536"/>
      <c r="MNF1" s="536"/>
      <c r="MNG1" s="536"/>
      <c r="MNH1" s="536"/>
      <c r="MNI1" s="536"/>
      <c r="MNJ1" s="536"/>
      <c r="MNK1" s="536"/>
      <c r="MNL1" s="536"/>
      <c r="MNM1" s="536"/>
      <c r="MNN1" s="536"/>
      <c r="MNO1" s="536"/>
      <c r="MNP1" s="536"/>
      <c r="MNQ1" s="536"/>
      <c r="MNR1" s="536"/>
      <c r="MNS1" s="536"/>
      <c r="MNT1" s="536"/>
      <c r="MNU1" s="536"/>
      <c r="MNV1" s="536"/>
      <c r="MNW1" s="536"/>
      <c r="MNX1" s="536"/>
      <c r="MNY1" s="536"/>
      <c r="MNZ1" s="536"/>
      <c r="MOA1" s="536"/>
      <c r="MOB1" s="536"/>
      <c r="MOC1" s="536"/>
      <c r="MOD1" s="536"/>
      <c r="MOE1" s="536"/>
      <c r="MOF1" s="536"/>
      <c r="MOG1" s="536"/>
      <c r="MOH1" s="536"/>
      <c r="MOI1" s="536"/>
      <c r="MOJ1" s="536"/>
      <c r="MOK1" s="536"/>
      <c r="MOL1" s="536"/>
      <c r="MOM1" s="536"/>
      <c r="MON1" s="536"/>
      <c r="MOO1" s="536"/>
      <c r="MOP1" s="536"/>
      <c r="MOQ1" s="536"/>
      <c r="MOR1" s="536"/>
      <c r="MOS1" s="536"/>
      <c r="MOT1" s="536"/>
      <c r="MOU1" s="536"/>
      <c r="MOV1" s="536"/>
      <c r="MOW1" s="536"/>
      <c r="MOX1" s="536"/>
      <c r="MOY1" s="536"/>
      <c r="MOZ1" s="536"/>
      <c r="MPA1" s="536"/>
      <c r="MPB1" s="536"/>
      <c r="MPC1" s="536"/>
      <c r="MPD1" s="536"/>
      <c r="MPE1" s="536"/>
      <c r="MPF1" s="536"/>
      <c r="MPG1" s="536"/>
      <c r="MPH1" s="536"/>
      <c r="MPI1" s="536"/>
      <c r="MPJ1" s="536"/>
      <c r="MPK1" s="536"/>
      <c r="MPL1" s="536"/>
      <c r="MPM1" s="536"/>
      <c r="MPN1" s="536"/>
      <c r="MPO1" s="536"/>
      <c r="MPP1" s="536"/>
      <c r="MPQ1" s="536"/>
      <c r="MPR1" s="536"/>
      <c r="MPS1" s="536"/>
      <c r="MPT1" s="536"/>
      <c r="MPU1" s="536"/>
      <c r="MPV1" s="536"/>
      <c r="MPW1" s="536"/>
      <c r="MPX1" s="536"/>
      <c r="MPY1" s="536"/>
      <c r="MPZ1" s="536"/>
      <c r="MQA1" s="536"/>
      <c r="MQB1" s="536"/>
      <c r="MQC1" s="536"/>
      <c r="MQD1" s="536"/>
      <c r="MQE1" s="536"/>
      <c r="MQF1" s="536"/>
      <c r="MQG1" s="536"/>
      <c r="MQH1" s="536"/>
      <c r="MQI1" s="536"/>
      <c r="MQJ1" s="536"/>
      <c r="MQK1" s="536"/>
      <c r="MQL1" s="536"/>
      <c r="MQM1" s="536"/>
      <c r="MQN1" s="536"/>
      <c r="MQO1" s="536"/>
      <c r="MQP1" s="536"/>
      <c r="MQQ1" s="536"/>
      <c r="MQR1" s="536"/>
      <c r="MQS1" s="536"/>
      <c r="MQT1" s="536"/>
      <c r="MQU1" s="536"/>
      <c r="MQV1" s="536"/>
      <c r="MQW1" s="536"/>
      <c r="MQX1" s="536"/>
      <c r="MQY1" s="536"/>
      <c r="MQZ1" s="536"/>
      <c r="MRA1" s="536"/>
      <c r="MRB1" s="536"/>
      <c r="MRC1" s="536"/>
      <c r="MRD1" s="536"/>
      <c r="MRE1" s="536"/>
      <c r="MRF1" s="536"/>
      <c r="MRG1" s="536"/>
      <c r="MRH1" s="536"/>
      <c r="MRI1" s="536"/>
      <c r="MRJ1" s="536"/>
      <c r="MRK1" s="536"/>
      <c r="MRL1" s="536"/>
      <c r="MRM1" s="536"/>
      <c r="MRN1" s="536"/>
      <c r="MRO1" s="536"/>
      <c r="MRP1" s="536"/>
      <c r="MRQ1" s="536"/>
      <c r="MRR1" s="536"/>
      <c r="MRS1" s="536"/>
      <c r="MRT1" s="536"/>
      <c r="MRU1" s="536"/>
      <c r="MRV1" s="536"/>
      <c r="MRW1" s="536"/>
      <c r="MRX1" s="536"/>
      <c r="MRY1" s="536"/>
      <c r="MRZ1" s="536"/>
      <c r="MSA1" s="536"/>
      <c r="MSB1" s="536"/>
      <c r="MSC1" s="536"/>
      <c r="MSD1" s="536"/>
      <c r="MSE1" s="536"/>
      <c r="MSF1" s="536"/>
      <c r="MSG1" s="536"/>
      <c r="MSH1" s="536"/>
      <c r="MSI1" s="536"/>
      <c r="MSJ1" s="536"/>
      <c r="MSK1" s="536"/>
      <c r="MSL1" s="536"/>
      <c r="MSM1" s="536"/>
      <c r="MSN1" s="536"/>
      <c r="MSO1" s="536"/>
      <c r="MSP1" s="536"/>
      <c r="MSQ1" s="536"/>
      <c r="MSR1" s="536"/>
      <c r="MSS1" s="536"/>
      <c r="MST1" s="536"/>
      <c r="MSU1" s="536"/>
      <c r="MSV1" s="536"/>
      <c r="MSW1" s="536"/>
      <c r="MSX1" s="536"/>
      <c r="MSY1" s="536"/>
      <c r="MSZ1" s="536"/>
      <c r="MTA1" s="536"/>
      <c r="MTB1" s="536"/>
      <c r="MTC1" s="536"/>
      <c r="MTD1" s="536"/>
      <c r="MTE1" s="536"/>
      <c r="MTF1" s="536"/>
      <c r="MTG1" s="536"/>
      <c r="MTH1" s="536"/>
      <c r="MTI1" s="536"/>
      <c r="MTJ1" s="536"/>
      <c r="MTK1" s="536"/>
      <c r="MTL1" s="536"/>
      <c r="MTM1" s="536"/>
      <c r="MTN1" s="536"/>
      <c r="MTO1" s="536"/>
      <c r="MTP1" s="536"/>
      <c r="MTQ1" s="536"/>
      <c r="MTR1" s="536"/>
      <c r="MTS1" s="536"/>
      <c r="MTT1" s="536"/>
      <c r="MTU1" s="536"/>
      <c r="MTV1" s="536"/>
      <c r="MTW1" s="536"/>
      <c r="MTX1" s="536"/>
      <c r="MTY1" s="536"/>
      <c r="MTZ1" s="536"/>
      <c r="MUA1" s="536"/>
      <c r="MUB1" s="536"/>
      <c r="MUC1" s="536"/>
      <c r="MUD1" s="536"/>
      <c r="MUE1" s="536"/>
      <c r="MUF1" s="536"/>
      <c r="MUG1" s="536"/>
      <c r="MUH1" s="536"/>
      <c r="MUI1" s="536"/>
      <c r="MUJ1" s="536"/>
      <c r="MUK1" s="536"/>
      <c r="MUL1" s="536"/>
      <c r="MUM1" s="536"/>
      <c r="MUN1" s="536"/>
      <c r="MUO1" s="536"/>
      <c r="MUP1" s="536"/>
      <c r="MUQ1" s="536"/>
      <c r="MUR1" s="536"/>
      <c r="MUS1" s="536"/>
      <c r="MUT1" s="536"/>
      <c r="MUU1" s="536"/>
      <c r="MUV1" s="536"/>
      <c r="MUW1" s="536"/>
      <c r="MUX1" s="536"/>
      <c r="MUY1" s="536"/>
      <c r="MUZ1" s="536"/>
      <c r="MVA1" s="536"/>
      <c r="MVB1" s="536"/>
      <c r="MVC1" s="536"/>
      <c r="MVD1" s="536"/>
      <c r="MVE1" s="536"/>
      <c r="MVF1" s="536"/>
      <c r="MVG1" s="536"/>
      <c r="MVH1" s="536"/>
      <c r="MVI1" s="536"/>
      <c r="MVJ1" s="536"/>
      <c r="MVK1" s="536"/>
      <c r="MVL1" s="536"/>
      <c r="MVM1" s="536"/>
      <c r="MVN1" s="536"/>
      <c r="MVO1" s="536"/>
      <c r="MVP1" s="536"/>
      <c r="MVQ1" s="536"/>
      <c r="MVR1" s="536"/>
      <c r="MVS1" s="536"/>
      <c r="MVT1" s="536"/>
      <c r="MVU1" s="536"/>
      <c r="MVV1" s="536"/>
      <c r="MVW1" s="536"/>
      <c r="MVX1" s="536"/>
      <c r="MVY1" s="536"/>
      <c r="MVZ1" s="536"/>
      <c r="MWA1" s="536"/>
      <c r="MWB1" s="536"/>
      <c r="MWC1" s="536"/>
      <c r="MWD1" s="536"/>
      <c r="MWE1" s="536"/>
      <c r="MWF1" s="536"/>
      <c r="MWG1" s="536"/>
      <c r="MWH1" s="536"/>
      <c r="MWI1" s="536"/>
      <c r="MWJ1" s="536"/>
      <c r="MWK1" s="536"/>
      <c r="MWL1" s="536"/>
      <c r="MWM1" s="536"/>
      <c r="MWN1" s="536"/>
      <c r="MWO1" s="536"/>
      <c r="MWP1" s="536"/>
      <c r="MWQ1" s="536"/>
      <c r="MWR1" s="536"/>
      <c r="MWS1" s="536"/>
      <c r="MWT1" s="536"/>
      <c r="MWU1" s="536"/>
      <c r="MWV1" s="536"/>
      <c r="MWW1" s="536"/>
      <c r="MWX1" s="536"/>
      <c r="MWY1" s="536"/>
      <c r="MWZ1" s="536"/>
      <c r="MXA1" s="536"/>
      <c r="MXB1" s="536"/>
      <c r="MXC1" s="536"/>
      <c r="MXD1" s="536"/>
      <c r="MXE1" s="536"/>
      <c r="MXF1" s="536"/>
      <c r="MXG1" s="536"/>
      <c r="MXH1" s="536"/>
      <c r="MXI1" s="536"/>
      <c r="MXJ1" s="536"/>
      <c r="MXK1" s="536"/>
      <c r="MXL1" s="536"/>
      <c r="MXM1" s="536"/>
      <c r="MXN1" s="536"/>
      <c r="MXO1" s="536"/>
      <c r="MXP1" s="536"/>
      <c r="MXQ1" s="536"/>
      <c r="MXR1" s="536"/>
      <c r="MXS1" s="536"/>
      <c r="MXT1" s="536"/>
      <c r="MXU1" s="536"/>
      <c r="MXV1" s="536"/>
      <c r="MXW1" s="536"/>
      <c r="MXX1" s="536"/>
      <c r="MXY1" s="536"/>
      <c r="MXZ1" s="536"/>
      <c r="MYA1" s="536"/>
      <c r="MYB1" s="536"/>
      <c r="MYC1" s="536"/>
      <c r="MYD1" s="536"/>
      <c r="MYE1" s="536"/>
      <c r="MYF1" s="536"/>
      <c r="MYG1" s="536"/>
      <c r="MYH1" s="536"/>
      <c r="MYI1" s="536"/>
      <c r="MYJ1" s="536"/>
      <c r="MYK1" s="536"/>
      <c r="MYL1" s="536"/>
      <c r="MYM1" s="536"/>
      <c r="MYN1" s="536"/>
      <c r="MYO1" s="536"/>
      <c r="MYP1" s="536"/>
      <c r="MYQ1" s="536"/>
      <c r="MYR1" s="536"/>
      <c r="MYS1" s="536"/>
      <c r="MYT1" s="536"/>
      <c r="MYU1" s="536"/>
      <c r="MYV1" s="536"/>
      <c r="MYW1" s="536"/>
      <c r="MYX1" s="536"/>
      <c r="MYY1" s="536"/>
      <c r="MYZ1" s="536"/>
      <c r="MZA1" s="536"/>
      <c r="MZB1" s="536"/>
      <c r="MZC1" s="536"/>
      <c r="MZD1" s="536"/>
      <c r="MZE1" s="536"/>
      <c r="MZF1" s="536"/>
      <c r="MZG1" s="536"/>
      <c r="MZH1" s="536"/>
      <c r="MZI1" s="536"/>
      <c r="MZJ1" s="536"/>
      <c r="MZK1" s="536"/>
      <c r="MZL1" s="536"/>
      <c r="MZM1" s="536"/>
      <c r="MZN1" s="536"/>
      <c r="MZO1" s="536"/>
      <c r="MZP1" s="536"/>
      <c r="MZQ1" s="536"/>
      <c r="MZR1" s="536"/>
      <c r="MZS1" s="536"/>
      <c r="MZT1" s="536"/>
      <c r="MZU1" s="536"/>
      <c r="MZV1" s="536"/>
      <c r="MZW1" s="536"/>
      <c r="MZX1" s="536"/>
      <c r="MZY1" s="536"/>
      <c r="MZZ1" s="536"/>
      <c r="NAA1" s="536"/>
      <c r="NAB1" s="536"/>
      <c r="NAC1" s="536"/>
      <c r="NAD1" s="536"/>
      <c r="NAE1" s="536"/>
      <c r="NAF1" s="536"/>
      <c r="NAG1" s="536"/>
      <c r="NAH1" s="536"/>
      <c r="NAI1" s="536"/>
      <c r="NAJ1" s="536"/>
      <c r="NAK1" s="536"/>
      <c r="NAL1" s="536"/>
      <c r="NAM1" s="536"/>
      <c r="NAN1" s="536"/>
      <c r="NAO1" s="536"/>
      <c r="NAP1" s="536"/>
      <c r="NAQ1" s="536"/>
      <c r="NAR1" s="536"/>
      <c r="NAS1" s="536"/>
      <c r="NAT1" s="536"/>
      <c r="NAU1" s="536"/>
      <c r="NAV1" s="536"/>
      <c r="NAW1" s="536"/>
      <c r="NAX1" s="536"/>
      <c r="NAY1" s="536"/>
      <c r="NAZ1" s="536"/>
      <c r="NBA1" s="536"/>
      <c r="NBB1" s="536"/>
      <c r="NBC1" s="536"/>
      <c r="NBD1" s="536"/>
      <c r="NBE1" s="536"/>
      <c r="NBF1" s="536"/>
      <c r="NBG1" s="536"/>
      <c r="NBH1" s="536"/>
      <c r="NBI1" s="536"/>
      <c r="NBJ1" s="536"/>
      <c r="NBK1" s="536"/>
      <c r="NBL1" s="536"/>
      <c r="NBM1" s="536"/>
      <c r="NBN1" s="536"/>
      <c r="NBO1" s="536"/>
      <c r="NBP1" s="536"/>
      <c r="NBQ1" s="536"/>
      <c r="NBR1" s="536"/>
      <c r="NBS1" s="536"/>
      <c r="NBT1" s="536"/>
      <c r="NBU1" s="536"/>
      <c r="NBV1" s="536"/>
      <c r="NBW1" s="536"/>
      <c r="NBX1" s="536"/>
      <c r="NBY1" s="536"/>
      <c r="NBZ1" s="536"/>
      <c r="NCA1" s="536"/>
      <c r="NCB1" s="536"/>
      <c r="NCC1" s="536"/>
      <c r="NCD1" s="536"/>
      <c r="NCE1" s="536"/>
      <c r="NCF1" s="536"/>
      <c r="NCG1" s="536"/>
      <c r="NCH1" s="536"/>
      <c r="NCI1" s="536"/>
      <c r="NCJ1" s="536"/>
      <c r="NCK1" s="536"/>
      <c r="NCL1" s="536"/>
      <c r="NCM1" s="536"/>
      <c r="NCN1" s="536"/>
      <c r="NCO1" s="536"/>
      <c r="NCP1" s="536"/>
      <c r="NCQ1" s="536"/>
      <c r="NCR1" s="536"/>
      <c r="NCS1" s="536"/>
      <c r="NCT1" s="536"/>
      <c r="NCU1" s="536"/>
      <c r="NCV1" s="536"/>
      <c r="NCW1" s="536"/>
      <c r="NCX1" s="536"/>
      <c r="NCY1" s="536"/>
      <c r="NCZ1" s="536"/>
      <c r="NDA1" s="536"/>
      <c r="NDB1" s="536"/>
      <c r="NDC1" s="536"/>
      <c r="NDD1" s="536"/>
      <c r="NDE1" s="536"/>
      <c r="NDF1" s="536"/>
      <c r="NDG1" s="536"/>
      <c r="NDH1" s="536"/>
      <c r="NDI1" s="536"/>
      <c r="NDJ1" s="536"/>
      <c r="NDK1" s="536"/>
      <c r="NDL1" s="536"/>
      <c r="NDM1" s="536"/>
      <c r="NDN1" s="536"/>
      <c r="NDO1" s="536"/>
      <c r="NDP1" s="536"/>
      <c r="NDQ1" s="536"/>
      <c r="NDR1" s="536"/>
      <c r="NDS1" s="536"/>
      <c r="NDT1" s="536"/>
      <c r="NDU1" s="536"/>
      <c r="NDV1" s="536"/>
      <c r="NDW1" s="536"/>
      <c r="NDX1" s="536"/>
      <c r="NDY1" s="536"/>
      <c r="NDZ1" s="536"/>
      <c r="NEA1" s="536"/>
      <c r="NEB1" s="536"/>
      <c r="NEC1" s="536"/>
      <c r="NED1" s="536"/>
      <c r="NEE1" s="536"/>
      <c r="NEF1" s="536"/>
      <c r="NEG1" s="536"/>
      <c r="NEH1" s="536"/>
      <c r="NEI1" s="536"/>
      <c r="NEJ1" s="536"/>
      <c r="NEK1" s="536"/>
      <c r="NEL1" s="536"/>
      <c r="NEM1" s="536"/>
      <c r="NEN1" s="536"/>
      <c r="NEO1" s="536"/>
      <c r="NEP1" s="536"/>
      <c r="NEQ1" s="536"/>
      <c r="NER1" s="536"/>
      <c r="NES1" s="536"/>
      <c r="NET1" s="536"/>
      <c r="NEU1" s="536"/>
      <c r="NEV1" s="536"/>
      <c r="NEW1" s="536"/>
      <c r="NEX1" s="536"/>
      <c r="NEY1" s="536"/>
      <c r="NEZ1" s="536"/>
      <c r="NFA1" s="536"/>
      <c r="NFB1" s="536"/>
      <c r="NFC1" s="536"/>
      <c r="NFD1" s="536"/>
      <c r="NFE1" s="536"/>
      <c r="NFF1" s="536"/>
      <c r="NFG1" s="536"/>
      <c r="NFH1" s="536"/>
      <c r="NFI1" s="536"/>
      <c r="NFJ1" s="536"/>
      <c r="NFK1" s="536"/>
      <c r="NFL1" s="536"/>
      <c r="NFM1" s="536"/>
      <c r="NFN1" s="536"/>
      <c r="NFO1" s="536"/>
      <c r="NFP1" s="536"/>
      <c r="NFQ1" s="536"/>
      <c r="NFR1" s="536"/>
      <c r="NFS1" s="536"/>
      <c r="NFT1" s="536"/>
      <c r="NFU1" s="536"/>
      <c r="NFV1" s="536"/>
      <c r="NFW1" s="536"/>
      <c r="NFX1" s="536"/>
      <c r="NFY1" s="536"/>
      <c r="NFZ1" s="536"/>
      <c r="NGA1" s="536"/>
      <c r="NGB1" s="536"/>
      <c r="NGC1" s="536"/>
      <c r="NGD1" s="536"/>
      <c r="NGE1" s="536"/>
      <c r="NGF1" s="536"/>
      <c r="NGG1" s="536"/>
      <c r="NGH1" s="536"/>
      <c r="NGI1" s="536"/>
      <c r="NGJ1" s="536"/>
      <c r="NGK1" s="536"/>
      <c r="NGL1" s="536"/>
      <c r="NGM1" s="536"/>
      <c r="NGN1" s="536"/>
      <c r="NGO1" s="536"/>
      <c r="NGP1" s="536"/>
      <c r="NGQ1" s="536"/>
      <c r="NGR1" s="536"/>
      <c r="NGS1" s="536"/>
      <c r="NGT1" s="536"/>
      <c r="NGU1" s="536"/>
      <c r="NGV1" s="536"/>
      <c r="NGW1" s="536"/>
      <c r="NGX1" s="536"/>
      <c r="NGY1" s="536"/>
      <c r="NGZ1" s="536"/>
      <c r="NHA1" s="536"/>
      <c r="NHB1" s="536"/>
      <c r="NHC1" s="536"/>
      <c r="NHD1" s="536"/>
      <c r="NHE1" s="536"/>
      <c r="NHF1" s="536"/>
      <c r="NHG1" s="536"/>
      <c r="NHH1" s="536"/>
      <c r="NHI1" s="536"/>
      <c r="NHJ1" s="536"/>
      <c r="NHK1" s="536"/>
      <c r="NHL1" s="536"/>
      <c r="NHM1" s="536"/>
      <c r="NHN1" s="536"/>
      <c r="NHO1" s="536"/>
      <c r="NHP1" s="536"/>
      <c r="NHQ1" s="536"/>
      <c r="NHR1" s="536"/>
      <c r="NHS1" s="536"/>
      <c r="NHT1" s="536"/>
      <c r="NHU1" s="536"/>
      <c r="NHV1" s="536"/>
      <c r="NHW1" s="536"/>
      <c r="NHX1" s="536"/>
      <c r="NHY1" s="536"/>
      <c r="NHZ1" s="536"/>
      <c r="NIA1" s="536"/>
      <c r="NIB1" s="536"/>
      <c r="NIC1" s="536"/>
      <c r="NID1" s="536"/>
      <c r="NIE1" s="536"/>
      <c r="NIF1" s="536"/>
      <c r="NIG1" s="536"/>
      <c r="NIH1" s="536"/>
      <c r="NII1" s="536"/>
      <c r="NIJ1" s="536"/>
      <c r="NIK1" s="536"/>
      <c r="NIL1" s="536"/>
      <c r="NIM1" s="536"/>
      <c r="NIN1" s="536"/>
      <c r="NIO1" s="536"/>
      <c r="NIP1" s="536"/>
      <c r="NIQ1" s="536"/>
      <c r="NIR1" s="536"/>
      <c r="NIS1" s="536"/>
      <c r="NIT1" s="536"/>
      <c r="NIU1" s="536"/>
      <c r="NIV1" s="536"/>
      <c r="NIW1" s="536"/>
      <c r="NIX1" s="536"/>
      <c r="NIY1" s="536"/>
      <c r="NIZ1" s="536"/>
      <c r="NJA1" s="536"/>
      <c r="NJB1" s="536"/>
      <c r="NJC1" s="536"/>
      <c r="NJD1" s="536"/>
      <c r="NJE1" s="536"/>
      <c r="NJF1" s="536"/>
      <c r="NJG1" s="536"/>
      <c r="NJH1" s="536"/>
      <c r="NJI1" s="536"/>
      <c r="NJJ1" s="536"/>
      <c r="NJK1" s="536"/>
      <c r="NJL1" s="536"/>
      <c r="NJM1" s="536"/>
      <c r="NJN1" s="536"/>
      <c r="NJO1" s="536"/>
      <c r="NJP1" s="536"/>
      <c r="NJQ1" s="536"/>
      <c r="NJR1" s="536"/>
      <c r="NJS1" s="536"/>
      <c r="NJT1" s="536"/>
      <c r="NJU1" s="536"/>
      <c r="NJV1" s="536"/>
      <c r="NJW1" s="536"/>
      <c r="NJX1" s="536"/>
      <c r="NJY1" s="536"/>
      <c r="NJZ1" s="536"/>
      <c r="NKA1" s="536"/>
      <c r="NKB1" s="536"/>
      <c r="NKC1" s="536"/>
      <c r="NKD1" s="536"/>
      <c r="NKE1" s="536"/>
      <c r="NKF1" s="536"/>
      <c r="NKG1" s="536"/>
      <c r="NKH1" s="536"/>
      <c r="NKI1" s="536"/>
      <c r="NKJ1" s="536"/>
      <c r="NKK1" s="536"/>
      <c r="NKL1" s="536"/>
      <c r="NKM1" s="536"/>
      <c r="NKN1" s="536"/>
      <c r="NKO1" s="536"/>
      <c r="NKP1" s="536"/>
      <c r="NKQ1" s="536"/>
      <c r="NKR1" s="536"/>
      <c r="NKS1" s="536"/>
      <c r="NKT1" s="536"/>
      <c r="NKU1" s="536"/>
      <c r="NKV1" s="536"/>
      <c r="NKW1" s="536"/>
      <c r="NKX1" s="536"/>
      <c r="NKY1" s="536"/>
      <c r="NKZ1" s="536"/>
      <c r="NLA1" s="536"/>
      <c r="NLB1" s="536"/>
      <c r="NLC1" s="536"/>
      <c r="NLD1" s="536"/>
      <c r="NLE1" s="536"/>
      <c r="NLF1" s="536"/>
      <c r="NLG1" s="536"/>
      <c r="NLH1" s="536"/>
      <c r="NLI1" s="536"/>
      <c r="NLJ1" s="536"/>
      <c r="NLK1" s="536"/>
      <c r="NLL1" s="536"/>
      <c r="NLM1" s="536"/>
      <c r="NLN1" s="536"/>
      <c r="NLO1" s="536"/>
      <c r="NLP1" s="536"/>
      <c r="NLQ1" s="536"/>
      <c r="NLR1" s="536"/>
      <c r="NLS1" s="536"/>
      <c r="NLT1" s="536"/>
      <c r="NLU1" s="536"/>
      <c r="NLV1" s="536"/>
      <c r="NLW1" s="536"/>
      <c r="NLX1" s="536"/>
      <c r="NLY1" s="536"/>
      <c r="NLZ1" s="536"/>
      <c r="NMA1" s="536"/>
      <c r="NMB1" s="536"/>
      <c r="NMC1" s="536"/>
      <c r="NMD1" s="536"/>
      <c r="NME1" s="536"/>
      <c r="NMF1" s="536"/>
      <c r="NMG1" s="536"/>
      <c r="NMH1" s="536"/>
      <c r="NMI1" s="536"/>
      <c r="NMJ1" s="536"/>
      <c r="NMK1" s="536"/>
      <c r="NML1" s="536"/>
      <c r="NMM1" s="536"/>
      <c r="NMN1" s="536"/>
      <c r="NMO1" s="536"/>
      <c r="NMP1" s="536"/>
      <c r="NMQ1" s="536"/>
      <c r="NMR1" s="536"/>
      <c r="NMS1" s="536"/>
      <c r="NMT1" s="536"/>
      <c r="NMU1" s="536"/>
      <c r="NMV1" s="536"/>
      <c r="NMW1" s="536"/>
      <c r="NMX1" s="536"/>
      <c r="NMY1" s="536"/>
      <c r="NMZ1" s="536"/>
      <c r="NNA1" s="536"/>
      <c r="NNB1" s="536"/>
      <c r="NNC1" s="536"/>
      <c r="NND1" s="536"/>
      <c r="NNE1" s="536"/>
      <c r="NNF1" s="536"/>
      <c r="NNG1" s="536"/>
      <c r="NNH1" s="536"/>
      <c r="NNI1" s="536"/>
      <c r="NNJ1" s="536"/>
      <c r="NNK1" s="536"/>
      <c r="NNL1" s="536"/>
      <c r="NNM1" s="536"/>
      <c r="NNN1" s="536"/>
      <c r="NNO1" s="536"/>
      <c r="NNP1" s="536"/>
      <c r="NNQ1" s="536"/>
      <c r="NNR1" s="536"/>
      <c r="NNS1" s="536"/>
      <c r="NNT1" s="536"/>
      <c r="NNU1" s="536"/>
      <c r="NNV1" s="536"/>
      <c r="NNW1" s="536"/>
      <c r="NNX1" s="536"/>
      <c r="NNY1" s="536"/>
      <c r="NNZ1" s="536"/>
      <c r="NOA1" s="536"/>
      <c r="NOB1" s="536"/>
      <c r="NOC1" s="536"/>
      <c r="NOD1" s="536"/>
      <c r="NOE1" s="536"/>
      <c r="NOF1" s="536"/>
      <c r="NOG1" s="536"/>
      <c r="NOH1" s="536"/>
      <c r="NOI1" s="536"/>
      <c r="NOJ1" s="536"/>
      <c r="NOK1" s="536"/>
      <c r="NOL1" s="536"/>
      <c r="NOM1" s="536"/>
      <c r="NON1" s="536"/>
      <c r="NOO1" s="536"/>
      <c r="NOP1" s="536"/>
      <c r="NOQ1" s="536"/>
      <c r="NOR1" s="536"/>
      <c r="NOS1" s="536"/>
      <c r="NOT1" s="536"/>
      <c r="NOU1" s="536"/>
      <c r="NOV1" s="536"/>
      <c r="NOW1" s="536"/>
      <c r="NOX1" s="536"/>
      <c r="NOY1" s="536"/>
      <c r="NOZ1" s="536"/>
      <c r="NPA1" s="536"/>
      <c r="NPB1" s="536"/>
      <c r="NPC1" s="536"/>
      <c r="NPD1" s="536"/>
      <c r="NPE1" s="536"/>
      <c r="NPF1" s="536"/>
      <c r="NPG1" s="536"/>
      <c r="NPH1" s="536"/>
      <c r="NPI1" s="536"/>
      <c r="NPJ1" s="536"/>
      <c r="NPK1" s="536"/>
      <c r="NPL1" s="536"/>
      <c r="NPM1" s="536"/>
      <c r="NPN1" s="536"/>
      <c r="NPO1" s="536"/>
      <c r="NPP1" s="536"/>
      <c r="NPQ1" s="536"/>
      <c r="NPR1" s="536"/>
      <c r="NPS1" s="536"/>
      <c r="NPT1" s="536"/>
      <c r="NPU1" s="536"/>
      <c r="NPV1" s="536"/>
      <c r="NPW1" s="536"/>
      <c r="NPX1" s="536"/>
      <c r="NPY1" s="536"/>
      <c r="NPZ1" s="536"/>
      <c r="NQA1" s="536"/>
      <c r="NQB1" s="536"/>
      <c r="NQC1" s="536"/>
      <c r="NQD1" s="536"/>
      <c r="NQE1" s="536"/>
      <c r="NQF1" s="536"/>
      <c r="NQG1" s="536"/>
      <c r="NQH1" s="536"/>
      <c r="NQI1" s="536"/>
      <c r="NQJ1" s="536"/>
      <c r="NQK1" s="536"/>
      <c r="NQL1" s="536"/>
      <c r="NQM1" s="536"/>
      <c r="NQN1" s="536"/>
      <c r="NQO1" s="536"/>
      <c r="NQP1" s="536"/>
      <c r="NQQ1" s="536"/>
      <c r="NQR1" s="536"/>
      <c r="NQS1" s="536"/>
      <c r="NQT1" s="536"/>
      <c r="NQU1" s="536"/>
      <c r="NQV1" s="536"/>
      <c r="NQW1" s="536"/>
      <c r="NQX1" s="536"/>
      <c r="NQY1" s="536"/>
      <c r="NQZ1" s="536"/>
      <c r="NRA1" s="536"/>
      <c r="NRB1" s="536"/>
      <c r="NRC1" s="536"/>
      <c r="NRD1" s="536"/>
      <c r="NRE1" s="536"/>
      <c r="NRF1" s="536"/>
      <c r="NRG1" s="536"/>
      <c r="NRH1" s="536"/>
      <c r="NRI1" s="536"/>
      <c r="NRJ1" s="536"/>
      <c r="NRK1" s="536"/>
      <c r="NRL1" s="536"/>
      <c r="NRM1" s="536"/>
      <c r="NRN1" s="536"/>
      <c r="NRO1" s="536"/>
      <c r="NRP1" s="536"/>
      <c r="NRQ1" s="536"/>
      <c r="NRR1" s="536"/>
      <c r="NRS1" s="536"/>
      <c r="NRT1" s="536"/>
      <c r="NRU1" s="536"/>
      <c r="NRV1" s="536"/>
      <c r="NRW1" s="536"/>
      <c r="NRX1" s="536"/>
      <c r="NRY1" s="536"/>
      <c r="NRZ1" s="536"/>
      <c r="NSA1" s="536"/>
      <c r="NSB1" s="536"/>
      <c r="NSC1" s="536"/>
      <c r="NSD1" s="536"/>
      <c r="NSE1" s="536"/>
      <c r="NSF1" s="536"/>
      <c r="NSG1" s="536"/>
      <c r="NSH1" s="536"/>
      <c r="NSI1" s="536"/>
      <c r="NSJ1" s="536"/>
      <c r="NSK1" s="536"/>
      <c r="NSL1" s="536"/>
      <c r="NSM1" s="536"/>
      <c r="NSN1" s="536"/>
      <c r="NSO1" s="536"/>
      <c r="NSP1" s="536"/>
      <c r="NSQ1" s="536"/>
      <c r="NSR1" s="536"/>
      <c r="NSS1" s="536"/>
      <c r="NST1" s="536"/>
      <c r="NSU1" s="536"/>
      <c r="NSV1" s="536"/>
      <c r="NSW1" s="536"/>
      <c r="NSX1" s="536"/>
      <c r="NSY1" s="536"/>
      <c r="NSZ1" s="536"/>
      <c r="NTA1" s="536"/>
      <c r="NTB1" s="536"/>
      <c r="NTC1" s="536"/>
      <c r="NTD1" s="536"/>
      <c r="NTE1" s="536"/>
      <c r="NTF1" s="536"/>
      <c r="NTG1" s="536"/>
      <c r="NTH1" s="536"/>
      <c r="NTI1" s="536"/>
      <c r="NTJ1" s="536"/>
      <c r="NTK1" s="536"/>
      <c r="NTL1" s="536"/>
      <c r="NTM1" s="536"/>
      <c r="NTN1" s="536"/>
      <c r="NTO1" s="536"/>
      <c r="NTP1" s="536"/>
      <c r="NTQ1" s="536"/>
      <c r="NTR1" s="536"/>
      <c r="NTS1" s="536"/>
      <c r="NTT1" s="536"/>
      <c r="NTU1" s="536"/>
      <c r="NTV1" s="536"/>
      <c r="NTW1" s="536"/>
      <c r="NTX1" s="536"/>
      <c r="NTY1" s="536"/>
      <c r="NTZ1" s="536"/>
      <c r="NUA1" s="536"/>
      <c r="NUB1" s="536"/>
      <c r="NUC1" s="536"/>
      <c r="NUD1" s="536"/>
      <c r="NUE1" s="536"/>
      <c r="NUF1" s="536"/>
      <c r="NUG1" s="536"/>
      <c r="NUH1" s="536"/>
      <c r="NUI1" s="536"/>
      <c r="NUJ1" s="536"/>
      <c r="NUK1" s="536"/>
      <c r="NUL1" s="536"/>
      <c r="NUM1" s="536"/>
      <c r="NUN1" s="536"/>
      <c r="NUO1" s="536"/>
      <c r="NUP1" s="536"/>
      <c r="NUQ1" s="536"/>
      <c r="NUR1" s="536"/>
      <c r="NUS1" s="536"/>
      <c r="NUT1" s="536"/>
      <c r="NUU1" s="536"/>
      <c r="NUV1" s="536"/>
      <c r="NUW1" s="536"/>
      <c r="NUX1" s="536"/>
      <c r="NUY1" s="536"/>
      <c r="NUZ1" s="536"/>
      <c r="NVA1" s="536"/>
      <c r="NVB1" s="536"/>
      <c r="NVC1" s="536"/>
      <c r="NVD1" s="536"/>
      <c r="NVE1" s="536"/>
      <c r="NVF1" s="536"/>
      <c r="NVG1" s="536"/>
      <c r="NVH1" s="536"/>
      <c r="NVI1" s="536"/>
      <c r="NVJ1" s="536"/>
      <c r="NVK1" s="536"/>
      <c r="NVL1" s="536"/>
      <c r="NVM1" s="536"/>
      <c r="NVN1" s="536"/>
      <c r="NVO1" s="536"/>
      <c r="NVP1" s="536"/>
      <c r="NVQ1" s="536"/>
      <c r="NVR1" s="536"/>
      <c r="NVS1" s="536"/>
      <c r="NVT1" s="536"/>
      <c r="NVU1" s="536"/>
      <c r="NVV1" s="536"/>
      <c r="NVW1" s="536"/>
      <c r="NVX1" s="536"/>
      <c r="NVY1" s="536"/>
      <c r="NVZ1" s="536"/>
      <c r="NWA1" s="536"/>
      <c r="NWB1" s="536"/>
      <c r="NWC1" s="536"/>
      <c r="NWD1" s="536"/>
      <c r="NWE1" s="536"/>
      <c r="NWF1" s="536"/>
      <c r="NWG1" s="536"/>
      <c r="NWH1" s="536"/>
      <c r="NWI1" s="536"/>
      <c r="NWJ1" s="536"/>
      <c r="NWK1" s="536"/>
      <c r="NWL1" s="536"/>
      <c r="NWM1" s="536"/>
      <c r="NWN1" s="536"/>
      <c r="NWO1" s="536"/>
      <c r="NWP1" s="536"/>
      <c r="NWQ1" s="536"/>
      <c r="NWR1" s="536"/>
      <c r="NWS1" s="536"/>
      <c r="NWT1" s="536"/>
      <c r="NWU1" s="536"/>
      <c r="NWV1" s="536"/>
      <c r="NWW1" s="536"/>
      <c r="NWX1" s="536"/>
      <c r="NWY1" s="536"/>
      <c r="NWZ1" s="536"/>
      <c r="NXA1" s="536"/>
      <c r="NXB1" s="536"/>
      <c r="NXC1" s="536"/>
      <c r="NXD1" s="536"/>
      <c r="NXE1" s="536"/>
      <c r="NXF1" s="536"/>
      <c r="NXG1" s="536"/>
      <c r="NXH1" s="536"/>
      <c r="NXI1" s="536"/>
      <c r="NXJ1" s="536"/>
      <c r="NXK1" s="536"/>
      <c r="NXL1" s="536"/>
      <c r="NXM1" s="536"/>
      <c r="NXN1" s="536"/>
      <c r="NXO1" s="536"/>
      <c r="NXP1" s="536"/>
      <c r="NXQ1" s="536"/>
      <c r="NXR1" s="536"/>
      <c r="NXS1" s="536"/>
      <c r="NXT1" s="536"/>
      <c r="NXU1" s="536"/>
      <c r="NXV1" s="536"/>
      <c r="NXW1" s="536"/>
      <c r="NXX1" s="536"/>
      <c r="NXY1" s="536"/>
      <c r="NXZ1" s="536"/>
      <c r="NYA1" s="536"/>
      <c r="NYB1" s="536"/>
      <c r="NYC1" s="536"/>
      <c r="NYD1" s="536"/>
      <c r="NYE1" s="536"/>
      <c r="NYF1" s="536"/>
      <c r="NYG1" s="536"/>
      <c r="NYH1" s="536"/>
      <c r="NYI1" s="536"/>
      <c r="NYJ1" s="536"/>
      <c r="NYK1" s="536"/>
      <c r="NYL1" s="536"/>
      <c r="NYM1" s="536"/>
      <c r="NYN1" s="536"/>
      <c r="NYO1" s="536"/>
      <c r="NYP1" s="536"/>
      <c r="NYQ1" s="536"/>
      <c r="NYR1" s="536"/>
      <c r="NYS1" s="536"/>
      <c r="NYT1" s="536"/>
      <c r="NYU1" s="536"/>
      <c r="NYV1" s="536"/>
      <c r="NYW1" s="536"/>
      <c r="NYX1" s="536"/>
      <c r="NYY1" s="536"/>
      <c r="NYZ1" s="536"/>
      <c r="NZA1" s="536"/>
      <c r="NZB1" s="536"/>
      <c r="NZC1" s="536"/>
      <c r="NZD1" s="536"/>
      <c r="NZE1" s="536"/>
      <c r="NZF1" s="536"/>
      <c r="NZG1" s="536"/>
      <c r="NZH1" s="536"/>
      <c r="NZI1" s="536"/>
      <c r="NZJ1" s="536"/>
      <c r="NZK1" s="536"/>
      <c r="NZL1" s="536"/>
      <c r="NZM1" s="536"/>
      <c r="NZN1" s="536"/>
      <c r="NZO1" s="536"/>
      <c r="NZP1" s="536"/>
      <c r="NZQ1" s="536"/>
      <c r="NZR1" s="536"/>
      <c r="NZS1" s="536"/>
      <c r="NZT1" s="536"/>
      <c r="NZU1" s="536"/>
      <c r="NZV1" s="536"/>
      <c r="NZW1" s="536"/>
      <c r="NZX1" s="536"/>
      <c r="NZY1" s="536"/>
      <c r="NZZ1" s="536"/>
      <c r="OAA1" s="536"/>
      <c r="OAB1" s="536"/>
      <c r="OAC1" s="536"/>
      <c r="OAD1" s="536"/>
      <c r="OAE1" s="536"/>
      <c r="OAF1" s="536"/>
      <c r="OAG1" s="536"/>
      <c r="OAH1" s="536"/>
      <c r="OAI1" s="536"/>
      <c r="OAJ1" s="536"/>
      <c r="OAK1" s="536"/>
      <c r="OAL1" s="536"/>
      <c r="OAM1" s="536"/>
      <c r="OAN1" s="536"/>
      <c r="OAO1" s="536"/>
      <c r="OAP1" s="536"/>
      <c r="OAQ1" s="536"/>
      <c r="OAR1" s="536"/>
      <c r="OAS1" s="536"/>
      <c r="OAT1" s="536"/>
      <c r="OAU1" s="536"/>
      <c r="OAV1" s="536"/>
      <c r="OAW1" s="536"/>
      <c r="OAX1" s="536"/>
      <c r="OAY1" s="536"/>
      <c r="OAZ1" s="536"/>
      <c r="OBA1" s="536"/>
      <c r="OBB1" s="536"/>
      <c r="OBC1" s="536"/>
      <c r="OBD1" s="536"/>
      <c r="OBE1" s="536"/>
      <c r="OBF1" s="536"/>
      <c r="OBG1" s="536"/>
      <c r="OBH1" s="536"/>
      <c r="OBI1" s="536"/>
      <c r="OBJ1" s="536"/>
      <c r="OBK1" s="536"/>
      <c r="OBL1" s="536"/>
      <c r="OBM1" s="536"/>
      <c r="OBN1" s="536"/>
      <c r="OBO1" s="536"/>
      <c r="OBP1" s="536"/>
      <c r="OBQ1" s="536"/>
      <c r="OBR1" s="536"/>
      <c r="OBS1" s="536"/>
      <c r="OBT1" s="536"/>
      <c r="OBU1" s="536"/>
      <c r="OBV1" s="536"/>
      <c r="OBW1" s="536"/>
      <c r="OBX1" s="536"/>
      <c r="OBY1" s="536"/>
      <c r="OBZ1" s="536"/>
      <c r="OCA1" s="536"/>
      <c r="OCB1" s="536"/>
      <c r="OCC1" s="536"/>
      <c r="OCD1" s="536"/>
      <c r="OCE1" s="536"/>
      <c r="OCF1" s="536"/>
      <c r="OCG1" s="536"/>
      <c r="OCH1" s="536"/>
      <c r="OCI1" s="536"/>
      <c r="OCJ1" s="536"/>
      <c r="OCK1" s="536"/>
      <c r="OCL1" s="536"/>
      <c r="OCM1" s="536"/>
      <c r="OCN1" s="536"/>
      <c r="OCO1" s="536"/>
      <c r="OCP1" s="536"/>
      <c r="OCQ1" s="536"/>
      <c r="OCR1" s="536"/>
      <c r="OCS1" s="536"/>
      <c r="OCT1" s="536"/>
      <c r="OCU1" s="536"/>
      <c r="OCV1" s="536"/>
      <c r="OCW1" s="536"/>
      <c r="OCX1" s="536"/>
      <c r="OCY1" s="536"/>
      <c r="OCZ1" s="536"/>
      <c r="ODA1" s="536"/>
      <c r="ODB1" s="536"/>
      <c r="ODC1" s="536"/>
      <c r="ODD1" s="536"/>
      <c r="ODE1" s="536"/>
      <c r="ODF1" s="536"/>
      <c r="ODG1" s="536"/>
      <c r="ODH1" s="536"/>
      <c r="ODI1" s="536"/>
      <c r="ODJ1" s="536"/>
      <c r="ODK1" s="536"/>
      <c r="ODL1" s="536"/>
      <c r="ODM1" s="536"/>
      <c r="ODN1" s="536"/>
      <c r="ODO1" s="536"/>
      <c r="ODP1" s="536"/>
      <c r="ODQ1" s="536"/>
      <c r="ODR1" s="536"/>
      <c r="ODS1" s="536"/>
      <c r="ODT1" s="536"/>
      <c r="ODU1" s="536"/>
      <c r="ODV1" s="536"/>
      <c r="ODW1" s="536"/>
      <c r="ODX1" s="536"/>
      <c r="ODY1" s="536"/>
      <c r="ODZ1" s="536"/>
      <c r="OEA1" s="536"/>
      <c r="OEB1" s="536"/>
      <c r="OEC1" s="536"/>
      <c r="OED1" s="536"/>
      <c r="OEE1" s="536"/>
      <c r="OEF1" s="536"/>
      <c r="OEG1" s="536"/>
      <c r="OEH1" s="536"/>
      <c r="OEI1" s="536"/>
      <c r="OEJ1" s="536"/>
      <c r="OEK1" s="536"/>
      <c r="OEL1" s="536"/>
      <c r="OEM1" s="536"/>
      <c r="OEN1" s="536"/>
      <c r="OEO1" s="536"/>
      <c r="OEP1" s="536"/>
      <c r="OEQ1" s="536"/>
      <c r="OER1" s="536"/>
      <c r="OES1" s="536"/>
      <c r="OET1" s="536"/>
      <c r="OEU1" s="536"/>
      <c r="OEV1" s="536"/>
      <c r="OEW1" s="536"/>
      <c r="OEX1" s="536"/>
      <c r="OEY1" s="536"/>
      <c r="OEZ1" s="536"/>
      <c r="OFA1" s="536"/>
      <c r="OFB1" s="536"/>
      <c r="OFC1" s="536"/>
      <c r="OFD1" s="536"/>
      <c r="OFE1" s="536"/>
      <c r="OFF1" s="536"/>
      <c r="OFG1" s="536"/>
      <c r="OFH1" s="536"/>
      <c r="OFI1" s="536"/>
      <c r="OFJ1" s="536"/>
      <c r="OFK1" s="536"/>
      <c r="OFL1" s="536"/>
      <c r="OFM1" s="536"/>
      <c r="OFN1" s="536"/>
      <c r="OFO1" s="536"/>
      <c r="OFP1" s="536"/>
      <c r="OFQ1" s="536"/>
      <c r="OFR1" s="536"/>
      <c r="OFS1" s="536"/>
      <c r="OFT1" s="536"/>
      <c r="OFU1" s="536"/>
      <c r="OFV1" s="536"/>
      <c r="OFW1" s="536"/>
      <c r="OFX1" s="536"/>
      <c r="OFY1" s="536"/>
      <c r="OFZ1" s="536"/>
      <c r="OGA1" s="536"/>
      <c r="OGB1" s="536"/>
      <c r="OGC1" s="536"/>
      <c r="OGD1" s="536"/>
      <c r="OGE1" s="536"/>
      <c r="OGF1" s="536"/>
      <c r="OGG1" s="536"/>
      <c r="OGH1" s="536"/>
      <c r="OGI1" s="536"/>
      <c r="OGJ1" s="536"/>
      <c r="OGK1" s="536"/>
      <c r="OGL1" s="536"/>
      <c r="OGM1" s="536"/>
      <c r="OGN1" s="536"/>
      <c r="OGO1" s="536"/>
      <c r="OGP1" s="536"/>
      <c r="OGQ1" s="536"/>
      <c r="OGR1" s="536"/>
      <c r="OGS1" s="536"/>
      <c r="OGT1" s="536"/>
      <c r="OGU1" s="536"/>
      <c r="OGV1" s="536"/>
      <c r="OGW1" s="536"/>
      <c r="OGX1" s="536"/>
      <c r="OGY1" s="536"/>
      <c r="OGZ1" s="536"/>
      <c r="OHA1" s="536"/>
      <c r="OHB1" s="536"/>
      <c r="OHC1" s="536"/>
      <c r="OHD1" s="536"/>
      <c r="OHE1" s="536"/>
      <c r="OHF1" s="536"/>
      <c r="OHG1" s="536"/>
      <c r="OHH1" s="536"/>
      <c r="OHI1" s="536"/>
      <c r="OHJ1" s="536"/>
      <c r="OHK1" s="536"/>
      <c r="OHL1" s="536"/>
      <c r="OHM1" s="536"/>
      <c r="OHN1" s="536"/>
      <c r="OHO1" s="536"/>
      <c r="OHP1" s="536"/>
      <c r="OHQ1" s="536"/>
      <c r="OHR1" s="536"/>
      <c r="OHS1" s="536"/>
      <c r="OHT1" s="536"/>
      <c r="OHU1" s="536"/>
      <c r="OHV1" s="536"/>
      <c r="OHW1" s="536"/>
      <c r="OHX1" s="536"/>
      <c r="OHY1" s="536"/>
      <c r="OHZ1" s="536"/>
      <c r="OIA1" s="536"/>
      <c r="OIB1" s="536"/>
      <c r="OIC1" s="536"/>
      <c r="OID1" s="536"/>
      <c r="OIE1" s="536"/>
      <c r="OIF1" s="536"/>
      <c r="OIG1" s="536"/>
      <c r="OIH1" s="536"/>
      <c r="OII1" s="536"/>
      <c r="OIJ1" s="536"/>
      <c r="OIK1" s="536"/>
      <c r="OIL1" s="536"/>
      <c r="OIM1" s="536"/>
      <c r="OIN1" s="536"/>
      <c r="OIO1" s="536"/>
      <c r="OIP1" s="536"/>
      <c r="OIQ1" s="536"/>
      <c r="OIR1" s="536"/>
      <c r="OIS1" s="536"/>
      <c r="OIT1" s="536"/>
      <c r="OIU1" s="536"/>
      <c r="OIV1" s="536"/>
      <c r="OIW1" s="536"/>
      <c r="OIX1" s="536"/>
      <c r="OIY1" s="536"/>
      <c r="OIZ1" s="536"/>
      <c r="OJA1" s="536"/>
      <c r="OJB1" s="536"/>
      <c r="OJC1" s="536"/>
      <c r="OJD1" s="536"/>
      <c r="OJE1" s="536"/>
      <c r="OJF1" s="536"/>
      <c r="OJG1" s="536"/>
      <c r="OJH1" s="536"/>
      <c r="OJI1" s="536"/>
      <c r="OJJ1" s="536"/>
      <c r="OJK1" s="536"/>
      <c r="OJL1" s="536"/>
      <c r="OJM1" s="536"/>
      <c r="OJN1" s="536"/>
      <c r="OJO1" s="536"/>
      <c r="OJP1" s="536"/>
      <c r="OJQ1" s="536"/>
      <c r="OJR1" s="536"/>
      <c r="OJS1" s="536"/>
      <c r="OJT1" s="536"/>
      <c r="OJU1" s="536"/>
      <c r="OJV1" s="536"/>
      <c r="OJW1" s="536"/>
      <c r="OJX1" s="536"/>
      <c r="OJY1" s="536"/>
      <c r="OJZ1" s="536"/>
      <c r="OKA1" s="536"/>
      <c r="OKB1" s="536"/>
      <c r="OKC1" s="536"/>
      <c r="OKD1" s="536"/>
      <c r="OKE1" s="536"/>
      <c r="OKF1" s="536"/>
      <c r="OKG1" s="536"/>
      <c r="OKH1" s="536"/>
      <c r="OKI1" s="536"/>
      <c r="OKJ1" s="536"/>
      <c r="OKK1" s="536"/>
      <c r="OKL1" s="536"/>
      <c r="OKM1" s="536"/>
      <c r="OKN1" s="536"/>
      <c r="OKO1" s="536"/>
      <c r="OKP1" s="536"/>
      <c r="OKQ1" s="536"/>
      <c r="OKR1" s="536"/>
      <c r="OKS1" s="536"/>
      <c r="OKT1" s="536"/>
      <c r="OKU1" s="536"/>
      <c r="OKV1" s="536"/>
      <c r="OKW1" s="536"/>
      <c r="OKX1" s="536"/>
      <c r="OKY1" s="536"/>
      <c r="OKZ1" s="536"/>
      <c r="OLA1" s="536"/>
      <c r="OLB1" s="536"/>
      <c r="OLC1" s="536"/>
      <c r="OLD1" s="536"/>
      <c r="OLE1" s="536"/>
      <c r="OLF1" s="536"/>
      <c r="OLG1" s="536"/>
      <c r="OLH1" s="536"/>
      <c r="OLI1" s="536"/>
      <c r="OLJ1" s="536"/>
      <c r="OLK1" s="536"/>
      <c r="OLL1" s="536"/>
      <c r="OLM1" s="536"/>
      <c r="OLN1" s="536"/>
      <c r="OLO1" s="536"/>
      <c r="OLP1" s="536"/>
      <c r="OLQ1" s="536"/>
      <c r="OLR1" s="536"/>
      <c r="OLS1" s="536"/>
      <c r="OLT1" s="536"/>
      <c r="OLU1" s="536"/>
      <c r="OLV1" s="536"/>
      <c r="OLW1" s="536"/>
      <c r="OLX1" s="536"/>
      <c r="OLY1" s="536"/>
      <c r="OLZ1" s="536"/>
      <c r="OMA1" s="536"/>
      <c r="OMB1" s="536"/>
      <c r="OMC1" s="536"/>
      <c r="OMD1" s="536"/>
      <c r="OME1" s="536"/>
      <c r="OMF1" s="536"/>
      <c r="OMG1" s="536"/>
      <c r="OMH1" s="536"/>
      <c r="OMI1" s="536"/>
      <c r="OMJ1" s="536"/>
      <c r="OMK1" s="536"/>
      <c r="OML1" s="536"/>
      <c r="OMM1" s="536"/>
      <c r="OMN1" s="536"/>
      <c r="OMO1" s="536"/>
      <c r="OMP1" s="536"/>
      <c r="OMQ1" s="536"/>
      <c r="OMR1" s="536"/>
      <c r="OMS1" s="536"/>
      <c r="OMT1" s="536"/>
      <c r="OMU1" s="536"/>
      <c r="OMV1" s="536"/>
      <c r="OMW1" s="536"/>
      <c r="OMX1" s="536"/>
      <c r="OMY1" s="536"/>
      <c r="OMZ1" s="536"/>
      <c r="ONA1" s="536"/>
      <c r="ONB1" s="536"/>
      <c r="ONC1" s="536"/>
      <c r="OND1" s="536"/>
      <c r="ONE1" s="536"/>
      <c r="ONF1" s="536"/>
      <c r="ONG1" s="536"/>
      <c r="ONH1" s="536"/>
      <c r="ONI1" s="536"/>
      <c r="ONJ1" s="536"/>
      <c r="ONK1" s="536"/>
      <c r="ONL1" s="536"/>
      <c r="ONM1" s="536"/>
      <c r="ONN1" s="536"/>
      <c r="ONO1" s="536"/>
      <c r="ONP1" s="536"/>
      <c r="ONQ1" s="536"/>
      <c r="ONR1" s="536"/>
      <c r="ONS1" s="536"/>
      <c r="ONT1" s="536"/>
      <c r="ONU1" s="536"/>
      <c r="ONV1" s="536"/>
      <c r="ONW1" s="536"/>
      <c r="ONX1" s="536"/>
      <c r="ONY1" s="536"/>
      <c r="ONZ1" s="536"/>
      <c r="OOA1" s="536"/>
      <c r="OOB1" s="536"/>
      <c r="OOC1" s="536"/>
      <c r="OOD1" s="536"/>
      <c r="OOE1" s="536"/>
      <c r="OOF1" s="536"/>
      <c r="OOG1" s="536"/>
      <c r="OOH1" s="536"/>
      <c r="OOI1" s="536"/>
      <c r="OOJ1" s="536"/>
      <c r="OOK1" s="536"/>
      <c r="OOL1" s="536"/>
      <c r="OOM1" s="536"/>
      <c r="OON1" s="536"/>
      <c r="OOO1" s="536"/>
      <c r="OOP1" s="536"/>
      <c r="OOQ1" s="536"/>
      <c r="OOR1" s="536"/>
      <c r="OOS1" s="536"/>
      <c r="OOT1" s="536"/>
      <c r="OOU1" s="536"/>
      <c r="OOV1" s="536"/>
      <c r="OOW1" s="536"/>
      <c r="OOX1" s="536"/>
      <c r="OOY1" s="536"/>
      <c r="OOZ1" s="536"/>
      <c r="OPA1" s="536"/>
      <c r="OPB1" s="536"/>
      <c r="OPC1" s="536"/>
      <c r="OPD1" s="536"/>
      <c r="OPE1" s="536"/>
      <c r="OPF1" s="536"/>
      <c r="OPG1" s="536"/>
      <c r="OPH1" s="536"/>
      <c r="OPI1" s="536"/>
      <c r="OPJ1" s="536"/>
      <c r="OPK1" s="536"/>
      <c r="OPL1" s="536"/>
      <c r="OPM1" s="536"/>
      <c r="OPN1" s="536"/>
      <c r="OPO1" s="536"/>
      <c r="OPP1" s="536"/>
      <c r="OPQ1" s="536"/>
      <c r="OPR1" s="536"/>
      <c r="OPS1" s="536"/>
      <c r="OPT1" s="536"/>
      <c r="OPU1" s="536"/>
      <c r="OPV1" s="536"/>
      <c r="OPW1" s="536"/>
      <c r="OPX1" s="536"/>
      <c r="OPY1" s="536"/>
      <c r="OPZ1" s="536"/>
      <c r="OQA1" s="536"/>
      <c r="OQB1" s="536"/>
      <c r="OQC1" s="536"/>
      <c r="OQD1" s="536"/>
      <c r="OQE1" s="536"/>
      <c r="OQF1" s="536"/>
      <c r="OQG1" s="536"/>
      <c r="OQH1" s="536"/>
      <c r="OQI1" s="536"/>
      <c r="OQJ1" s="536"/>
      <c r="OQK1" s="536"/>
      <c r="OQL1" s="536"/>
      <c r="OQM1" s="536"/>
      <c r="OQN1" s="536"/>
      <c r="OQO1" s="536"/>
      <c r="OQP1" s="536"/>
      <c r="OQQ1" s="536"/>
      <c r="OQR1" s="536"/>
      <c r="OQS1" s="536"/>
      <c r="OQT1" s="536"/>
      <c r="OQU1" s="536"/>
      <c r="OQV1" s="536"/>
      <c r="OQW1" s="536"/>
      <c r="OQX1" s="536"/>
      <c r="OQY1" s="536"/>
      <c r="OQZ1" s="536"/>
      <c r="ORA1" s="536"/>
      <c r="ORB1" s="536"/>
      <c r="ORC1" s="536"/>
      <c r="ORD1" s="536"/>
      <c r="ORE1" s="536"/>
      <c r="ORF1" s="536"/>
      <c r="ORG1" s="536"/>
      <c r="ORH1" s="536"/>
      <c r="ORI1" s="536"/>
      <c r="ORJ1" s="536"/>
      <c r="ORK1" s="536"/>
      <c r="ORL1" s="536"/>
      <c r="ORM1" s="536"/>
      <c r="ORN1" s="536"/>
      <c r="ORO1" s="536"/>
      <c r="ORP1" s="536"/>
      <c r="ORQ1" s="536"/>
      <c r="ORR1" s="536"/>
      <c r="ORS1" s="536"/>
      <c r="ORT1" s="536"/>
      <c r="ORU1" s="536"/>
      <c r="ORV1" s="536"/>
      <c r="ORW1" s="536"/>
      <c r="ORX1" s="536"/>
      <c r="ORY1" s="536"/>
      <c r="ORZ1" s="536"/>
      <c r="OSA1" s="536"/>
      <c r="OSB1" s="536"/>
      <c r="OSC1" s="536"/>
      <c r="OSD1" s="536"/>
      <c r="OSE1" s="536"/>
      <c r="OSF1" s="536"/>
      <c r="OSG1" s="536"/>
      <c r="OSH1" s="536"/>
      <c r="OSI1" s="536"/>
      <c r="OSJ1" s="536"/>
      <c r="OSK1" s="536"/>
      <c r="OSL1" s="536"/>
      <c r="OSM1" s="536"/>
      <c r="OSN1" s="536"/>
      <c r="OSO1" s="536"/>
      <c r="OSP1" s="536"/>
      <c r="OSQ1" s="536"/>
      <c r="OSR1" s="536"/>
      <c r="OSS1" s="536"/>
      <c r="OST1" s="536"/>
      <c r="OSU1" s="536"/>
      <c r="OSV1" s="536"/>
      <c r="OSW1" s="536"/>
      <c r="OSX1" s="536"/>
      <c r="OSY1" s="536"/>
      <c r="OSZ1" s="536"/>
      <c r="OTA1" s="536"/>
      <c r="OTB1" s="536"/>
      <c r="OTC1" s="536"/>
      <c r="OTD1" s="536"/>
      <c r="OTE1" s="536"/>
      <c r="OTF1" s="536"/>
      <c r="OTG1" s="536"/>
      <c r="OTH1" s="536"/>
      <c r="OTI1" s="536"/>
      <c r="OTJ1" s="536"/>
      <c r="OTK1" s="536"/>
      <c r="OTL1" s="536"/>
      <c r="OTM1" s="536"/>
      <c r="OTN1" s="536"/>
      <c r="OTO1" s="536"/>
      <c r="OTP1" s="536"/>
      <c r="OTQ1" s="536"/>
      <c r="OTR1" s="536"/>
      <c r="OTS1" s="536"/>
      <c r="OTT1" s="536"/>
      <c r="OTU1" s="536"/>
      <c r="OTV1" s="536"/>
      <c r="OTW1" s="536"/>
      <c r="OTX1" s="536"/>
      <c r="OTY1" s="536"/>
      <c r="OTZ1" s="536"/>
      <c r="OUA1" s="536"/>
      <c r="OUB1" s="536"/>
      <c r="OUC1" s="536"/>
      <c r="OUD1" s="536"/>
      <c r="OUE1" s="536"/>
      <c r="OUF1" s="536"/>
      <c r="OUG1" s="536"/>
      <c r="OUH1" s="536"/>
      <c r="OUI1" s="536"/>
      <c r="OUJ1" s="536"/>
      <c r="OUK1" s="536"/>
      <c r="OUL1" s="536"/>
      <c r="OUM1" s="536"/>
      <c r="OUN1" s="536"/>
      <c r="OUO1" s="536"/>
      <c r="OUP1" s="536"/>
      <c r="OUQ1" s="536"/>
      <c r="OUR1" s="536"/>
      <c r="OUS1" s="536"/>
      <c r="OUT1" s="536"/>
      <c r="OUU1" s="536"/>
      <c r="OUV1" s="536"/>
      <c r="OUW1" s="536"/>
      <c r="OUX1" s="536"/>
      <c r="OUY1" s="536"/>
      <c r="OUZ1" s="536"/>
      <c r="OVA1" s="536"/>
      <c r="OVB1" s="536"/>
      <c r="OVC1" s="536"/>
      <c r="OVD1" s="536"/>
      <c r="OVE1" s="536"/>
      <c r="OVF1" s="536"/>
      <c r="OVG1" s="536"/>
      <c r="OVH1" s="536"/>
      <c r="OVI1" s="536"/>
      <c r="OVJ1" s="536"/>
      <c r="OVK1" s="536"/>
      <c r="OVL1" s="536"/>
      <c r="OVM1" s="536"/>
      <c r="OVN1" s="536"/>
      <c r="OVO1" s="536"/>
      <c r="OVP1" s="536"/>
      <c r="OVQ1" s="536"/>
      <c r="OVR1" s="536"/>
      <c r="OVS1" s="536"/>
      <c r="OVT1" s="536"/>
      <c r="OVU1" s="536"/>
      <c r="OVV1" s="536"/>
      <c r="OVW1" s="536"/>
      <c r="OVX1" s="536"/>
      <c r="OVY1" s="536"/>
      <c r="OVZ1" s="536"/>
      <c r="OWA1" s="536"/>
      <c r="OWB1" s="536"/>
      <c r="OWC1" s="536"/>
      <c r="OWD1" s="536"/>
      <c r="OWE1" s="536"/>
      <c r="OWF1" s="536"/>
      <c r="OWG1" s="536"/>
      <c r="OWH1" s="536"/>
      <c r="OWI1" s="536"/>
      <c r="OWJ1" s="536"/>
      <c r="OWK1" s="536"/>
      <c r="OWL1" s="536"/>
      <c r="OWM1" s="536"/>
      <c r="OWN1" s="536"/>
      <c r="OWO1" s="536"/>
      <c r="OWP1" s="536"/>
      <c r="OWQ1" s="536"/>
      <c r="OWR1" s="536"/>
      <c r="OWS1" s="536"/>
      <c r="OWT1" s="536"/>
      <c r="OWU1" s="536"/>
      <c r="OWV1" s="536"/>
      <c r="OWW1" s="536"/>
      <c r="OWX1" s="536"/>
      <c r="OWY1" s="536"/>
      <c r="OWZ1" s="536"/>
      <c r="OXA1" s="536"/>
      <c r="OXB1" s="536"/>
      <c r="OXC1" s="536"/>
      <c r="OXD1" s="536"/>
      <c r="OXE1" s="536"/>
      <c r="OXF1" s="536"/>
      <c r="OXG1" s="536"/>
      <c r="OXH1" s="536"/>
      <c r="OXI1" s="536"/>
      <c r="OXJ1" s="536"/>
      <c r="OXK1" s="536"/>
      <c r="OXL1" s="536"/>
      <c r="OXM1" s="536"/>
      <c r="OXN1" s="536"/>
      <c r="OXO1" s="536"/>
      <c r="OXP1" s="536"/>
      <c r="OXQ1" s="536"/>
      <c r="OXR1" s="536"/>
      <c r="OXS1" s="536"/>
      <c r="OXT1" s="536"/>
      <c r="OXU1" s="536"/>
      <c r="OXV1" s="536"/>
      <c r="OXW1" s="536"/>
      <c r="OXX1" s="536"/>
      <c r="OXY1" s="536"/>
      <c r="OXZ1" s="536"/>
      <c r="OYA1" s="536"/>
      <c r="OYB1" s="536"/>
      <c r="OYC1" s="536"/>
      <c r="OYD1" s="536"/>
      <c r="OYE1" s="536"/>
      <c r="OYF1" s="536"/>
      <c r="OYG1" s="536"/>
      <c r="OYH1" s="536"/>
      <c r="OYI1" s="536"/>
      <c r="OYJ1" s="536"/>
      <c r="OYK1" s="536"/>
      <c r="OYL1" s="536"/>
      <c r="OYM1" s="536"/>
      <c r="OYN1" s="536"/>
      <c r="OYO1" s="536"/>
      <c r="OYP1" s="536"/>
      <c r="OYQ1" s="536"/>
      <c r="OYR1" s="536"/>
      <c r="OYS1" s="536"/>
      <c r="OYT1" s="536"/>
      <c r="OYU1" s="536"/>
      <c r="OYV1" s="536"/>
      <c r="OYW1" s="536"/>
      <c r="OYX1" s="536"/>
      <c r="OYY1" s="536"/>
      <c r="OYZ1" s="536"/>
      <c r="OZA1" s="536"/>
      <c r="OZB1" s="536"/>
      <c r="OZC1" s="536"/>
      <c r="OZD1" s="536"/>
      <c r="OZE1" s="536"/>
      <c r="OZF1" s="536"/>
      <c r="OZG1" s="536"/>
      <c r="OZH1" s="536"/>
      <c r="OZI1" s="536"/>
      <c r="OZJ1" s="536"/>
      <c r="OZK1" s="536"/>
      <c r="OZL1" s="536"/>
      <c r="OZM1" s="536"/>
      <c r="OZN1" s="536"/>
      <c r="OZO1" s="536"/>
      <c r="OZP1" s="536"/>
      <c r="OZQ1" s="536"/>
      <c r="OZR1" s="536"/>
      <c r="OZS1" s="536"/>
      <c r="OZT1" s="536"/>
      <c r="OZU1" s="536"/>
      <c r="OZV1" s="536"/>
      <c r="OZW1" s="536"/>
      <c r="OZX1" s="536"/>
      <c r="OZY1" s="536"/>
      <c r="OZZ1" s="536"/>
      <c r="PAA1" s="536"/>
      <c r="PAB1" s="536"/>
      <c r="PAC1" s="536"/>
      <c r="PAD1" s="536"/>
      <c r="PAE1" s="536"/>
      <c r="PAF1" s="536"/>
      <c r="PAG1" s="536"/>
      <c r="PAH1" s="536"/>
      <c r="PAI1" s="536"/>
      <c r="PAJ1" s="536"/>
      <c r="PAK1" s="536"/>
      <c r="PAL1" s="536"/>
      <c r="PAM1" s="536"/>
      <c r="PAN1" s="536"/>
      <c r="PAO1" s="536"/>
      <c r="PAP1" s="536"/>
      <c r="PAQ1" s="536"/>
      <c r="PAR1" s="536"/>
      <c r="PAS1" s="536"/>
      <c r="PAT1" s="536"/>
      <c r="PAU1" s="536"/>
      <c r="PAV1" s="536"/>
      <c r="PAW1" s="536"/>
      <c r="PAX1" s="536"/>
      <c r="PAY1" s="536"/>
      <c r="PAZ1" s="536"/>
      <c r="PBA1" s="536"/>
      <c r="PBB1" s="536"/>
      <c r="PBC1" s="536"/>
      <c r="PBD1" s="536"/>
      <c r="PBE1" s="536"/>
      <c r="PBF1" s="536"/>
      <c r="PBG1" s="536"/>
      <c r="PBH1" s="536"/>
      <c r="PBI1" s="536"/>
      <c r="PBJ1" s="536"/>
      <c r="PBK1" s="536"/>
      <c r="PBL1" s="536"/>
      <c r="PBM1" s="536"/>
      <c r="PBN1" s="536"/>
      <c r="PBO1" s="536"/>
      <c r="PBP1" s="536"/>
      <c r="PBQ1" s="536"/>
      <c r="PBR1" s="536"/>
      <c r="PBS1" s="536"/>
      <c r="PBT1" s="536"/>
      <c r="PBU1" s="536"/>
      <c r="PBV1" s="536"/>
      <c r="PBW1" s="536"/>
      <c r="PBX1" s="536"/>
      <c r="PBY1" s="536"/>
      <c r="PBZ1" s="536"/>
      <c r="PCA1" s="536"/>
      <c r="PCB1" s="536"/>
      <c r="PCC1" s="536"/>
      <c r="PCD1" s="536"/>
      <c r="PCE1" s="536"/>
      <c r="PCF1" s="536"/>
      <c r="PCG1" s="536"/>
      <c r="PCH1" s="536"/>
      <c r="PCI1" s="536"/>
      <c r="PCJ1" s="536"/>
      <c r="PCK1" s="536"/>
      <c r="PCL1" s="536"/>
      <c r="PCM1" s="536"/>
      <c r="PCN1" s="536"/>
      <c r="PCO1" s="536"/>
      <c r="PCP1" s="536"/>
      <c r="PCQ1" s="536"/>
      <c r="PCR1" s="536"/>
      <c r="PCS1" s="536"/>
      <c r="PCT1" s="536"/>
      <c r="PCU1" s="536"/>
      <c r="PCV1" s="536"/>
      <c r="PCW1" s="536"/>
      <c r="PCX1" s="536"/>
      <c r="PCY1" s="536"/>
      <c r="PCZ1" s="536"/>
      <c r="PDA1" s="536"/>
      <c r="PDB1" s="536"/>
      <c r="PDC1" s="536"/>
      <c r="PDD1" s="536"/>
      <c r="PDE1" s="536"/>
      <c r="PDF1" s="536"/>
      <c r="PDG1" s="536"/>
      <c r="PDH1" s="536"/>
      <c r="PDI1" s="536"/>
      <c r="PDJ1" s="536"/>
      <c r="PDK1" s="536"/>
      <c r="PDL1" s="536"/>
      <c r="PDM1" s="536"/>
      <c r="PDN1" s="536"/>
      <c r="PDO1" s="536"/>
      <c r="PDP1" s="536"/>
      <c r="PDQ1" s="536"/>
      <c r="PDR1" s="536"/>
      <c r="PDS1" s="536"/>
      <c r="PDT1" s="536"/>
      <c r="PDU1" s="536"/>
      <c r="PDV1" s="536"/>
      <c r="PDW1" s="536"/>
      <c r="PDX1" s="536"/>
      <c r="PDY1" s="536"/>
      <c r="PDZ1" s="536"/>
      <c r="PEA1" s="536"/>
      <c r="PEB1" s="536"/>
      <c r="PEC1" s="536"/>
      <c r="PED1" s="536"/>
      <c r="PEE1" s="536"/>
      <c r="PEF1" s="536"/>
      <c r="PEG1" s="536"/>
      <c r="PEH1" s="536"/>
      <c r="PEI1" s="536"/>
      <c r="PEJ1" s="536"/>
      <c r="PEK1" s="536"/>
      <c r="PEL1" s="536"/>
      <c r="PEM1" s="536"/>
      <c r="PEN1" s="536"/>
      <c r="PEO1" s="536"/>
      <c r="PEP1" s="536"/>
      <c r="PEQ1" s="536"/>
      <c r="PER1" s="536"/>
      <c r="PES1" s="536"/>
      <c r="PET1" s="536"/>
      <c r="PEU1" s="536"/>
      <c r="PEV1" s="536"/>
      <c r="PEW1" s="536"/>
      <c r="PEX1" s="536"/>
      <c r="PEY1" s="536"/>
      <c r="PEZ1" s="536"/>
      <c r="PFA1" s="536"/>
      <c r="PFB1" s="536"/>
      <c r="PFC1" s="536"/>
      <c r="PFD1" s="536"/>
      <c r="PFE1" s="536"/>
      <c r="PFF1" s="536"/>
      <c r="PFG1" s="536"/>
      <c r="PFH1" s="536"/>
      <c r="PFI1" s="536"/>
      <c r="PFJ1" s="536"/>
      <c r="PFK1" s="536"/>
      <c r="PFL1" s="536"/>
      <c r="PFM1" s="536"/>
      <c r="PFN1" s="536"/>
      <c r="PFO1" s="536"/>
      <c r="PFP1" s="536"/>
      <c r="PFQ1" s="536"/>
      <c r="PFR1" s="536"/>
      <c r="PFS1" s="536"/>
      <c r="PFT1" s="536"/>
      <c r="PFU1" s="536"/>
      <c r="PFV1" s="536"/>
      <c r="PFW1" s="536"/>
      <c r="PFX1" s="536"/>
      <c r="PFY1" s="536"/>
      <c r="PFZ1" s="536"/>
      <c r="PGA1" s="536"/>
      <c r="PGB1" s="536"/>
      <c r="PGC1" s="536"/>
      <c r="PGD1" s="536"/>
      <c r="PGE1" s="536"/>
      <c r="PGF1" s="536"/>
      <c r="PGG1" s="536"/>
      <c r="PGH1" s="536"/>
      <c r="PGI1" s="536"/>
      <c r="PGJ1" s="536"/>
      <c r="PGK1" s="536"/>
      <c r="PGL1" s="536"/>
      <c r="PGM1" s="536"/>
      <c r="PGN1" s="536"/>
      <c r="PGO1" s="536"/>
      <c r="PGP1" s="536"/>
      <c r="PGQ1" s="536"/>
      <c r="PGR1" s="536"/>
      <c r="PGS1" s="536"/>
      <c r="PGT1" s="536"/>
      <c r="PGU1" s="536"/>
      <c r="PGV1" s="536"/>
      <c r="PGW1" s="536"/>
      <c r="PGX1" s="536"/>
      <c r="PGY1" s="536"/>
      <c r="PGZ1" s="536"/>
      <c r="PHA1" s="536"/>
      <c r="PHB1" s="536"/>
      <c r="PHC1" s="536"/>
      <c r="PHD1" s="536"/>
      <c r="PHE1" s="536"/>
      <c r="PHF1" s="536"/>
      <c r="PHG1" s="536"/>
      <c r="PHH1" s="536"/>
      <c r="PHI1" s="536"/>
      <c r="PHJ1" s="536"/>
      <c r="PHK1" s="536"/>
      <c r="PHL1" s="536"/>
      <c r="PHM1" s="536"/>
      <c r="PHN1" s="536"/>
      <c r="PHO1" s="536"/>
      <c r="PHP1" s="536"/>
      <c r="PHQ1" s="536"/>
      <c r="PHR1" s="536"/>
      <c r="PHS1" s="536"/>
      <c r="PHT1" s="536"/>
      <c r="PHU1" s="536"/>
      <c r="PHV1" s="536"/>
      <c r="PHW1" s="536"/>
      <c r="PHX1" s="536"/>
      <c r="PHY1" s="536"/>
      <c r="PHZ1" s="536"/>
      <c r="PIA1" s="536"/>
      <c r="PIB1" s="536"/>
      <c r="PIC1" s="536"/>
      <c r="PID1" s="536"/>
      <c r="PIE1" s="536"/>
      <c r="PIF1" s="536"/>
      <c r="PIG1" s="536"/>
      <c r="PIH1" s="536"/>
      <c r="PII1" s="536"/>
      <c r="PIJ1" s="536"/>
      <c r="PIK1" s="536"/>
      <c r="PIL1" s="536"/>
      <c r="PIM1" s="536"/>
      <c r="PIN1" s="536"/>
      <c r="PIO1" s="536"/>
      <c r="PIP1" s="536"/>
      <c r="PIQ1" s="536"/>
      <c r="PIR1" s="536"/>
      <c r="PIS1" s="536"/>
      <c r="PIT1" s="536"/>
      <c r="PIU1" s="536"/>
      <c r="PIV1" s="536"/>
      <c r="PIW1" s="536"/>
      <c r="PIX1" s="536"/>
      <c r="PIY1" s="536"/>
      <c r="PIZ1" s="536"/>
      <c r="PJA1" s="536"/>
      <c r="PJB1" s="536"/>
      <c r="PJC1" s="536"/>
      <c r="PJD1" s="536"/>
      <c r="PJE1" s="536"/>
      <c r="PJF1" s="536"/>
      <c r="PJG1" s="536"/>
      <c r="PJH1" s="536"/>
      <c r="PJI1" s="536"/>
      <c r="PJJ1" s="536"/>
      <c r="PJK1" s="536"/>
      <c r="PJL1" s="536"/>
      <c r="PJM1" s="536"/>
      <c r="PJN1" s="536"/>
      <c r="PJO1" s="536"/>
      <c r="PJP1" s="536"/>
      <c r="PJQ1" s="536"/>
      <c r="PJR1" s="536"/>
      <c r="PJS1" s="536"/>
      <c r="PJT1" s="536"/>
      <c r="PJU1" s="536"/>
      <c r="PJV1" s="536"/>
      <c r="PJW1" s="536"/>
      <c r="PJX1" s="536"/>
      <c r="PJY1" s="536"/>
      <c r="PJZ1" s="536"/>
      <c r="PKA1" s="536"/>
      <c r="PKB1" s="536"/>
      <c r="PKC1" s="536"/>
      <c r="PKD1" s="536"/>
      <c r="PKE1" s="536"/>
      <c r="PKF1" s="536"/>
      <c r="PKG1" s="536"/>
      <c r="PKH1" s="536"/>
      <c r="PKI1" s="536"/>
      <c r="PKJ1" s="536"/>
      <c r="PKK1" s="536"/>
      <c r="PKL1" s="536"/>
      <c r="PKM1" s="536"/>
      <c r="PKN1" s="536"/>
      <c r="PKO1" s="536"/>
      <c r="PKP1" s="536"/>
      <c r="PKQ1" s="536"/>
      <c r="PKR1" s="536"/>
      <c r="PKS1" s="536"/>
      <c r="PKT1" s="536"/>
      <c r="PKU1" s="536"/>
      <c r="PKV1" s="536"/>
      <c r="PKW1" s="536"/>
      <c r="PKX1" s="536"/>
      <c r="PKY1" s="536"/>
      <c r="PKZ1" s="536"/>
      <c r="PLA1" s="536"/>
      <c r="PLB1" s="536"/>
      <c r="PLC1" s="536"/>
      <c r="PLD1" s="536"/>
      <c r="PLE1" s="536"/>
      <c r="PLF1" s="536"/>
      <c r="PLG1" s="536"/>
      <c r="PLH1" s="536"/>
      <c r="PLI1" s="536"/>
      <c r="PLJ1" s="536"/>
      <c r="PLK1" s="536"/>
      <c r="PLL1" s="536"/>
      <c r="PLM1" s="536"/>
      <c r="PLN1" s="536"/>
      <c r="PLO1" s="536"/>
      <c r="PLP1" s="536"/>
      <c r="PLQ1" s="536"/>
      <c r="PLR1" s="536"/>
      <c r="PLS1" s="536"/>
      <c r="PLT1" s="536"/>
      <c r="PLU1" s="536"/>
      <c r="PLV1" s="536"/>
      <c r="PLW1" s="536"/>
      <c r="PLX1" s="536"/>
      <c r="PLY1" s="536"/>
      <c r="PLZ1" s="536"/>
      <c r="PMA1" s="536"/>
      <c r="PMB1" s="536"/>
      <c r="PMC1" s="536"/>
      <c r="PMD1" s="536"/>
      <c r="PME1" s="536"/>
      <c r="PMF1" s="536"/>
      <c r="PMG1" s="536"/>
      <c r="PMH1" s="536"/>
      <c r="PMI1" s="536"/>
      <c r="PMJ1" s="536"/>
      <c r="PMK1" s="536"/>
      <c r="PML1" s="536"/>
      <c r="PMM1" s="536"/>
      <c r="PMN1" s="536"/>
      <c r="PMO1" s="536"/>
      <c r="PMP1" s="536"/>
      <c r="PMQ1" s="536"/>
      <c r="PMR1" s="536"/>
      <c r="PMS1" s="536"/>
      <c r="PMT1" s="536"/>
      <c r="PMU1" s="536"/>
      <c r="PMV1" s="536"/>
      <c r="PMW1" s="536"/>
      <c r="PMX1" s="536"/>
      <c r="PMY1" s="536"/>
      <c r="PMZ1" s="536"/>
      <c r="PNA1" s="536"/>
      <c r="PNB1" s="536"/>
      <c r="PNC1" s="536"/>
      <c r="PND1" s="536"/>
      <c r="PNE1" s="536"/>
      <c r="PNF1" s="536"/>
      <c r="PNG1" s="536"/>
      <c r="PNH1" s="536"/>
      <c r="PNI1" s="536"/>
      <c r="PNJ1" s="536"/>
      <c r="PNK1" s="536"/>
      <c r="PNL1" s="536"/>
      <c r="PNM1" s="536"/>
      <c r="PNN1" s="536"/>
      <c r="PNO1" s="536"/>
      <c r="PNP1" s="536"/>
      <c r="PNQ1" s="536"/>
      <c r="PNR1" s="536"/>
      <c r="PNS1" s="536"/>
      <c r="PNT1" s="536"/>
      <c r="PNU1" s="536"/>
      <c r="PNV1" s="536"/>
      <c r="PNW1" s="536"/>
      <c r="PNX1" s="536"/>
      <c r="PNY1" s="536"/>
      <c r="PNZ1" s="536"/>
      <c r="POA1" s="536"/>
      <c r="POB1" s="536"/>
      <c r="POC1" s="536"/>
      <c r="POD1" s="536"/>
      <c r="POE1" s="536"/>
      <c r="POF1" s="536"/>
      <c r="POG1" s="536"/>
      <c r="POH1" s="536"/>
      <c r="POI1" s="536"/>
      <c r="POJ1" s="536"/>
      <c r="POK1" s="536"/>
      <c r="POL1" s="536"/>
      <c r="POM1" s="536"/>
      <c r="PON1" s="536"/>
      <c r="POO1" s="536"/>
      <c r="POP1" s="536"/>
      <c r="POQ1" s="536"/>
      <c r="POR1" s="536"/>
      <c r="POS1" s="536"/>
      <c r="POT1" s="536"/>
      <c r="POU1" s="536"/>
      <c r="POV1" s="536"/>
      <c r="POW1" s="536"/>
      <c r="POX1" s="536"/>
      <c r="POY1" s="536"/>
      <c r="POZ1" s="536"/>
      <c r="PPA1" s="536"/>
      <c r="PPB1" s="536"/>
      <c r="PPC1" s="536"/>
      <c r="PPD1" s="536"/>
      <c r="PPE1" s="536"/>
      <c r="PPF1" s="536"/>
      <c r="PPG1" s="536"/>
      <c r="PPH1" s="536"/>
      <c r="PPI1" s="536"/>
      <c r="PPJ1" s="536"/>
      <c r="PPK1" s="536"/>
      <c r="PPL1" s="536"/>
      <c r="PPM1" s="536"/>
      <c r="PPN1" s="536"/>
      <c r="PPO1" s="536"/>
      <c r="PPP1" s="536"/>
      <c r="PPQ1" s="536"/>
      <c r="PPR1" s="536"/>
      <c r="PPS1" s="536"/>
      <c r="PPT1" s="536"/>
      <c r="PPU1" s="536"/>
      <c r="PPV1" s="536"/>
      <c r="PPW1" s="536"/>
      <c r="PPX1" s="536"/>
      <c r="PPY1" s="536"/>
      <c r="PPZ1" s="536"/>
      <c r="PQA1" s="536"/>
      <c r="PQB1" s="536"/>
      <c r="PQC1" s="536"/>
      <c r="PQD1" s="536"/>
      <c r="PQE1" s="536"/>
      <c r="PQF1" s="536"/>
      <c r="PQG1" s="536"/>
      <c r="PQH1" s="536"/>
      <c r="PQI1" s="536"/>
      <c r="PQJ1" s="536"/>
      <c r="PQK1" s="536"/>
      <c r="PQL1" s="536"/>
      <c r="PQM1" s="536"/>
      <c r="PQN1" s="536"/>
      <c r="PQO1" s="536"/>
      <c r="PQP1" s="536"/>
      <c r="PQQ1" s="536"/>
      <c r="PQR1" s="536"/>
      <c r="PQS1" s="536"/>
      <c r="PQT1" s="536"/>
      <c r="PQU1" s="536"/>
      <c r="PQV1" s="536"/>
      <c r="PQW1" s="536"/>
      <c r="PQX1" s="536"/>
      <c r="PQY1" s="536"/>
      <c r="PQZ1" s="536"/>
      <c r="PRA1" s="536"/>
      <c r="PRB1" s="536"/>
      <c r="PRC1" s="536"/>
      <c r="PRD1" s="536"/>
      <c r="PRE1" s="536"/>
      <c r="PRF1" s="536"/>
      <c r="PRG1" s="536"/>
      <c r="PRH1" s="536"/>
      <c r="PRI1" s="536"/>
      <c r="PRJ1" s="536"/>
      <c r="PRK1" s="536"/>
      <c r="PRL1" s="536"/>
      <c r="PRM1" s="536"/>
      <c r="PRN1" s="536"/>
      <c r="PRO1" s="536"/>
      <c r="PRP1" s="536"/>
      <c r="PRQ1" s="536"/>
      <c r="PRR1" s="536"/>
      <c r="PRS1" s="536"/>
      <c r="PRT1" s="536"/>
      <c r="PRU1" s="536"/>
      <c r="PRV1" s="536"/>
      <c r="PRW1" s="536"/>
      <c r="PRX1" s="536"/>
      <c r="PRY1" s="536"/>
      <c r="PRZ1" s="536"/>
      <c r="PSA1" s="536"/>
      <c r="PSB1" s="536"/>
      <c r="PSC1" s="536"/>
      <c r="PSD1" s="536"/>
      <c r="PSE1" s="536"/>
      <c r="PSF1" s="536"/>
      <c r="PSG1" s="536"/>
      <c r="PSH1" s="536"/>
      <c r="PSI1" s="536"/>
      <c r="PSJ1" s="536"/>
      <c r="PSK1" s="536"/>
      <c r="PSL1" s="536"/>
      <c r="PSM1" s="536"/>
      <c r="PSN1" s="536"/>
      <c r="PSO1" s="536"/>
      <c r="PSP1" s="536"/>
      <c r="PSQ1" s="536"/>
      <c r="PSR1" s="536"/>
      <c r="PSS1" s="536"/>
      <c r="PST1" s="536"/>
      <c r="PSU1" s="536"/>
      <c r="PSV1" s="536"/>
      <c r="PSW1" s="536"/>
      <c r="PSX1" s="536"/>
      <c r="PSY1" s="536"/>
      <c r="PSZ1" s="536"/>
      <c r="PTA1" s="536"/>
      <c r="PTB1" s="536"/>
      <c r="PTC1" s="536"/>
      <c r="PTD1" s="536"/>
      <c r="PTE1" s="536"/>
      <c r="PTF1" s="536"/>
      <c r="PTG1" s="536"/>
      <c r="PTH1" s="536"/>
      <c r="PTI1" s="536"/>
      <c r="PTJ1" s="536"/>
      <c r="PTK1" s="536"/>
      <c r="PTL1" s="536"/>
      <c r="PTM1" s="536"/>
      <c r="PTN1" s="536"/>
      <c r="PTO1" s="536"/>
      <c r="PTP1" s="536"/>
      <c r="PTQ1" s="536"/>
      <c r="PTR1" s="536"/>
      <c r="PTS1" s="536"/>
      <c r="PTT1" s="536"/>
      <c r="PTU1" s="536"/>
      <c r="PTV1" s="536"/>
      <c r="PTW1" s="536"/>
      <c r="PTX1" s="536"/>
      <c r="PTY1" s="536"/>
      <c r="PTZ1" s="536"/>
      <c r="PUA1" s="536"/>
      <c r="PUB1" s="536"/>
      <c r="PUC1" s="536"/>
      <c r="PUD1" s="536"/>
      <c r="PUE1" s="536"/>
      <c r="PUF1" s="536"/>
      <c r="PUG1" s="536"/>
      <c r="PUH1" s="536"/>
      <c r="PUI1" s="536"/>
      <c r="PUJ1" s="536"/>
      <c r="PUK1" s="536"/>
      <c r="PUL1" s="536"/>
      <c r="PUM1" s="536"/>
      <c r="PUN1" s="536"/>
      <c r="PUO1" s="536"/>
      <c r="PUP1" s="536"/>
      <c r="PUQ1" s="536"/>
      <c r="PUR1" s="536"/>
      <c r="PUS1" s="536"/>
      <c r="PUT1" s="536"/>
      <c r="PUU1" s="536"/>
      <c r="PUV1" s="536"/>
      <c r="PUW1" s="536"/>
      <c r="PUX1" s="536"/>
      <c r="PUY1" s="536"/>
      <c r="PUZ1" s="536"/>
      <c r="PVA1" s="536"/>
      <c r="PVB1" s="536"/>
      <c r="PVC1" s="536"/>
      <c r="PVD1" s="536"/>
      <c r="PVE1" s="536"/>
      <c r="PVF1" s="536"/>
      <c r="PVG1" s="536"/>
      <c r="PVH1" s="536"/>
      <c r="PVI1" s="536"/>
      <c r="PVJ1" s="536"/>
      <c r="PVK1" s="536"/>
      <c r="PVL1" s="536"/>
      <c r="PVM1" s="536"/>
      <c r="PVN1" s="536"/>
      <c r="PVO1" s="536"/>
      <c r="PVP1" s="536"/>
      <c r="PVQ1" s="536"/>
      <c r="PVR1" s="536"/>
      <c r="PVS1" s="536"/>
      <c r="PVT1" s="536"/>
      <c r="PVU1" s="536"/>
      <c r="PVV1" s="536"/>
      <c r="PVW1" s="536"/>
      <c r="PVX1" s="536"/>
      <c r="PVY1" s="536"/>
      <c r="PVZ1" s="536"/>
      <c r="PWA1" s="536"/>
      <c r="PWB1" s="536"/>
      <c r="PWC1" s="536"/>
      <c r="PWD1" s="536"/>
      <c r="PWE1" s="536"/>
      <c r="PWF1" s="536"/>
      <c r="PWG1" s="536"/>
      <c r="PWH1" s="536"/>
      <c r="PWI1" s="536"/>
      <c r="PWJ1" s="536"/>
      <c r="PWK1" s="536"/>
      <c r="PWL1" s="536"/>
      <c r="PWM1" s="536"/>
      <c r="PWN1" s="536"/>
      <c r="PWO1" s="536"/>
      <c r="PWP1" s="536"/>
      <c r="PWQ1" s="536"/>
      <c r="PWR1" s="536"/>
      <c r="PWS1" s="536"/>
      <c r="PWT1" s="536"/>
      <c r="PWU1" s="536"/>
      <c r="PWV1" s="536"/>
      <c r="PWW1" s="536"/>
      <c r="PWX1" s="536"/>
      <c r="PWY1" s="536"/>
      <c r="PWZ1" s="536"/>
      <c r="PXA1" s="536"/>
      <c r="PXB1" s="536"/>
      <c r="PXC1" s="536"/>
      <c r="PXD1" s="536"/>
      <c r="PXE1" s="536"/>
      <c r="PXF1" s="536"/>
      <c r="PXG1" s="536"/>
      <c r="PXH1" s="536"/>
      <c r="PXI1" s="536"/>
      <c r="PXJ1" s="536"/>
      <c r="PXK1" s="536"/>
      <c r="PXL1" s="536"/>
      <c r="PXM1" s="536"/>
      <c r="PXN1" s="536"/>
      <c r="PXO1" s="536"/>
      <c r="PXP1" s="536"/>
      <c r="PXQ1" s="536"/>
      <c r="PXR1" s="536"/>
      <c r="PXS1" s="536"/>
      <c r="PXT1" s="536"/>
      <c r="PXU1" s="536"/>
      <c r="PXV1" s="536"/>
      <c r="PXW1" s="536"/>
      <c r="PXX1" s="536"/>
      <c r="PXY1" s="536"/>
      <c r="PXZ1" s="536"/>
      <c r="PYA1" s="536"/>
      <c r="PYB1" s="536"/>
      <c r="PYC1" s="536"/>
      <c r="PYD1" s="536"/>
      <c r="PYE1" s="536"/>
      <c r="PYF1" s="536"/>
      <c r="PYG1" s="536"/>
      <c r="PYH1" s="536"/>
      <c r="PYI1" s="536"/>
      <c r="PYJ1" s="536"/>
      <c r="PYK1" s="536"/>
      <c r="PYL1" s="536"/>
      <c r="PYM1" s="536"/>
      <c r="PYN1" s="536"/>
      <c r="PYO1" s="536"/>
      <c r="PYP1" s="536"/>
      <c r="PYQ1" s="536"/>
      <c r="PYR1" s="536"/>
      <c r="PYS1" s="536"/>
      <c r="PYT1" s="536"/>
      <c r="PYU1" s="536"/>
      <c r="PYV1" s="536"/>
      <c r="PYW1" s="536"/>
      <c r="PYX1" s="536"/>
      <c r="PYY1" s="536"/>
      <c r="PYZ1" s="536"/>
      <c r="PZA1" s="536"/>
      <c r="PZB1" s="536"/>
      <c r="PZC1" s="536"/>
      <c r="PZD1" s="536"/>
      <c r="PZE1" s="536"/>
      <c r="PZF1" s="536"/>
      <c r="PZG1" s="536"/>
      <c r="PZH1" s="536"/>
      <c r="PZI1" s="536"/>
      <c r="PZJ1" s="536"/>
      <c r="PZK1" s="536"/>
      <c r="PZL1" s="536"/>
      <c r="PZM1" s="536"/>
      <c r="PZN1" s="536"/>
      <c r="PZO1" s="536"/>
      <c r="PZP1" s="536"/>
      <c r="PZQ1" s="536"/>
      <c r="PZR1" s="536"/>
      <c r="PZS1" s="536"/>
      <c r="PZT1" s="536"/>
      <c r="PZU1" s="536"/>
      <c r="PZV1" s="536"/>
      <c r="PZW1" s="536"/>
      <c r="PZX1" s="536"/>
      <c r="PZY1" s="536"/>
      <c r="PZZ1" s="536"/>
      <c r="QAA1" s="536"/>
      <c r="QAB1" s="536"/>
      <c r="QAC1" s="536"/>
      <c r="QAD1" s="536"/>
      <c r="QAE1" s="536"/>
      <c r="QAF1" s="536"/>
      <c r="QAG1" s="536"/>
      <c r="QAH1" s="536"/>
      <c r="QAI1" s="536"/>
      <c r="QAJ1" s="536"/>
      <c r="QAK1" s="536"/>
      <c r="QAL1" s="536"/>
      <c r="QAM1" s="536"/>
      <c r="QAN1" s="536"/>
      <c r="QAO1" s="536"/>
      <c r="QAP1" s="536"/>
      <c r="QAQ1" s="536"/>
      <c r="QAR1" s="536"/>
      <c r="QAS1" s="536"/>
      <c r="QAT1" s="536"/>
      <c r="QAU1" s="536"/>
      <c r="QAV1" s="536"/>
      <c r="QAW1" s="536"/>
      <c r="QAX1" s="536"/>
      <c r="QAY1" s="536"/>
      <c r="QAZ1" s="536"/>
      <c r="QBA1" s="536"/>
      <c r="QBB1" s="536"/>
      <c r="QBC1" s="536"/>
      <c r="QBD1" s="536"/>
      <c r="QBE1" s="536"/>
      <c r="QBF1" s="536"/>
      <c r="QBG1" s="536"/>
      <c r="QBH1" s="536"/>
      <c r="QBI1" s="536"/>
      <c r="QBJ1" s="536"/>
      <c r="QBK1" s="536"/>
      <c r="QBL1" s="536"/>
      <c r="QBM1" s="536"/>
      <c r="QBN1" s="536"/>
      <c r="QBO1" s="536"/>
      <c r="QBP1" s="536"/>
      <c r="QBQ1" s="536"/>
      <c r="QBR1" s="536"/>
      <c r="QBS1" s="536"/>
      <c r="QBT1" s="536"/>
      <c r="QBU1" s="536"/>
      <c r="QBV1" s="536"/>
      <c r="QBW1" s="536"/>
      <c r="QBX1" s="536"/>
      <c r="QBY1" s="536"/>
      <c r="QBZ1" s="536"/>
      <c r="QCA1" s="536"/>
      <c r="QCB1" s="536"/>
      <c r="QCC1" s="536"/>
      <c r="QCD1" s="536"/>
      <c r="QCE1" s="536"/>
      <c r="QCF1" s="536"/>
      <c r="QCG1" s="536"/>
      <c r="QCH1" s="536"/>
      <c r="QCI1" s="536"/>
      <c r="QCJ1" s="536"/>
      <c r="QCK1" s="536"/>
      <c r="QCL1" s="536"/>
      <c r="QCM1" s="536"/>
      <c r="QCN1" s="536"/>
      <c r="QCO1" s="536"/>
      <c r="QCP1" s="536"/>
      <c r="QCQ1" s="536"/>
      <c r="QCR1" s="536"/>
      <c r="QCS1" s="536"/>
      <c r="QCT1" s="536"/>
      <c r="QCU1" s="536"/>
      <c r="QCV1" s="536"/>
      <c r="QCW1" s="536"/>
      <c r="QCX1" s="536"/>
      <c r="QCY1" s="536"/>
      <c r="QCZ1" s="536"/>
      <c r="QDA1" s="536"/>
      <c r="QDB1" s="536"/>
      <c r="QDC1" s="536"/>
      <c r="QDD1" s="536"/>
      <c r="QDE1" s="536"/>
      <c r="QDF1" s="536"/>
      <c r="QDG1" s="536"/>
      <c r="QDH1" s="536"/>
      <c r="QDI1" s="536"/>
      <c r="QDJ1" s="536"/>
      <c r="QDK1" s="536"/>
      <c r="QDL1" s="536"/>
      <c r="QDM1" s="536"/>
      <c r="QDN1" s="536"/>
      <c r="QDO1" s="536"/>
      <c r="QDP1" s="536"/>
      <c r="QDQ1" s="536"/>
      <c r="QDR1" s="536"/>
      <c r="QDS1" s="536"/>
      <c r="QDT1" s="536"/>
      <c r="QDU1" s="536"/>
      <c r="QDV1" s="536"/>
      <c r="QDW1" s="536"/>
      <c r="QDX1" s="536"/>
      <c r="QDY1" s="536"/>
      <c r="QDZ1" s="536"/>
      <c r="QEA1" s="536"/>
      <c r="QEB1" s="536"/>
      <c r="QEC1" s="536"/>
      <c r="QED1" s="536"/>
      <c r="QEE1" s="536"/>
      <c r="QEF1" s="536"/>
      <c r="QEG1" s="536"/>
      <c r="QEH1" s="536"/>
      <c r="QEI1" s="536"/>
      <c r="QEJ1" s="536"/>
      <c r="QEK1" s="536"/>
      <c r="QEL1" s="536"/>
      <c r="QEM1" s="536"/>
      <c r="QEN1" s="536"/>
      <c r="QEO1" s="536"/>
      <c r="QEP1" s="536"/>
      <c r="QEQ1" s="536"/>
      <c r="QER1" s="536"/>
      <c r="QES1" s="536"/>
      <c r="QET1" s="536"/>
      <c r="QEU1" s="536"/>
      <c r="QEV1" s="536"/>
      <c r="QEW1" s="536"/>
      <c r="QEX1" s="536"/>
      <c r="QEY1" s="536"/>
      <c r="QEZ1" s="536"/>
      <c r="QFA1" s="536"/>
      <c r="QFB1" s="536"/>
      <c r="QFC1" s="536"/>
      <c r="QFD1" s="536"/>
      <c r="QFE1" s="536"/>
      <c r="QFF1" s="536"/>
      <c r="QFG1" s="536"/>
      <c r="QFH1" s="536"/>
      <c r="QFI1" s="536"/>
      <c r="QFJ1" s="536"/>
      <c r="QFK1" s="536"/>
      <c r="QFL1" s="536"/>
      <c r="QFM1" s="536"/>
      <c r="QFN1" s="536"/>
      <c r="QFO1" s="536"/>
      <c r="QFP1" s="536"/>
      <c r="QFQ1" s="536"/>
      <c r="QFR1" s="536"/>
      <c r="QFS1" s="536"/>
      <c r="QFT1" s="536"/>
      <c r="QFU1" s="536"/>
      <c r="QFV1" s="536"/>
      <c r="QFW1" s="536"/>
      <c r="QFX1" s="536"/>
      <c r="QFY1" s="536"/>
      <c r="QFZ1" s="536"/>
      <c r="QGA1" s="536"/>
      <c r="QGB1" s="536"/>
      <c r="QGC1" s="536"/>
      <c r="QGD1" s="536"/>
      <c r="QGE1" s="536"/>
      <c r="QGF1" s="536"/>
      <c r="QGG1" s="536"/>
      <c r="QGH1" s="536"/>
      <c r="QGI1" s="536"/>
      <c r="QGJ1" s="536"/>
      <c r="QGK1" s="536"/>
      <c r="QGL1" s="536"/>
      <c r="QGM1" s="536"/>
      <c r="QGN1" s="536"/>
      <c r="QGO1" s="536"/>
      <c r="QGP1" s="536"/>
      <c r="QGQ1" s="536"/>
      <c r="QGR1" s="536"/>
      <c r="QGS1" s="536"/>
      <c r="QGT1" s="536"/>
      <c r="QGU1" s="536"/>
      <c r="QGV1" s="536"/>
      <c r="QGW1" s="536"/>
      <c r="QGX1" s="536"/>
      <c r="QGY1" s="536"/>
      <c r="QGZ1" s="536"/>
      <c r="QHA1" s="536"/>
      <c r="QHB1" s="536"/>
      <c r="QHC1" s="536"/>
      <c r="QHD1" s="536"/>
      <c r="QHE1" s="536"/>
      <c r="QHF1" s="536"/>
      <c r="QHG1" s="536"/>
      <c r="QHH1" s="536"/>
      <c r="QHI1" s="536"/>
      <c r="QHJ1" s="536"/>
      <c r="QHK1" s="536"/>
      <c r="QHL1" s="536"/>
      <c r="QHM1" s="536"/>
      <c r="QHN1" s="536"/>
      <c r="QHO1" s="536"/>
      <c r="QHP1" s="536"/>
      <c r="QHQ1" s="536"/>
      <c r="QHR1" s="536"/>
      <c r="QHS1" s="536"/>
      <c r="QHT1" s="536"/>
      <c r="QHU1" s="536"/>
      <c r="QHV1" s="536"/>
      <c r="QHW1" s="536"/>
      <c r="QHX1" s="536"/>
      <c r="QHY1" s="536"/>
      <c r="QHZ1" s="536"/>
      <c r="QIA1" s="536"/>
      <c r="QIB1" s="536"/>
      <c r="QIC1" s="536"/>
      <c r="QID1" s="536"/>
      <c r="QIE1" s="536"/>
      <c r="QIF1" s="536"/>
      <c r="QIG1" s="536"/>
      <c r="QIH1" s="536"/>
      <c r="QII1" s="536"/>
      <c r="QIJ1" s="536"/>
      <c r="QIK1" s="536"/>
      <c r="QIL1" s="536"/>
      <c r="QIM1" s="536"/>
      <c r="QIN1" s="536"/>
      <c r="QIO1" s="536"/>
      <c r="QIP1" s="536"/>
      <c r="QIQ1" s="536"/>
      <c r="QIR1" s="536"/>
      <c r="QIS1" s="536"/>
      <c r="QIT1" s="536"/>
      <c r="QIU1" s="536"/>
      <c r="QIV1" s="536"/>
      <c r="QIW1" s="536"/>
      <c r="QIX1" s="536"/>
      <c r="QIY1" s="536"/>
      <c r="QIZ1" s="536"/>
      <c r="QJA1" s="536"/>
      <c r="QJB1" s="536"/>
      <c r="QJC1" s="536"/>
      <c r="QJD1" s="536"/>
      <c r="QJE1" s="536"/>
      <c r="QJF1" s="536"/>
      <c r="QJG1" s="536"/>
      <c r="QJH1" s="536"/>
      <c r="QJI1" s="536"/>
      <c r="QJJ1" s="536"/>
      <c r="QJK1" s="536"/>
      <c r="QJL1" s="536"/>
      <c r="QJM1" s="536"/>
      <c r="QJN1" s="536"/>
      <c r="QJO1" s="536"/>
      <c r="QJP1" s="536"/>
      <c r="QJQ1" s="536"/>
      <c r="QJR1" s="536"/>
      <c r="QJS1" s="536"/>
      <c r="QJT1" s="536"/>
      <c r="QJU1" s="536"/>
      <c r="QJV1" s="536"/>
      <c r="QJW1" s="536"/>
      <c r="QJX1" s="536"/>
      <c r="QJY1" s="536"/>
      <c r="QJZ1" s="536"/>
      <c r="QKA1" s="536"/>
      <c r="QKB1" s="536"/>
      <c r="QKC1" s="536"/>
      <c r="QKD1" s="536"/>
      <c r="QKE1" s="536"/>
      <c r="QKF1" s="536"/>
      <c r="QKG1" s="536"/>
      <c r="QKH1" s="536"/>
      <c r="QKI1" s="536"/>
      <c r="QKJ1" s="536"/>
      <c r="QKK1" s="536"/>
      <c r="QKL1" s="536"/>
      <c r="QKM1" s="536"/>
      <c r="QKN1" s="536"/>
      <c r="QKO1" s="536"/>
      <c r="QKP1" s="536"/>
      <c r="QKQ1" s="536"/>
      <c r="QKR1" s="536"/>
      <c r="QKS1" s="536"/>
      <c r="QKT1" s="536"/>
      <c r="QKU1" s="536"/>
      <c r="QKV1" s="536"/>
      <c r="QKW1" s="536"/>
      <c r="QKX1" s="536"/>
      <c r="QKY1" s="536"/>
      <c r="QKZ1" s="536"/>
      <c r="QLA1" s="536"/>
      <c r="QLB1" s="536"/>
      <c r="QLC1" s="536"/>
      <c r="QLD1" s="536"/>
      <c r="QLE1" s="536"/>
      <c r="QLF1" s="536"/>
      <c r="QLG1" s="536"/>
      <c r="QLH1" s="536"/>
      <c r="QLI1" s="536"/>
      <c r="QLJ1" s="536"/>
      <c r="QLK1" s="536"/>
      <c r="QLL1" s="536"/>
      <c r="QLM1" s="536"/>
      <c r="QLN1" s="536"/>
      <c r="QLO1" s="536"/>
      <c r="QLP1" s="536"/>
      <c r="QLQ1" s="536"/>
      <c r="QLR1" s="536"/>
      <c r="QLS1" s="536"/>
      <c r="QLT1" s="536"/>
      <c r="QLU1" s="536"/>
      <c r="QLV1" s="536"/>
      <c r="QLW1" s="536"/>
      <c r="QLX1" s="536"/>
      <c r="QLY1" s="536"/>
      <c r="QLZ1" s="536"/>
      <c r="QMA1" s="536"/>
      <c r="QMB1" s="536"/>
      <c r="QMC1" s="536"/>
      <c r="QMD1" s="536"/>
      <c r="QME1" s="536"/>
      <c r="QMF1" s="536"/>
      <c r="QMG1" s="536"/>
      <c r="QMH1" s="536"/>
      <c r="QMI1" s="536"/>
      <c r="QMJ1" s="536"/>
      <c r="QMK1" s="536"/>
      <c r="QML1" s="536"/>
      <c r="QMM1" s="536"/>
      <c r="QMN1" s="536"/>
      <c r="QMO1" s="536"/>
      <c r="QMP1" s="536"/>
      <c r="QMQ1" s="536"/>
      <c r="QMR1" s="536"/>
      <c r="QMS1" s="536"/>
      <c r="QMT1" s="536"/>
      <c r="QMU1" s="536"/>
      <c r="QMV1" s="536"/>
      <c r="QMW1" s="536"/>
      <c r="QMX1" s="536"/>
      <c r="QMY1" s="536"/>
      <c r="QMZ1" s="536"/>
      <c r="QNA1" s="536"/>
      <c r="QNB1" s="536"/>
      <c r="QNC1" s="536"/>
      <c r="QND1" s="536"/>
      <c r="QNE1" s="536"/>
      <c r="QNF1" s="536"/>
      <c r="QNG1" s="536"/>
      <c r="QNH1" s="536"/>
      <c r="QNI1" s="536"/>
      <c r="QNJ1" s="536"/>
      <c r="QNK1" s="536"/>
      <c r="QNL1" s="536"/>
      <c r="QNM1" s="536"/>
      <c r="QNN1" s="536"/>
      <c r="QNO1" s="536"/>
      <c r="QNP1" s="536"/>
      <c r="QNQ1" s="536"/>
      <c r="QNR1" s="536"/>
      <c r="QNS1" s="536"/>
      <c r="QNT1" s="536"/>
      <c r="QNU1" s="536"/>
      <c r="QNV1" s="536"/>
      <c r="QNW1" s="536"/>
      <c r="QNX1" s="536"/>
      <c r="QNY1" s="536"/>
      <c r="QNZ1" s="536"/>
      <c r="QOA1" s="536"/>
      <c r="QOB1" s="536"/>
      <c r="QOC1" s="536"/>
      <c r="QOD1" s="536"/>
      <c r="QOE1" s="536"/>
      <c r="QOF1" s="536"/>
      <c r="QOG1" s="536"/>
      <c r="QOH1" s="536"/>
      <c r="QOI1" s="536"/>
      <c r="QOJ1" s="536"/>
      <c r="QOK1" s="536"/>
      <c r="QOL1" s="536"/>
      <c r="QOM1" s="536"/>
      <c r="QON1" s="536"/>
      <c r="QOO1" s="536"/>
      <c r="QOP1" s="536"/>
      <c r="QOQ1" s="536"/>
      <c r="QOR1" s="536"/>
      <c r="QOS1" s="536"/>
      <c r="QOT1" s="536"/>
      <c r="QOU1" s="536"/>
      <c r="QOV1" s="536"/>
      <c r="QOW1" s="536"/>
      <c r="QOX1" s="536"/>
      <c r="QOY1" s="536"/>
      <c r="QOZ1" s="536"/>
      <c r="QPA1" s="536"/>
      <c r="QPB1" s="536"/>
      <c r="QPC1" s="536"/>
      <c r="QPD1" s="536"/>
      <c r="QPE1" s="536"/>
      <c r="QPF1" s="536"/>
      <c r="QPG1" s="536"/>
      <c r="QPH1" s="536"/>
      <c r="QPI1" s="536"/>
      <c r="QPJ1" s="536"/>
      <c r="QPK1" s="536"/>
      <c r="QPL1" s="536"/>
      <c r="QPM1" s="536"/>
      <c r="QPN1" s="536"/>
      <c r="QPO1" s="536"/>
      <c r="QPP1" s="536"/>
      <c r="QPQ1" s="536"/>
      <c r="QPR1" s="536"/>
      <c r="QPS1" s="536"/>
      <c r="QPT1" s="536"/>
      <c r="QPU1" s="536"/>
      <c r="QPV1" s="536"/>
      <c r="QPW1" s="536"/>
      <c r="QPX1" s="536"/>
      <c r="QPY1" s="536"/>
      <c r="QPZ1" s="536"/>
      <c r="QQA1" s="536"/>
      <c r="QQB1" s="536"/>
      <c r="QQC1" s="536"/>
      <c r="QQD1" s="536"/>
      <c r="QQE1" s="536"/>
      <c r="QQF1" s="536"/>
      <c r="QQG1" s="536"/>
      <c r="QQH1" s="536"/>
      <c r="QQI1" s="536"/>
      <c r="QQJ1" s="536"/>
      <c r="QQK1" s="536"/>
      <c r="QQL1" s="536"/>
      <c r="QQM1" s="536"/>
      <c r="QQN1" s="536"/>
      <c r="QQO1" s="536"/>
      <c r="QQP1" s="536"/>
      <c r="QQQ1" s="536"/>
      <c r="QQR1" s="536"/>
      <c r="QQS1" s="536"/>
      <c r="QQT1" s="536"/>
      <c r="QQU1" s="536"/>
      <c r="QQV1" s="536"/>
      <c r="QQW1" s="536"/>
      <c r="QQX1" s="536"/>
      <c r="QQY1" s="536"/>
      <c r="QQZ1" s="536"/>
      <c r="QRA1" s="536"/>
      <c r="QRB1" s="536"/>
      <c r="QRC1" s="536"/>
      <c r="QRD1" s="536"/>
      <c r="QRE1" s="536"/>
      <c r="QRF1" s="536"/>
      <c r="QRG1" s="536"/>
      <c r="QRH1" s="536"/>
      <c r="QRI1" s="536"/>
      <c r="QRJ1" s="536"/>
      <c r="QRK1" s="536"/>
      <c r="QRL1" s="536"/>
      <c r="QRM1" s="536"/>
      <c r="QRN1" s="536"/>
      <c r="QRO1" s="536"/>
      <c r="QRP1" s="536"/>
      <c r="QRQ1" s="536"/>
      <c r="QRR1" s="536"/>
      <c r="QRS1" s="536"/>
      <c r="QRT1" s="536"/>
      <c r="QRU1" s="536"/>
      <c r="QRV1" s="536"/>
      <c r="QRW1" s="536"/>
      <c r="QRX1" s="536"/>
      <c r="QRY1" s="536"/>
      <c r="QRZ1" s="536"/>
      <c r="QSA1" s="536"/>
      <c r="QSB1" s="536"/>
      <c r="QSC1" s="536"/>
      <c r="QSD1" s="536"/>
      <c r="QSE1" s="536"/>
      <c r="QSF1" s="536"/>
      <c r="QSG1" s="536"/>
      <c r="QSH1" s="536"/>
      <c r="QSI1" s="536"/>
      <c r="QSJ1" s="536"/>
      <c r="QSK1" s="536"/>
      <c r="QSL1" s="536"/>
      <c r="QSM1" s="536"/>
      <c r="QSN1" s="536"/>
      <c r="QSO1" s="536"/>
      <c r="QSP1" s="536"/>
      <c r="QSQ1" s="536"/>
      <c r="QSR1" s="536"/>
      <c r="QSS1" s="536"/>
      <c r="QST1" s="536"/>
      <c r="QSU1" s="536"/>
      <c r="QSV1" s="536"/>
      <c r="QSW1" s="536"/>
      <c r="QSX1" s="536"/>
      <c r="QSY1" s="536"/>
      <c r="QSZ1" s="536"/>
      <c r="QTA1" s="536"/>
      <c r="QTB1" s="536"/>
      <c r="QTC1" s="536"/>
      <c r="QTD1" s="536"/>
      <c r="QTE1" s="536"/>
      <c r="QTF1" s="536"/>
      <c r="QTG1" s="536"/>
      <c r="QTH1" s="536"/>
      <c r="QTI1" s="536"/>
      <c r="QTJ1" s="536"/>
      <c r="QTK1" s="536"/>
      <c r="QTL1" s="536"/>
      <c r="QTM1" s="536"/>
      <c r="QTN1" s="536"/>
      <c r="QTO1" s="536"/>
      <c r="QTP1" s="536"/>
      <c r="QTQ1" s="536"/>
      <c r="QTR1" s="536"/>
      <c r="QTS1" s="536"/>
      <c r="QTT1" s="536"/>
      <c r="QTU1" s="536"/>
      <c r="QTV1" s="536"/>
      <c r="QTW1" s="536"/>
      <c r="QTX1" s="536"/>
      <c r="QTY1" s="536"/>
      <c r="QTZ1" s="536"/>
      <c r="QUA1" s="536"/>
      <c r="QUB1" s="536"/>
      <c r="QUC1" s="536"/>
      <c r="QUD1" s="536"/>
      <c r="QUE1" s="536"/>
      <c r="QUF1" s="536"/>
      <c r="QUG1" s="536"/>
      <c r="QUH1" s="536"/>
      <c r="QUI1" s="536"/>
      <c r="QUJ1" s="536"/>
      <c r="QUK1" s="536"/>
      <c r="QUL1" s="536"/>
      <c r="QUM1" s="536"/>
      <c r="QUN1" s="536"/>
      <c r="QUO1" s="536"/>
      <c r="QUP1" s="536"/>
      <c r="QUQ1" s="536"/>
      <c r="QUR1" s="536"/>
      <c r="QUS1" s="536"/>
      <c r="QUT1" s="536"/>
      <c r="QUU1" s="536"/>
      <c r="QUV1" s="536"/>
      <c r="QUW1" s="536"/>
      <c r="QUX1" s="536"/>
      <c r="QUY1" s="536"/>
      <c r="QUZ1" s="536"/>
      <c r="QVA1" s="536"/>
      <c r="QVB1" s="536"/>
      <c r="QVC1" s="536"/>
      <c r="QVD1" s="536"/>
      <c r="QVE1" s="536"/>
      <c r="QVF1" s="536"/>
      <c r="QVG1" s="536"/>
      <c r="QVH1" s="536"/>
      <c r="QVI1" s="536"/>
      <c r="QVJ1" s="536"/>
      <c r="QVK1" s="536"/>
      <c r="QVL1" s="536"/>
      <c r="QVM1" s="536"/>
      <c r="QVN1" s="536"/>
      <c r="QVO1" s="536"/>
      <c r="QVP1" s="536"/>
      <c r="QVQ1" s="536"/>
      <c r="QVR1" s="536"/>
      <c r="QVS1" s="536"/>
      <c r="QVT1" s="536"/>
      <c r="QVU1" s="536"/>
      <c r="QVV1" s="536"/>
      <c r="QVW1" s="536"/>
      <c r="QVX1" s="536"/>
      <c r="QVY1" s="536"/>
      <c r="QVZ1" s="536"/>
      <c r="QWA1" s="536"/>
      <c r="QWB1" s="536"/>
      <c r="QWC1" s="536"/>
      <c r="QWD1" s="536"/>
      <c r="QWE1" s="536"/>
      <c r="QWF1" s="536"/>
      <c r="QWG1" s="536"/>
      <c r="QWH1" s="536"/>
      <c r="QWI1" s="536"/>
      <c r="QWJ1" s="536"/>
      <c r="QWK1" s="536"/>
      <c r="QWL1" s="536"/>
      <c r="QWM1" s="536"/>
      <c r="QWN1" s="536"/>
      <c r="QWO1" s="536"/>
      <c r="QWP1" s="536"/>
      <c r="QWQ1" s="536"/>
      <c r="QWR1" s="536"/>
      <c r="QWS1" s="536"/>
      <c r="QWT1" s="536"/>
      <c r="QWU1" s="536"/>
      <c r="QWV1" s="536"/>
      <c r="QWW1" s="536"/>
      <c r="QWX1" s="536"/>
      <c r="QWY1" s="536"/>
      <c r="QWZ1" s="536"/>
      <c r="QXA1" s="536"/>
      <c r="QXB1" s="536"/>
      <c r="QXC1" s="536"/>
      <c r="QXD1" s="536"/>
      <c r="QXE1" s="536"/>
      <c r="QXF1" s="536"/>
      <c r="QXG1" s="536"/>
      <c r="QXH1" s="536"/>
      <c r="QXI1" s="536"/>
      <c r="QXJ1" s="536"/>
      <c r="QXK1" s="536"/>
      <c r="QXL1" s="536"/>
      <c r="QXM1" s="536"/>
      <c r="QXN1" s="536"/>
      <c r="QXO1" s="536"/>
      <c r="QXP1" s="536"/>
      <c r="QXQ1" s="536"/>
      <c r="QXR1" s="536"/>
      <c r="QXS1" s="536"/>
      <c r="QXT1" s="536"/>
      <c r="QXU1" s="536"/>
      <c r="QXV1" s="536"/>
      <c r="QXW1" s="536"/>
      <c r="QXX1" s="536"/>
      <c r="QXY1" s="536"/>
      <c r="QXZ1" s="536"/>
      <c r="QYA1" s="536"/>
      <c r="QYB1" s="536"/>
      <c r="QYC1" s="536"/>
      <c r="QYD1" s="536"/>
      <c r="QYE1" s="536"/>
      <c r="QYF1" s="536"/>
      <c r="QYG1" s="536"/>
      <c r="QYH1" s="536"/>
      <c r="QYI1" s="536"/>
      <c r="QYJ1" s="536"/>
      <c r="QYK1" s="536"/>
      <c r="QYL1" s="536"/>
      <c r="QYM1" s="536"/>
      <c r="QYN1" s="536"/>
      <c r="QYO1" s="536"/>
      <c r="QYP1" s="536"/>
      <c r="QYQ1" s="536"/>
      <c r="QYR1" s="536"/>
      <c r="QYS1" s="536"/>
      <c r="QYT1" s="536"/>
      <c r="QYU1" s="536"/>
      <c r="QYV1" s="536"/>
      <c r="QYW1" s="536"/>
      <c r="QYX1" s="536"/>
      <c r="QYY1" s="536"/>
      <c r="QYZ1" s="536"/>
      <c r="QZA1" s="536"/>
      <c r="QZB1" s="536"/>
      <c r="QZC1" s="536"/>
      <c r="QZD1" s="536"/>
      <c r="QZE1" s="536"/>
      <c r="QZF1" s="536"/>
      <c r="QZG1" s="536"/>
      <c r="QZH1" s="536"/>
      <c r="QZI1" s="536"/>
      <c r="QZJ1" s="536"/>
      <c r="QZK1" s="536"/>
      <c r="QZL1" s="536"/>
      <c r="QZM1" s="536"/>
      <c r="QZN1" s="536"/>
      <c r="QZO1" s="536"/>
      <c r="QZP1" s="536"/>
      <c r="QZQ1" s="536"/>
      <c r="QZR1" s="536"/>
      <c r="QZS1" s="536"/>
      <c r="QZT1" s="536"/>
      <c r="QZU1" s="536"/>
      <c r="QZV1" s="536"/>
      <c r="QZW1" s="536"/>
      <c r="QZX1" s="536"/>
      <c r="QZY1" s="536"/>
      <c r="QZZ1" s="536"/>
      <c r="RAA1" s="536"/>
      <c r="RAB1" s="536"/>
      <c r="RAC1" s="536"/>
      <c r="RAD1" s="536"/>
      <c r="RAE1" s="536"/>
      <c r="RAF1" s="536"/>
      <c r="RAG1" s="536"/>
      <c r="RAH1" s="536"/>
      <c r="RAI1" s="536"/>
      <c r="RAJ1" s="536"/>
      <c r="RAK1" s="536"/>
      <c r="RAL1" s="536"/>
      <c r="RAM1" s="536"/>
      <c r="RAN1" s="536"/>
      <c r="RAO1" s="536"/>
      <c r="RAP1" s="536"/>
      <c r="RAQ1" s="536"/>
      <c r="RAR1" s="536"/>
      <c r="RAS1" s="536"/>
      <c r="RAT1" s="536"/>
      <c r="RAU1" s="536"/>
      <c r="RAV1" s="536"/>
      <c r="RAW1" s="536"/>
      <c r="RAX1" s="536"/>
      <c r="RAY1" s="536"/>
      <c r="RAZ1" s="536"/>
      <c r="RBA1" s="536"/>
      <c r="RBB1" s="536"/>
      <c r="RBC1" s="536"/>
      <c r="RBD1" s="536"/>
      <c r="RBE1" s="536"/>
      <c r="RBF1" s="536"/>
      <c r="RBG1" s="536"/>
      <c r="RBH1" s="536"/>
      <c r="RBI1" s="536"/>
      <c r="RBJ1" s="536"/>
      <c r="RBK1" s="536"/>
      <c r="RBL1" s="536"/>
      <c r="RBM1" s="536"/>
      <c r="RBN1" s="536"/>
      <c r="RBO1" s="536"/>
      <c r="RBP1" s="536"/>
      <c r="RBQ1" s="536"/>
      <c r="RBR1" s="536"/>
      <c r="RBS1" s="536"/>
      <c r="RBT1" s="536"/>
      <c r="RBU1" s="536"/>
      <c r="RBV1" s="536"/>
      <c r="RBW1" s="536"/>
      <c r="RBX1" s="536"/>
      <c r="RBY1" s="536"/>
      <c r="RBZ1" s="536"/>
      <c r="RCA1" s="536"/>
      <c r="RCB1" s="536"/>
      <c r="RCC1" s="536"/>
      <c r="RCD1" s="536"/>
      <c r="RCE1" s="536"/>
      <c r="RCF1" s="536"/>
      <c r="RCG1" s="536"/>
      <c r="RCH1" s="536"/>
      <c r="RCI1" s="536"/>
      <c r="RCJ1" s="536"/>
      <c r="RCK1" s="536"/>
      <c r="RCL1" s="536"/>
      <c r="RCM1" s="536"/>
      <c r="RCN1" s="536"/>
      <c r="RCO1" s="536"/>
      <c r="RCP1" s="536"/>
      <c r="RCQ1" s="536"/>
      <c r="RCR1" s="536"/>
      <c r="RCS1" s="536"/>
      <c r="RCT1" s="536"/>
      <c r="RCU1" s="536"/>
      <c r="RCV1" s="536"/>
      <c r="RCW1" s="536"/>
      <c r="RCX1" s="536"/>
      <c r="RCY1" s="536"/>
      <c r="RCZ1" s="536"/>
      <c r="RDA1" s="536"/>
      <c r="RDB1" s="536"/>
      <c r="RDC1" s="536"/>
      <c r="RDD1" s="536"/>
      <c r="RDE1" s="536"/>
      <c r="RDF1" s="536"/>
      <c r="RDG1" s="536"/>
      <c r="RDH1" s="536"/>
      <c r="RDI1" s="536"/>
      <c r="RDJ1" s="536"/>
      <c r="RDK1" s="536"/>
      <c r="RDL1" s="536"/>
      <c r="RDM1" s="536"/>
      <c r="RDN1" s="536"/>
      <c r="RDO1" s="536"/>
      <c r="RDP1" s="536"/>
      <c r="RDQ1" s="536"/>
      <c r="RDR1" s="536"/>
      <c r="RDS1" s="536"/>
      <c r="RDT1" s="536"/>
      <c r="RDU1" s="536"/>
      <c r="RDV1" s="536"/>
      <c r="RDW1" s="536"/>
      <c r="RDX1" s="536"/>
      <c r="RDY1" s="536"/>
      <c r="RDZ1" s="536"/>
      <c r="REA1" s="536"/>
      <c r="REB1" s="536"/>
      <c r="REC1" s="536"/>
      <c r="RED1" s="536"/>
      <c r="REE1" s="536"/>
      <c r="REF1" s="536"/>
      <c r="REG1" s="536"/>
      <c r="REH1" s="536"/>
      <c r="REI1" s="536"/>
      <c r="REJ1" s="536"/>
      <c r="REK1" s="536"/>
      <c r="REL1" s="536"/>
      <c r="REM1" s="536"/>
      <c r="REN1" s="536"/>
      <c r="REO1" s="536"/>
      <c r="REP1" s="536"/>
      <c r="REQ1" s="536"/>
      <c r="RER1" s="536"/>
      <c r="RES1" s="536"/>
      <c r="RET1" s="536"/>
      <c r="REU1" s="536"/>
      <c r="REV1" s="536"/>
      <c r="REW1" s="536"/>
      <c r="REX1" s="536"/>
      <c r="REY1" s="536"/>
      <c r="REZ1" s="536"/>
      <c r="RFA1" s="536"/>
      <c r="RFB1" s="536"/>
      <c r="RFC1" s="536"/>
      <c r="RFD1" s="536"/>
      <c r="RFE1" s="536"/>
      <c r="RFF1" s="536"/>
      <c r="RFG1" s="536"/>
      <c r="RFH1" s="536"/>
      <c r="RFI1" s="536"/>
      <c r="RFJ1" s="536"/>
      <c r="RFK1" s="536"/>
      <c r="RFL1" s="536"/>
      <c r="RFM1" s="536"/>
      <c r="RFN1" s="536"/>
      <c r="RFO1" s="536"/>
      <c r="RFP1" s="536"/>
      <c r="RFQ1" s="536"/>
      <c r="RFR1" s="536"/>
      <c r="RFS1" s="536"/>
      <c r="RFT1" s="536"/>
      <c r="RFU1" s="536"/>
      <c r="RFV1" s="536"/>
      <c r="RFW1" s="536"/>
      <c r="RFX1" s="536"/>
      <c r="RFY1" s="536"/>
      <c r="RFZ1" s="536"/>
      <c r="RGA1" s="536"/>
      <c r="RGB1" s="536"/>
      <c r="RGC1" s="536"/>
      <c r="RGD1" s="536"/>
      <c r="RGE1" s="536"/>
      <c r="RGF1" s="536"/>
      <c r="RGG1" s="536"/>
      <c r="RGH1" s="536"/>
      <c r="RGI1" s="536"/>
      <c r="RGJ1" s="536"/>
      <c r="RGK1" s="536"/>
      <c r="RGL1" s="536"/>
      <c r="RGM1" s="536"/>
      <c r="RGN1" s="536"/>
      <c r="RGO1" s="536"/>
      <c r="RGP1" s="536"/>
      <c r="RGQ1" s="536"/>
      <c r="RGR1" s="536"/>
      <c r="RGS1" s="536"/>
      <c r="RGT1" s="536"/>
      <c r="RGU1" s="536"/>
      <c r="RGV1" s="536"/>
      <c r="RGW1" s="536"/>
      <c r="RGX1" s="536"/>
      <c r="RGY1" s="536"/>
      <c r="RGZ1" s="536"/>
      <c r="RHA1" s="536"/>
      <c r="RHB1" s="536"/>
      <c r="RHC1" s="536"/>
      <c r="RHD1" s="536"/>
      <c r="RHE1" s="536"/>
      <c r="RHF1" s="536"/>
      <c r="RHG1" s="536"/>
      <c r="RHH1" s="536"/>
      <c r="RHI1" s="536"/>
      <c r="RHJ1" s="536"/>
      <c r="RHK1" s="536"/>
      <c r="RHL1" s="536"/>
      <c r="RHM1" s="536"/>
      <c r="RHN1" s="536"/>
      <c r="RHO1" s="536"/>
      <c r="RHP1" s="536"/>
      <c r="RHQ1" s="536"/>
      <c r="RHR1" s="536"/>
      <c r="RHS1" s="536"/>
      <c r="RHT1" s="536"/>
      <c r="RHU1" s="536"/>
      <c r="RHV1" s="536"/>
      <c r="RHW1" s="536"/>
      <c r="RHX1" s="536"/>
      <c r="RHY1" s="536"/>
      <c r="RHZ1" s="536"/>
      <c r="RIA1" s="536"/>
      <c r="RIB1" s="536"/>
      <c r="RIC1" s="536"/>
      <c r="RID1" s="536"/>
      <c r="RIE1" s="536"/>
      <c r="RIF1" s="536"/>
      <c r="RIG1" s="536"/>
      <c r="RIH1" s="536"/>
      <c r="RII1" s="536"/>
      <c r="RIJ1" s="536"/>
      <c r="RIK1" s="536"/>
      <c r="RIL1" s="536"/>
      <c r="RIM1" s="536"/>
      <c r="RIN1" s="536"/>
      <c r="RIO1" s="536"/>
      <c r="RIP1" s="536"/>
      <c r="RIQ1" s="536"/>
      <c r="RIR1" s="536"/>
      <c r="RIS1" s="536"/>
      <c r="RIT1" s="536"/>
      <c r="RIU1" s="536"/>
      <c r="RIV1" s="536"/>
      <c r="RIW1" s="536"/>
      <c r="RIX1" s="536"/>
      <c r="RIY1" s="536"/>
      <c r="RIZ1" s="536"/>
      <c r="RJA1" s="536"/>
      <c r="RJB1" s="536"/>
      <c r="RJC1" s="536"/>
      <c r="RJD1" s="536"/>
      <c r="RJE1" s="536"/>
      <c r="RJF1" s="536"/>
      <c r="RJG1" s="536"/>
      <c r="RJH1" s="536"/>
      <c r="RJI1" s="536"/>
      <c r="RJJ1" s="536"/>
      <c r="RJK1" s="536"/>
      <c r="RJL1" s="536"/>
      <c r="RJM1" s="536"/>
      <c r="RJN1" s="536"/>
      <c r="RJO1" s="536"/>
      <c r="RJP1" s="536"/>
      <c r="RJQ1" s="536"/>
      <c r="RJR1" s="536"/>
      <c r="RJS1" s="536"/>
      <c r="RJT1" s="536"/>
      <c r="RJU1" s="536"/>
      <c r="RJV1" s="536"/>
      <c r="RJW1" s="536"/>
      <c r="RJX1" s="536"/>
      <c r="RJY1" s="536"/>
      <c r="RJZ1" s="536"/>
      <c r="RKA1" s="536"/>
      <c r="RKB1" s="536"/>
      <c r="RKC1" s="536"/>
      <c r="RKD1" s="536"/>
      <c r="RKE1" s="536"/>
      <c r="RKF1" s="536"/>
      <c r="RKG1" s="536"/>
      <c r="RKH1" s="536"/>
      <c r="RKI1" s="536"/>
      <c r="RKJ1" s="536"/>
      <c r="RKK1" s="536"/>
      <c r="RKL1" s="536"/>
      <c r="RKM1" s="536"/>
      <c r="RKN1" s="536"/>
      <c r="RKO1" s="536"/>
      <c r="RKP1" s="536"/>
      <c r="RKQ1" s="536"/>
      <c r="RKR1" s="536"/>
      <c r="RKS1" s="536"/>
      <c r="RKT1" s="536"/>
      <c r="RKU1" s="536"/>
      <c r="RKV1" s="536"/>
      <c r="RKW1" s="536"/>
      <c r="RKX1" s="536"/>
      <c r="RKY1" s="536"/>
      <c r="RKZ1" s="536"/>
      <c r="RLA1" s="536"/>
      <c r="RLB1" s="536"/>
      <c r="RLC1" s="536"/>
      <c r="RLD1" s="536"/>
      <c r="RLE1" s="536"/>
      <c r="RLF1" s="536"/>
      <c r="RLG1" s="536"/>
      <c r="RLH1" s="536"/>
      <c r="RLI1" s="536"/>
      <c r="RLJ1" s="536"/>
      <c r="RLK1" s="536"/>
      <c r="RLL1" s="536"/>
      <c r="RLM1" s="536"/>
      <c r="RLN1" s="536"/>
      <c r="RLO1" s="536"/>
      <c r="RLP1" s="536"/>
      <c r="RLQ1" s="536"/>
      <c r="RLR1" s="536"/>
      <c r="RLS1" s="536"/>
      <c r="RLT1" s="536"/>
      <c r="RLU1" s="536"/>
      <c r="RLV1" s="536"/>
      <c r="RLW1" s="536"/>
      <c r="RLX1" s="536"/>
      <c r="RLY1" s="536"/>
      <c r="RLZ1" s="536"/>
      <c r="RMA1" s="536"/>
      <c r="RMB1" s="536"/>
      <c r="RMC1" s="536"/>
      <c r="RMD1" s="536"/>
      <c r="RME1" s="536"/>
      <c r="RMF1" s="536"/>
      <c r="RMG1" s="536"/>
      <c r="RMH1" s="536"/>
      <c r="RMI1" s="536"/>
      <c r="RMJ1" s="536"/>
      <c r="RMK1" s="536"/>
      <c r="RML1" s="536"/>
      <c r="RMM1" s="536"/>
      <c r="RMN1" s="536"/>
      <c r="RMO1" s="536"/>
      <c r="RMP1" s="536"/>
      <c r="RMQ1" s="536"/>
      <c r="RMR1" s="536"/>
      <c r="RMS1" s="536"/>
      <c r="RMT1" s="536"/>
      <c r="RMU1" s="536"/>
      <c r="RMV1" s="536"/>
      <c r="RMW1" s="536"/>
      <c r="RMX1" s="536"/>
      <c r="RMY1" s="536"/>
      <c r="RMZ1" s="536"/>
      <c r="RNA1" s="536"/>
      <c r="RNB1" s="536"/>
      <c r="RNC1" s="536"/>
      <c r="RND1" s="536"/>
      <c r="RNE1" s="536"/>
      <c r="RNF1" s="536"/>
      <c r="RNG1" s="536"/>
      <c r="RNH1" s="536"/>
      <c r="RNI1" s="536"/>
      <c r="RNJ1" s="536"/>
      <c r="RNK1" s="536"/>
      <c r="RNL1" s="536"/>
      <c r="RNM1" s="536"/>
      <c r="RNN1" s="536"/>
      <c r="RNO1" s="536"/>
      <c r="RNP1" s="536"/>
      <c r="RNQ1" s="536"/>
      <c r="RNR1" s="536"/>
      <c r="RNS1" s="536"/>
      <c r="RNT1" s="536"/>
      <c r="RNU1" s="536"/>
      <c r="RNV1" s="536"/>
      <c r="RNW1" s="536"/>
      <c r="RNX1" s="536"/>
      <c r="RNY1" s="536"/>
      <c r="RNZ1" s="536"/>
      <c r="ROA1" s="536"/>
      <c r="ROB1" s="536"/>
      <c r="ROC1" s="536"/>
      <c r="ROD1" s="536"/>
      <c r="ROE1" s="536"/>
      <c r="ROF1" s="536"/>
      <c r="ROG1" s="536"/>
      <c r="ROH1" s="536"/>
      <c r="ROI1" s="536"/>
      <c r="ROJ1" s="536"/>
      <c r="ROK1" s="536"/>
      <c r="ROL1" s="536"/>
      <c r="ROM1" s="536"/>
      <c r="RON1" s="536"/>
      <c r="ROO1" s="536"/>
      <c r="ROP1" s="536"/>
      <c r="ROQ1" s="536"/>
      <c r="ROR1" s="536"/>
      <c r="ROS1" s="536"/>
      <c r="ROT1" s="536"/>
      <c r="ROU1" s="536"/>
      <c r="ROV1" s="536"/>
      <c r="ROW1" s="536"/>
      <c r="ROX1" s="536"/>
      <c r="ROY1" s="536"/>
      <c r="ROZ1" s="536"/>
      <c r="RPA1" s="536"/>
      <c r="RPB1" s="536"/>
      <c r="RPC1" s="536"/>
      <c r="RPD1" s="536"/>
      <c r="RPE1" s="536"/>
      <c r="RPF1" s="536"/>
      <c r="RPG1" s="536"/>
      <c r="RPH1" s="536"/>
      <c r="RPI1" s="536"/>
      <c r="RPJ1" s="536"/>
      <c r="RPK1" s="536"/>
      <c r="RPL1" s="536"/>
      <c r="RPM1" s="536"/>
      <c r="RPN1" s="536"/>
      <c r="RPO1" s="536"/>
      <c r="RPP1" s="536"/>
      <c r="RPQ1" s="536"/>
      <c r="RPR1" s="536"/>
      <c r="RPS1" s="536"/>
      <c r="RPT1" s="536"/>
      <c r="RPU1" s="536"/>
      <c r="RPV1" s="536"/>
      <c r="RPW1" s="536"/>
      <c r="RPX1" s="536"/>
      <c r="RPY1" s="536"/>
      <c r="RPZ1" s="536"/>
      <c r="RQA1" s="536"/>
      <c r="RQB1" s="536"/>
      <c r="RQC1" s="536"/>
      <c r="RQD1" s="536"/>
      <c r="RQE1" s="536"/>
      <c r="RQF1" s="536"/>
      <c r="RQG1" s="536"/>
      <c r="RQH1" s="536"/>
      <c r="RQI1" s="536"/>
      <c r="RQJ1" s="536"/>
      <c r="RQK1" s="536"/>
      <c r="RQL1" s="536"/>
      <c r="RQM1" s="536"/>
      <c r="RQN1" s="536"/>
      <c r="RQO1" s="536"/>
      <c r="RQP1" s="536"/>
      <c r="RQQ1" s="536"/>
      <c r="RQR1" s="536"/>
      <c r="RQS1" s="536"/>
      <c r="RQT1" s="536"/>
      <c r="RQU1" s="536"/>
      <c r="RQV1" s="536"/>
      <c r="RQW1" s="536"/>
      <c r="RQX1" s="536"/>
      <c r="RQY1" s="536"/>
      <c r="RQZ1" s="536"/>
      <c r="RRA1" s="536"/>
      <c r="RRB1" s="536"/>
      <c r="RRC1" s="536"/>
      <c r="RRD1" s="536"/>
      <c r="RRE1" s="536"/>
      <c r="RRF1" s="536"/>
      <c r="RRG1" s="536"/>
      <c r="RRH1" s="536"/>
      <c r="RRI1" s="536"/>
      <c r="RRJ1" s="536"/>
      <c r="RRK1" s="536"/>
      <c r="RRL1" s="536"/>
      <c r="RRM1" s="536"/>
      <c r="RRN1" s="536"/>
      <c r="RRO1" s="536"/>
      <c r="RRP1" s="536"/>
      <c r="RRQ1" s="536"/>
      <c r="RRR1" s="536"/>
      <c r="RRS1" s="536"/>
      <c r="RRT1" s="536"/>
      <c r="RRU1" s="536"/>
      <c r="RRV1" s="536"/>
      <c r="RRW1" s="536"/>
      <c r="RRX1" s="536"/>
      <c r="RRY1" s="536"/>
      <c r="RRZ1" s="536"/>
      <c r="RSA1" s="536"/>
      <c r="RSB1" s="536"/>
      <c r="RSC1" s="536"/>
      <c r="RSD1" s="536"/>
      <c r="RSE1" s="536"/>
      <c r="RSF1" s="536"/>
      <c r="RSG1" s="536"/>
      <c r="RSH1" s="536"/>
      <c r="RSI1" s="536"/>
      <c r="RSJ1" s="536"/>
      <c r="RSK1" s="536"/>
      <c r="RSL1" s="536"/>
      <c r="RSM1" s="536"/>
      <c r="RSN1" s="536"/>
      <c r="RSO1" s="536"/>
      <c r="RSP1" s="536"/>
      <c r="RSQ1" s="536"/>
      <c r="RSR1" s="536"/>
      <c r="RSS1" s="536"/>
      <c r="RST1" s="536"/>
      <c r="RSU1" s="536"/>
      <c r="RSV1" s="536"/>
      <c r="RSW1" s="536"/>
      <c r="RSX1" s="536"/>
      <c r="RSY1" s="536"/>
      <c r="RSZ1" s="536"/>
      <c r="RTA1" s="536"/>
      <c r="RTB1" s="536"/>
      <c r="RTC1" s="536"/>
      <c r="RTD1" s="536"/>
      <c r="RTE1" s="536"/>
      <c r="RTF1" s="536"/>
      <c r="RTG1" s="536"/>
      <c r="RTH1" s="536"/>
      <c r="RTI1" s="536"/>
      <c r="RTJ1" s="536"/>
      <c r="RTK1" s="536"/>
      <c r="RTL1" s="536"/>
      <c r="RTM1" s="536"/>
      <c r="RTN1" s="536"/>
      <c r="RTO1" s="536"/>
      <c r="RTP1" s="536"/>
      <c r="RTQ1" s="536"/>
      <c r="RTR1" s="536"/>
      <c r="RTS1" s="536"/>
      <c r="RTT1" s="536"/>
      <c r="RTU1" s="536"/>
      <c r="RTV1" s="536"/>
      <c r="RTW1" s="536"/>
      <c r="RTX1" s="536"/>
      <c r="RTY1" s="536"/>
      <c r="RTZ1" s="536"/>
      <c r="RUA1" s="536"/>
      <c r="RUB1" s="536"/>
      <c r="RUC1" s="536"/>
      <c r="RUD1" s="536"/>
      <c r="RUE1" s="536"/>
      <c r="RUF1" s="536"/>
      <c r="RUG1" s="536"/>
      <c r="RUH1" s="536"/>
      <c r="RUI1" s="536"/>
      <c r="RUJ1" s="536"/>
      <c r="RUK1" s="536"/>
      <c r="RUL1" s="536"/>
      <c r="RUM1" s="536"/>
      <c r="RUN1" s="536"/>
      <c r="RUO1" s="536"/>
      <c r="RUP1" s="536"/>
      <c r="RUQ1" s="536"/>
      <c r="RUR1" s="536"/>
      <c r="RUS1" s="536"/>
      <c r="RUT1" s="536"/>
      <c r="RUU1" s="536"/>
      <c r="RUV1" s="536"/>
      <c r="RUW1" s="536"/>
      <c r="RUX1" s="536"/>
      <c r="RUY1" s="536"/>
      <c r="RUZ1" s="536"/>
      <c r="RVA1" s="536"/>
      <c r="RVB1" s="536"/>
      <c r="RVC1" s="536"/>
      <c r="RVD1" s="536"/>
      <c r="RVE1" s="536"/>
      <c r="RVF1" s="536"/>
      <c r="RVG1" s="536"/>
      <c r="RVH1" s="536"/>
      <c r="RVI1" s="536"/>
      <c r="RVJ1" s="536"/>
      <c r="RVK1" s="536"/>
      <c r="RVL1" s="536"/>
      <c r="RVM1" s="536"/>
      <c r="RVN1" s="536"/>
      <c r="RVO1" s="536"/>
      <c r="RVP1" s="536"/>
      <c r="RVQ1" s="536"/>
      <c r="RVR1" s="536"/>
      <c r="RVS1" s="536"/>
      <c r="RVT1" s="536"/>
      <c r="RVU1" s="536"/>
      <c r="RVV1" s="536"/>
      <c r="RVW1" s="536"/>
      <c r="RVX1" s="536"/>
      <c r="RVY1" s="536"/>
      <c r="RVZ1" s="536"/>
      <c r="RWA1" s="536"/>
      <c r="RWB1" s="536"/>
      <c r="RWC1" s="536"/>
      <c r="RWD1" s="536"/>
      <c r="RWE1" s="536"/>
      <c r="RWF1" s="536"/>
      <c r="RWG1" s="536"/>
      <c r="RWH1" s="536"/>
      <c r="RWI1" s="536"/>
      <c r="RWJ1" s="536"/>
      <c r="RWK1" s="536"/>
      <c r="RWL1" s="536"/>
      <c r="RWM1" s="536"/>
      <c r="RWN1" s="536"/>
      <c r="RWO1" s="536"/>
      <c r="RWP1" s="536"/>
      <c r="RWQ1" s="536"/>
      <c r="RWR1" s="536"/>
      <c r="RWS1" s="536"/>
      <c r="RWT1" s="536"/>
      <c r="RWU1" s="536"/>
      <c r="RWV1" s="536"/>
      <c r="RWW1" s="536"/>
      <c r="RWX1" s="536"/>
      <c r="RWY1" s="536"/>
      <c r="RWZ1" s="536"/>
      <c r="RXA1" s="536"/>
      <c r="RXB1" s="536"/>
      <c r="RXC1" s="536"/>
      <c r="RXD1" s="536"/>
      <c r="RXE1" s="536"/>
      <c r="RXF1" s="536"/>
      <c r="RXG1" s="536"/>
      <c r="RXH1" s="536"/>
      <c r="RXI1" s="536"/>
      <c r="RXJ1" s="536"/>
      <c r="RXK1" s="536"/>
      <c r="RXL1" s="536"/>
      <c r="RXM1" s="536"/>
      <c r="RXN1" s="536"/>
      <c r="RXO1" s="536"/>
      <c r="RXP1" s="536"/>
      <c r="RXQ1" s="536"/>
      <c r="RXR1" s="536"/>
      <c r="RXS1" s="536"/>
      <c r="RXT1" s="536"/>
      <c r="RXU1" s="536"/>
      <c r="RXV1" s="536"/>
      <c r="RXW1" s="536"/>
      <c r="RXX1" s="536"/>
      <c r="RXY1" s="536"/>
      <c r="RXZ1" s="536"/>
      <c r="RYA1" s="536"/>
      <c r="RYB1" s="536"/>
      <c r="RYC1" s="536"/>
      <c r="RYD1" s="536"/>
      <c r="RYE1" s="536"/>
      <c r="RYF1" s="536"/>
      <c r="RYG1" s="536"/>
      <c r="RYH1" s="536"/>
      <c r="RYI1" s="536"/>
      <c r="RYJ1" s="536"/>
      <c r="RYK1" s="536"/>
      <c r="RYL1" s="536"/>
      <c r="RYM1" s="536"/>
      <c r="RYN1" s="536"/>
      <c r="RYO1" s="536"/>
      <c r="RYP1" s="536"/>
      <c r="RYQ1" s="536"/>
      <c r="RYR1" s="536"/>
      <c r="RYS1" s="536"/>
      <c r="RYT1" s="536"/>
      <c r="RYU1" s="536"/>
      <c r="RYV1" s="536"/>
      <c r="RYW1" s="536"/>
      <c r="RYX1" s="536"/>
      <c r="RYY1" s="536"/>
      <c r="RYZ1" s="536"/>
      <c r="RZA1" s="536"/>
      <c r="RZB1" s="536"/>
      <c r="RZC1" s="536"/>
      <c r="RZD1" s="536"/>
      <c r="RZE1" s="536"/>
      <c r="RZF1" s="536"/>
      <c r="RZG1" s="536"/>
      <c r="RZH1" s="536"/>
      <c r="RZI1" s="536"/>
      <c r="RZJ1" s="536"/>
      <c r="RZK1" s="536"/>
      <c r="RZL1" s="536"/>
      <c r="RZM1" s="536"/>
      <c r="RZN1" s="536"/>
      <c r="RZO1" s="536"/>
      <c r="RZP1" s="536"/>
      <c r="RZQ1" s="536"/>
      <c r="RZR1" s="536"/>
      <c r="RZS1" s="536"/>
      <c r="RZT1" s="536"/>
      <c r="RZU1" s="536"/>
      <c r="RZV1" s="536"/>
      <c r="RZW1" s="536"/>
      <c r="RZX1" s="536"/>
      <c r="RZY1" s="536"/>
      <c r="RZZ1" s="536"/>
      <c r="SAA1" s="536"/>
      <c r="SAB1" s="536"/>
      <c r="SAC1" s="536"/>
      <c r="SAD1" s="536"/>
      <c r="SAE1" s="536"/>
      <c r="SAF1" s="536"/>
      <c r="SAG1" s="536"/>
      <c r="SAH1" s="536"/>
      <c r="SAI1" s="536"/>
      <c r="SAJ1" s="536"/>
      <c r="SAK1" s="536"/>
      <c r="SAL1" s="536"/>
      <c r="SAM1" s="536"/>
      <c r="SAN1" s="536"/>
      <c r="SAO1" s="536"/>
      <c r="SAP1" s="536"/>
      <c r="SAQ1" s="536"/>
      <c r="SAR1" s="536"/>
      <c r="SAS1" s="536"/>
      <c r="SAT1" s="536"/>
      <c r="SAU1" s="536"/>
      <c r="SAV1" s="536"/>
      <c r="SAW1" s="536"/>
      <c r="SAX1" s="536"/>
      <c r="SAY1" s="536"/>
      <c r="SAZ1" s="536"/>
      <c r="SBA1" s="536"/>
      <c r="SBB1" s="536"/>
      <c r="SBC1" s="536"/>
      <c r="SBD1" s="536"/>
      <c r="SBE1" s="536"/>
      <c r="SBF1" s="536"/>
      <c r="SBG1" s="536"/>
      <c r="SBH1" s="536"/>
      <c r="SBI1" s="536"/>
      <c r="SBJ1" s="536"/>
      <c r="SBK1" s="536"/>
      <c r="SBL1" s="536"/>
      <c r="SBM1" s="536"/>
      <c r="SBN1" s="536"/>
      <c r="SBO1" s="536"/>
      <c r="SBP1" s="536"/>
      <c r="SBQ1" s="536"/>
      <c r="SBR1" s="536"/>
      <c r="SBS1" s="536"/>
      <c r="SBT1" s="536"/>
      <c r="SBU1" s="536"/>
      <c r="SBV1" s="536"/>
      <c r="SBW1" s="536"/>
      <c r="SBX1" s="536"/>
      <c r="SBY1" s="536"/>
      <c r="SBZ1" s="536"/>
      <c r="SCA1" s="536"/>
      <c r="SCB1" s="536"/>
      <c r="SCC1" s="536"/>
      <c r="SCD1" s="536"/>
      <c r="SCE1" s="536"/>
      <c r="SCF1" s="536"/>
      <c r="SCG1" s="536"/>
      <c r="SCH1" s="536"/>
      <c r="SCI1" s="536"/>
      <c r="SCJ1" s="536"/>
      <c r="SCK1" s="536"/>
      <c r="SCL1" s="536"/>
      <c r="SCM1" s="536"/>
      <c r="SCN1" s="536"/>
      <c r="SCO1" s="536"/>
      <c r="SCP1" s="536"/>
      <c r="SCQ1" s="536"/>
      <c r="SCR1" s="536"/>
      <c r="SCS1" s="536"/>
      <c r="SCT1" s="536"/>
      <c r="SCU1" s="536"/>
      <c r="SCV1" s="536"/>
      <c r="SCW1" s="536"/>
      <c r="SCX1" s="536"/>
      <c r="SCY1" s="536"/>
      <c r="SCZ1" s="536"/>
      <c r="SDA1" s="536"/>
      <c r="SDB1" s="536"/>
      <c r="SDC1" s="536"/>
      <c r="SDD1" s="536"/>
      <c r="SDE1" s="536"/>
      <c r="SDF1" s="536"/>
      <c r="SDG1" s="536"/>
      <c r="SDH1" s="536"/>
      <c r="SDI1" s="536"/>
      <c r="SDJ1" s="536"/>
      <c r="SDK1" s="536"/>
      <c r="SDL1" s="536"/>
      <c r="SDM1" s="536"/>
      <c r="SDN1" s="536"/>
      <c r="SDO1" s="536"/>
      <c r="SDP1" s="536"/>
      <c r="SDQ1" s="536"/>
      <c r="SDR1" s="536"/>
      <c r="SDS1" s="536"/>
      <c r="SDT1" s="536"/>
      <c r="SDU1" s="536"/>
      <c r="SDV1" s="536"/>
      <c r="SDW1" s="536"/>
      <c r="SDX1" s="536"/>
      <c r="SDY1" s="536"/>
      <c r="SDZ1" s="536"/>
      <c r="SEA1" s="536"/>
      <c r="SEB1" s="536"/>
      <c r="SEC1" s="536"/>
      <c r="SED1" s="536"/>
      <c r="SEE1" s="536"/>
      <c r="SEF1" s="536"/>
      <c r="SEG1" s="536"/>
      <c r="SEH1" s="536"/>
      <c r="SEI1" s="536"/>
      <c r="SEJ1" s="536"/>
      <c r="SEK1" s="536"/>
      <c r="SEL1" s="536"/>
      <c r="SEM1" s="536"/>
      <c r="SEN1" s="536"/>
      <c r="SEO1" s="536"/>
      <c r="SEP1" s="536"/>
      <c r="SEQ1" s="536"/>
      <c r="SER1" s="536"/>
      <c r="SES1" s="536"/>
      <c r="SET1" s="536"/>
      <c r="SEU1" s="536"/>
      <c r="SEV1" s="536"/>
      <c r="SEW1" s="536"/>
      <c r="SEX1" s="536"/>
      <c r="SEY1" s="536"/>
      <c r="SEZ1" s="536"/>
      <c r="SFA1" s="536"/>
      <c r="SFB1" s="536"/>
      <c r="SFC1" s="536"/>
      <c r="SFD1" s="536"/>
      <c r="SFE1" s="536"/>
      <c r="SFF1" s="536"/>
      <c r="SFG1" s="536"/>
      <c r="SFH1" s="536"/>
      <c r="SFI1" s="536"/>
      <c r="SFJ1" s="536"/>
      <c r="SFK1" s="536"/>
      <c r="SFL1" s="536"/>
      <c r="SFM1" s="536"/>
      <c r="SFN1" s="536"/>
      <c r="SFO1" s="536"/>
      <c r="SFP1" s="536"/>
      <c r="SFQ1" s="536"/>
      <c r="SFR1" s="536"/>
      <c r="SFS1" s="536"/>
      <c r="SFT1" s="536"/>
      <c r="SFU1" s="536"/>
      <c r="SFV1" s="536"/>
      <c r="SFW1" s="536"/>
      <c r="SFX1" s="536"/>
      <c r="SFY1" s="536"/>
      <c r="SFZ1" s="536"/>
      <c r="SGA1" s="536"/>
      <c r="SGB1" s="536"/>
      <c r="SGC1" s="536"/>
      <c r="SGD1" s="536"/>
      <c r="SGE1" s="536"/>
      <c r="SGF1" s="536"/>
      <c r="SGG1" s="536"/>
      <c r="SGH1" s="536"/>
      <c r="SGI1" s="536"/>
      <c r="SGJ1" s="536"/>
      <c r="SGK1" s="536"/>
      <c r="SGL1" s="536"/>
      <c r="SGM1" s="536"/>
      <c r="SGN1" s="536"/>
      <c r="SGO1" s="536"/>
      <c r="SGP1" s="536"/>
      <c r="SGQ1" s="536"/>
      <c r="SGR1" s="536"/>
      <c r="SGS1" s="536"/>
      <c r="SGT1" s="536"/>
      <c r="SGU1" s="536"/>
      <c r="SGV1" s="536"/>
      <c r="SGW1" s="536"/>
      <c r="SGX1" s="536"/>
      <c r="SGY1" s="536"/>
      <c r="SGZ1" s="536"/>
      <c r="SHA1" s="536"/>
      <c r="SHB1" s="536"/>
      <c r="SHC1" s="536"/>
      <c r="SHD1" s="536"/>
      <c r="SHE1" s="536"/>
      <c r="SHF1" s="536"/>
      <c r="SHG1" s="536"/>
      <c r="SHH1" s="536"/>
      <c r="SHI1" s="536"/>
      <c r="SHJ1" s="536"/>
      <c r="SHK1" s="536"/>
      <c r="SHL1" s="536"/>
      <c r="SHM1" s="536"/>
      <c r="SHN1" s="536"/>
      <c r="SHO1" s="536"/>
      <c r="SHP1" s="536"/>
      <c r="SHQ1" s="536"/>
      <c r="SHR1" s="536"/>
      <c r="SHS1" s="536"/>
      <c r="SHT1" s="536"/>
      <c r="SHU1" s="536"/>
      <c r="SHV1" s="536"/>
      <c r="SHW1" s="536"/>
      <c r="SHX1" s="536"/>
      <c r="SHY1" s="536"/>
      <c r="SHZ1" s="536"/>
      <c r="SIA1" s="536"/>
      <c r="SIB1" s="536"/>
      <c r="SIC1" s="536"/>
      <c r="SID1" s="536"/>
      <c r="SIE1" s="536"/>
      <c r="SIF1" s="536"/>
      <c r="SIG1" s="536"/>
      <c r="SIH1" s="536"/>
      <c r="SII1" s="536"/>
      <c r="SIJ1" s="536"/>
      <c r="SIK1" s="536"/>
      <c r="SIL1" s="536"/>
      <c r="SIM1" s="536"/>
      <c r="SIN1" s="536"/>
      <c r="SIO1" s="536"/>
      <c r="SIP1" s="536"/>
      <c r="SIQ1" s="536"/>
      <c r="SIR1" s="536"/>
      <c r="SIS1" s="536"/>
      <c r="SIT1" s="536"/>
      <c r="SIU1" s="536"/>
      <c r="SIV1" s="536"/>
      <c r="SIW1" s="536"/>
      <c r="SIX1" s="536"/>
      <c r="SIY1" s="536"/>
      <c r="SIZ1" s="536"/>
      <c r="SJA1" s="536"/>
      <c r="SJB1" s="536"/>
      <c r="SJC1" s="536"/>
      <c r="SJD1" s="536"/>
      <c r="SJE1" s="536"/>
      <c r="SJF1" s="536"/>
      <c r="SJG1" s="536"/>
      <c r="SJH1" s="536"/>
      <c r="SJI1" s="536"/>
      <c r="SJJ1" s="536"/>
      <c r="SJK1" s="536"/>
      <c r="SJL1" s="536"/>
      <c r="SJM1" s="536"/>
      <c r="SJN1" s="536"/>
      <c r="SJO1" s="536"/>
      <c r="SJP1" s="536"/>
      <c r="SJQ1" s="536"/>
      <c r="SJR1" s="536"/>
      <c r="SJS1" s="536"/>
      <c r="SJT1" s="536"/>
      <c r="SJU1" s="536"/>
      <c r="SJV1" s="536"/>
      <c r="SJW1" s="536"/>
      <c r="SJX1" s="536"/>
      <c r="SJY1" s="536"/>
      <c r="SJZ1" s="536"/>
      <c r="SKA1" s="536"/>
      <c r="SKB1" s="536"/>
      <c r="SKC1" s="536"/>
      <c r="SKD1" s="536"/>
      <c r="SKE1" s="536"/>
      <c r="SKF1" s="536"/>
      <c r="SKG1" s="536"/>
      <c r="SKH1" s="536"/>
      <c r="SKI1" s="536"/>
      <c r="SKJ1" s="536"/>
      <c r="SKK1" s="536"/>
      <c r="SKL1" s="536"/>
      <c r="SKM1" s="536"/>
      <c r="SKN1" s="536"/>
      <c r="SKO1" s="536"/>
      <c r="SKP1" s="536"/>
      <c r="SKQ1" s="536"/>
      <c r="SKR1" s="536"/>
      <c r="SKS1" s="536"/>
      <c r="SKT1" s="536"/>
      <c r="SKU1" s="536"/>
      <c r="SKV1" s="536"/>
      <c r="SKW1" s="536"/>
      <c r="SKX1" s="536"/>
      <c r="SKY1" s="536"/>
      <c r="SKZ1" s="536"/>
      <c r="SLA1" s="536"/>
      <c r="SLB1" s="536"/>
      <c r="SLC1" s="536"/>
      <c r="SLD1" s="536"/>
      <c r="SLE1" s="536"/>
      <c r="SLF1" s="536"/>
      <c r="SLG1" s="536"/>
      <c r="SLH1" s="536"/>
      <c r="SLI1" s="536"/>
      <c r="SLJ1" s="536"/>
      <c r="SLK1" s="536"/>
      <c r="SLL1" s="536"/>
      <c r="SLM1" s="536"/>
      <c r="SLN1" s="536"/>
      <c r="SLO1" s="536"/>
      <c r="SLP1" s="536"/>
      <c r="SLQ1" s="536"/>
      <c r="SLR1" s="536"/>
      <c r="SLS1" s="536"/>
      <c r="SLT1" s="536"/>
      <c r="SLU1" s="536"/>
      <c r="SLV1" s="536"/>
      <c r="SLW1" s="536"/>
      <c r="SLX1" s="536"/>
      <c r="SLY1" s="536"/>
      <c r="SLZ1" s="536"/>
      <c r="SMA1" s="536"/>
      <c r="SMB1" s="536"/>
      <c r="SMC1" s="536"/>
      <c r="SMD1" s="536"/>
      <c r="SME1" s="536"/>
      <c r="SMF1" s="536"/>
      <c r="SMG1" s="536"/>
      <c r="SMH1" s="536"/>
      <c r="SMI1" s="536"/>
      <c r="SMJ1" s="536"/>
      <c r="SMK1" s="536"/>
      <c r="SML1" s="536"/>
      <c r="SMM1" s="536"/>
      <c r="SMN1" s="536"/>
      <c r="SMO1" s="536"/>
      <c r="SMP1" s="536"/>
      <c r="SMQ1" s="536"/>
      <c r="SMR1" s="536"/>
      <c r="SMS1" s="536"/>
      <c r="SMT1" s="536"/>
      <c r="SMU1" s="536"/>
      <c r="SMV1" s="536"/>
      <c r="SMW1" s="536"/>
      <c r="SMX1" s="536"/>
      <c r="SMY1" s="536"/>
      <c r="SMZ1" s="536"/>
      <c r="SNA1" s="536"/>
      <c r="SNB1" s="536"/>
      <c r="SNC1" s="536"/>
      <c r="SND1" s="536"/>
      <c r="SNE1" s="536"/>
      <c r="SNF1" s="536"/>
      <c r="SNG1" s="536"/>
      <c r="SNH1" s="536"/>
      <c r="SNI1" s="536"/>
      <c r="SNJ1" s="536"/>
      <c r="SNK1" s="536"/>
      <c r="SNL1" s="536"/>
      <c r="SNM1" s="536"/>
      <c r="SNN1" s="536"/>
      <c r="SNO1" s="536"/>
      <c r="SNP1" s="536"/>
      <c r="SNQ1" s="536"/>
      <c r="SNR1" s="536"/>
      <c r="SNS1" s="536"/>
      <c r="SNT1" s="536"/>
      <c r="SNU1" s="536"/>
      <c r="SNV1" s="536"/>
      <c r="SNW1" s="536"/>
      <c r="SNX1" s="536"/>
      <c r="SNY1" s="536"/>
      <c r="SNZ1" s="536"/>
      <c r="SOA1" s="536"/>
      <c r="SOB1" s="536"/>
      <c r="SOC1" s="536"/>
      <c r="SOD1" s="536"/>
      <c r="SOE1" s="536"/>
      <c r="SOF1" s="536"/>
      <c r="SOG1" s="536"/>
      <c r="SOH1" s="536"/>
      <c r="SOI1" s="536"/>
      <c r="SOJ1" s="536"/>
      <c r="SOK1" s="536"/>
      <c r="SOL1" s="536"/>
      <c r="SOM1" s="536"/>
      <c r="SON1" s="536"/>
      <c r="SOO1" s="536"/>
      <c r="SOP1" s="536"/>
      <c r="SOQ1" s="536"/>
      <c r="SOR1" s="536"/>
      <c r="SOS1" s="536"/>
      <c r="SOT1" s="536"/>
      <c r="SOU1" s="536"/>
      <c r="SOV1" s="536"/>
      <c r="SOW1" s="536"/>
      <c r="SOX1" s="536"/>
      <c r="SOY1" s="536"/>
      <c r="SOZ1" s="536"/>
      <c r="SPA1" s="536"/>
      <c r="SPB1" s="536"/>
      <c r="SPC1" s="536"/>
      <c r="SPD1" s="536"/>
      <c r="SPE1" s="536"/>
      <c r="SPF1" s="536"/>
      <c r="SPG1" s="536"/>
      <c r="SPH1" s="536"/>
      <c r="SPI1" s="536"/>
      <c r="SPJ1" s="536"/>
      <c r="SPK1" s="536"/>
      <c r="SPL1" s="536"/>
      <c r="SPM1" s="536"/>
      <c r="SPN1" s="536"/>
      <c r="SPO1" s="536"/>
      <c r="SPP1" s="536"/>
      <c r="SPQ1" s="536"/>
      <c r="SPR1" s="536"/>
      <c r="SPS1" s="536"/>
      <c r="SPT1" s="536"/>
      <c r="SPU1" s="536"/>
      <c r="SPV1" s="536"/>
      <c r="SPW1" s="536"/>
      <c r="SPX1" s="536"/>
      <c r="SPY1" s="536"/>
      <c r="SPZ1" s="536"/>
      <c r="SQA1" s="536"/>
      <c r="SQB1" s="536"/>
      <c r="SQC1" s="536"/>
      <c r="SQD1" s="536"/>
      <c r="SQE1" s="536"/>
      <c r="SQF1" s="536"/>
      <c r="SQG1" s="536"/>
      <c r="SQH1" s="536"/>
      <c r="SQI1" s="536"/>
      <c r="SQJ1" s="536"/>
      <c r="SQK1" s="536"/>
      <c r="SQL1" s="536"/>
      <c r="SQM1" s="536"/>
      <c r="SQN1" s="536"/>
      <c r="SQO1" s="536"/>
      <c r="SQP1" s="536"/>
      <c r="SQQ1" s="536"/>
      <c r="SQR1" s="536"/>
      <c r="SQS1" s="536"/>
      <c r="SQT1" s="536"/>
      <c r="SQU1" s="536"/>
      <c r="SQV1" s="536"/>
      <c r="SQW1" s="536"/>
      <c r="SQX1" s="536"/>
      <c r="SQY1" s="536"/>
      <c r="SQZ1" s="536"/>
      <c r="SRA1" s="536"/>
      <c r="SRB1" s="536"/>
      <c r="SRC1" s="536"/>
      <c r="SRD1" s="536"/>
      <c r="SRE1" s="536"/>
      <c r="SRF1" s="536"/>
      <c r="SRG1" s="536"/>
      <c r="SRH1" s="536"/>
      <c r="SRI1" s="536"/>
      <c r="SRJ1" s="536"/>
      <c r="SRK1" s="536"/>
      <c r="SRL1" s="536"/>
      <c r="SRM1" s="536"/>
      <c r="SRN1" s="536"/>
      <c r="SRO1" s="536"/>
      <c r="SRP1" s="536"/>
      <c r="SRQ1" s="536"/>
      <c r="SRR1" s="536"/>
      <c r="SRS1" s="536"/>
      <c r="SRT1" s="536"/>
      <c r="SRU1" s="536"/>
      <c r="SRV1" s="536"/>
      <c r="SRW1" s="536"/>
      <c r="SRX1" s="536"/>
      <c r="SRY1" s="536"/>
      <c r="SRZ1" s="536"/>
      <c r="SSA1" s="536"/>
      <c r="SSB1" s="536"/>
      <c r="SSC1" s="536"/>
      <c r="SSD1" s="536"/>
      <c r="SSE1" s="536"/>
      <c r="SSF1" s="536"/>
      <c r="SSG1" s="536"/>
      <c r="SSH1" s="536"/>
      <c r="SSI1" s="536"/>
      <c r="SSJ1" s="536"/>
      <c r="SSK1" s="536"/>
      <c r="SSL1" s="536"/>
      <c r="SSM1" s="536"/>
      <c r="SSN1" s="536"/>
      <c r="SSO1" s="536"/>
      <c r="SSP1" s="536"/>
      <c r="SSQ1" s="536"/>
      <c r="SSR1" s="536"/>
      <c r="SSS1" s="536"/>
      <c r="SST1" s="536"/>
      <c r="SSU1" s="536"/>
      <c r="SSV1" s="536"/>
      <c r="SSW1" s="536"/>
      <c r="SSX1" s="536"/>
      <c r="SSY1" s="536"/>
      <c r="SSZ1" s="536"/>
      <c r="STA1" s="536"/>
      <c r="STB1" s="536"/>
      <c r="STC1" s="536"/>
      <c r="STD1" s="536"/>
      <c r="STE1" s="536"/>
      <c r="STF1" s="536"/>
      <c r="STG1" s="536"/>
      <c r="STH1" s="536"/>
      <c r="STI1" s="536"/>
      <c r="STJ1" s="536"/>
      <c r="STK1" s="536"/>
      <c r="STL1" s="536"/>
      <c r="STM1" s="536"/>
      <c r="STN1" s="536"/>
      <c r="STO1" s="536"/>
      <c r="STP1" s="536"/>
      <c r="STQ1" s="536"/>
      <c r="STR1" s="536"/>
      <c r="STS1" s="536"/>
      <c r="STT1" s="536"/>
      <c r="STU1" s="536"/>
      <c r="STV1" s="536"/>
      <c r="STW1" s="536"/>
      <c r="STX1" s="536"/>
      <c r="STY1" s="536"/>
      <c r="STZ1" s="536"/>
      <c r="SUA1" s="536"/>
      <c r="SUB1" s="536"/>
      <c r="SUC1" s="536"/>
      <c r="SUD1" s="536"/>
      <c r="SUE1" s="536"/>
      <c r="SUF1" s="536"/>
      <c r="SUG1" s="536"/>
      <c r="SUH1" s="536"/>
      <c r="SUI1" s="536"/>
      <c r="SUJ1" s="536"/>
      <c r="SUK1" s="536"/>
      <c r="SUL1" s="536"/>
      <c r="SUM1" s="536"/>
      <c r="SUN1" s="536"/>
      <c r="SUO1" s="536"/>
      <c r="SUP1" s="536"/>
      <c r="SUQ1" s="536"/>
      <c r="SUR1" s="536"/>
      <c r="SUS1" s="536"/>
      <c r="SUT1" s="536"/>
      <c r="SUU1" s="536"/>
      <c r="SUV1" s="536"/>
      <c r="SUW1" s="536"/>
      <c r="SUX1" s="536"/>
      <c r="SUY1" s="536"/>
      <c r="SUZ1" s="536"/>
      <c r="SVA1" s="536"/>
      <c r="SVB1" s="536"/>
      <c r="SVC1" s="536"/>
      <c r="SVD1" s="536"/>
      <c r="SVE1" s="536"/>
      <c r="SVF1" s="536"/>
      <c r="SVG1" s="536"/>
      <c r="SVH1" s="536"/>
      <c r="SVI1" s="536"/>
      <c r="SVJ1" s="536"/>
      <c r="SVK1" s="536"/>
      <c r="SVL1" s="536"/>
      <c r="SVM1" s="536"/>
      <c r="SVN1" s="536"/>
      <c r="SVO1" s="536"/>
      <c r="SVP1" s="536"/>
      <c r="SVQ1" s="536"/>
      <c r="SVR1" s="536"/>
      <c r="SVS1" s="536"/>
      <c r="SVT1" s="536"/>
      <c r="SVU1" s="536"/>
      <c r="SVV1" s="536"/>
      <c r="SVW1" s="536"/>
      <c r="SVX1" s="536"/>
      <c r="SVY1" s="536"/>
      <c r="SVZ1" s="536"/>
      <c r="SWA1" s="536"/>
      <c r="SWB1" s="536"/>
      <c r="SWC1" s="536"/>
      <c r="SWD1" s="536"/>
      <c r="SWE1" s="536"/>
      <c r="SWF1" s="536"/>
      <c r="SWG1" s="536"/>
      <c r="SWH1" s="536"/>
      <c r="SWI1" s="536"/>
      <c r="SWJ1" s="536"/>
      <c r="SWK1" s="536"/>
      <c r="SWL1" s="536"/>
      <c r="SWM1" s="536"/>
      <c r="SWN1" s="536"/>
      <c r="SWO1" s="536"/>
      <c r="SWP1" s="536"/>
      <c r="SWQ1" s="536"/>
      <c r="SWR1" s="536"/>
      <c r="SWS1" s="536"/>
      <c r="SWT1" s="536"/>
      <c r="SWU1" s="536"/>
      <c r="SWV1" s="536"/>
      <c r="SWW1" s="536"/>
      <c r="SWX1" s="536"/>
      <c r="SWY1" s="536"/>
      <c r="SWZ1" s="536"/>
      <c r="SXA1" s="536"/>
      <c r="SXB1" s="536"/>
      <c r="SXC1" s="536"/>
      <c r="SXD1" s="536"/>
      <c r="SXE1" s="536"/>
      <c r="SXF1" s="536"/>
      <c r="SXG1" s="536"/>
      <c r="SXH1" s="536"/>
      <c r="SXI1" s="536"/>
      <c r="SXJ1" s="536"/>
      <c r="SXK1" s="536"/>
      <c r="SXL1" s="536"/>
      <c r="SXM1" s="536"/>
      <c r="SXN1" s="536"/>
      <c r="SXO1" s="536"/>
      <c r="SXP1" s="536"/>
      <c r="SXQ1" s="536"/>
      <c r="SXR1" s="536"/>
      <c r="SXS1" s="536"/>
      <c r="SXT1" s="536"/>
      <c r="SXU1" s="536"/>
      <c r="SXV1" s="536"/>
      <c r="SXW1" s="536"/>
      <c r="SXX1" s="536"/>
      <c r="SXY1" s="536"/>
      <c r="SXZ1" s="536"/>
      <c r="SYA1" s="536"/>
      <c r="SYB1" s="536"/>
      <c r="SYC1" s="536"/>
      <c r="SYD1" s="536"/>
      <c r="SYE1" s="536"/>
      <c r="SYF1" s="536"/>
      <c r="SYG1" s="536"/>
      <c r="SYH1" s="536"/>
      <c r="SYI1" s="536"/>
      <c r="SYJ1" s="536"/>
      <c r="SYK1" s="536"/>
      <c r="SYL1" s="536"/>
      <c r="SYM1" s="536"/>
      <c r="SYN1" s="536"/>
      <c r="SYO1" s="536"/>
      <c r="SYP1" s="536"/>
      <c r="SYQ1" s="536"/>
      <c r="SYR1" s="536"/>
      <c r="SYS1" s="536"/>
      <c r="SYT1" s="536"/>
      <c r="SYU1" s="536"/>
      <c r="SYV1" s="536"/>
      <c r="SYW1" s="536"/>
      <c r="SYX1" s="536"/>
      <c r="SYY1" s="536"/>
      <c r="SYZ1" s="536"/>
      <c r="SZA1" s="536"/>
      <c r="SZB1" s="536"/>
      <c r="SZC1" s="536"/>
      <c r="SZD1" s="536"/>
      <c r="SZE1" s="536"/>
      <c r="SZF1" s="536"/>
      <c r="SZG1" s="536"/>
      <c r="SZH1" s="536"/>
      <c r="SZI1" s="536"/>
      <c r="SZJ1" s="536"/>
      <c r="SZK1" s="536"/>
      <c r="SZL1" s="536"/>
      <c r="SZM1" s="536"/>
      <c r="SZN1" s="536"/>
      <c r="SZO1" s="536"/>
      <c r="SZP1" s="536"/>
      <c r="SZQ1" s="536"/>
      <c r="SZR1" s="536"/>
      <c r="SZS1" s="536"/>
      <c r="SZT1" s="536"/>
      <c r="SZU1" s="536"/>
      <c r="SZV1" s="536"/>
      <c r="SZW1" s="536"/>
      <c r="SZX1" s="536"/>
      <c r="SZY1" s="536"/>
      <c r="SZZ1" s="536"/>
      <c r="TAA1" s="536"/>
      <c r="TAB1" s="536"/>
      <c r="TAC1" s="536"/>
      <c r="TAD1" s="536"/>
      <c r="TAE1" s="536"/>
      <c r="TAF1" s="536"/>
      <c r="TAG1" s="536"/>
      <c r="TAH1" s="536"/>
      <c r="TAI1" s="536"/>
      <c r="TAJ1" s="536"/>
      <c r="TAK1" s="536"/>
      <c r="TAL1" s="536"/>
      <c r="TAM1" s="536"/>
      <c r="TAN1" s="536"/>
      <c r="TAO1" s="536"/>
      <c r="TAP1" s="536"/>
      <c r="TAQ1" s="536"/>
      <c r="TAR1" s="536"/>
      <c r="TAS1" s="536"/>
      <c r="TAT1" s="536"/>
      <c r="TAU1" s="536"/>
      <c r="TAV1" s="536"/>
      <c r="TAW1" s="536"/>
      <c r="TAX1" s="536"/>
      <c r="TAY1" s="536"/>
      <c r="TAZ1" s="536"/>
      <c r="TBA1" s="536"/>
      <c r="TBB1" s="536"/>
      <c r="TBC1" s="536"/>
      <c r="TBD1" s="536"/>
      <c r="TBE1" s="536"/>
      <c r="TBF1" s="536"/>
      <c r="TBG1" s="536"/>
      <c r="TBH1" s="536"/>
      <c r="TBI1" s="536"/>
      <c r="TBJ1" s="536"/>
      <c r="TBK1" s="536"/>
      <c r="TBL1" s="536"/>
      <c r="TBM1" s="536"/>
      <c r="TBN1" s="536"/>
      <c r="TBO1" s="536"/>
      <c r="TBP1" s="536"/>
      <c r="TBQ1" s="536"/>
      <c r="TBR1" s="536"/>
      <c r="TBS1" s="536"/>
      <c r="TBT1" s="536"/>
      <c r="TBU1" s="536"/>
      <c r="TBV1" s="536"/>
      <c r="TBW1" s="536"/>
      <c r="TBX1" s="536"/>
      <c r="TBY1" s="536"/>
      <c r="TBZ1" s="536"/>
      <c r="TCA1" s="536"/>
      <c r="TCB1" s="536"/>
      <c r="TCC1" s="536"/>
      <c r="TCD1" s="536"/>
      <c r="TCE1" s="536"/>
      <c r="TCF1" s="536"/>
      <c r="TCG1" s="536"/>
      <c r="TCH1" s="536"/>
      <c r="TCI1" s="536"/>
      <c r="TCJ1" s="536"/>
      <c r="TCK1" s="536"/>
      <c r="TCL1" s="536"/>
      <c r="TCM1" s="536"/>
      <c r="TCN1" s="536"/>
      <c r="TCO1" s="536"/>
      <c r="TCP1" s="536"/>
      <c r="TCQ1" s="536"/>
      <c r="TCR1" s="536"/>
      <c r="TCS1" s="536"/>
      <c r="TCT1" s="536"/>
      <c r="TCU1" s="536"/>
      <c r="TCV1" s="536"/>
      <c r="TCW1" s="536"/>
      <c r="TCX1" s="536"/>
      <c r="TCY1" s="536"/>
      <c r="TCZ1" s="536"/>
      <c r="TDA1" s="536"/>
      <c r="TDB1" s="536"/>
      <c r="TDC1" s="536"/>
      <c r="TDD1" s="536"/>
      <c r="TDE1" s="536"/>
      <c r="TDF1" s="536"/>
      <c r="TDG1" s="536"/>
      <c r="TDH1" s="536"/>
      <c r="TDI1" s="536"/>
      <c r="TDJ1" s="536"/>
      <c r="TDK1" s="536"/>
      <c r="TDL1" s="536"/>
      <c r="TDM1" s="536"/>
      <c r="TDN1" s="536"/>
      <c r="TDO1" s="536"/>
      <c r="TDP1" s="536"/>
      <c r="TDQ1" s="536"/>
      <c r="TDR1" s="536"/>
      <c r="TDS1" s="536"/>
      <c r="TDT1" s="536"/>
      <c r="TDU1" s="536"/>
      <c r="TDV1" s="536"/>
      <c r="TDW1" s="536"/>
      <c r="TDX1" s="536"/>
      <c r="TDY1" s="536"/>
      <c r="TDZ1" s="536"/>
      <c r="TEA1" s="536"/>
      <c r="TEB1" s="536"/>
      <c r="TEC1" s="536"/>
      <c r="TED1" s="536"/>
      <c r="TEE1" s="536"/>
      <c r="TEF1" s="536"/>
      <c r="TEG1" s="536"/>
      <c r="TEH1" s="536"/>
      <c r="TEI1" s="536"/>
      <c r="TEJ1" s="536"/>
      <c r="TEK1" s="536"/>
      <c r="TEL1" s="536"/>
      <c r="TEM1" s="536"/>
      <c r="TEN1" s="536"/>
      <c r="TEO1" s="536"/>
      <c r="TEP1" s="536"/>
      <c r="TEQ1" s="536"/>
      <c r="TER1" s="536"/>
      <c r="TES1" s="536"/>
      <c r="TET1" s="536"/>
      <c r="TEU1" s="536"/>
      <c r="TEV1" s="536"/>
      <c r="TEW1" s="536"/>
      <c r="TEX1" s="536"/>
      <c r="TEY1" s="536"/>
      <c r="TEZ1" s="536"/>
      <c r="TFA1" s="536"/>
      <c r="TFB1" s="536"/>
      <c r="TFC1" s="536"/>
      <c r="TFD1" s="536"/>
      <c r="TFE1" s="536"/>
      <c r="TFF1" s="536"/>
      <c r="TFG1" s="536"/>
      <c r="TFH1" s="536"/>
      <c r="TFI1" s="536"/>
      <c r="TFJ1" s="536"/>
      <c r="TFK1" s="536"/>
      <c r="TFL1" s="536"/>
      <c r="TFM1" s="536"/>
      <c r="TFN1" s="536"/>
      <c r="TFO1" s="536"/>
      <c r="TFP1" s="536"/>
      <c r="TFQ1" s="536"/>
      <c r="TFR1" s="536"/>
      <c r="TFS1" s="536"/>
      <c r="TFT1" s="536"/>
      <c r="TFU1" s="536"/>
      <c r="TFV1" s="536"/>
      <c r="TFW1" s="536"/>
      <c r="TFX1" s="536"/>
      <c r="TFY1" s="536"/>
      <c r="TFZ1" s="536"/>
      <c r="TGA1" s="536"/>
      <c r="TGB1" s="536"/>
      <c r="TGC1" s="536"/>
      <c r="TGD1" s="536"/>
      <c r="TGE1" s="536"/>
      <c r="TGF1" s="536"/>
      <c r="TGG1" s="536"/>
      <c r="TGH1" s="536"/>
      <c r="TGI1" s="536"/>
      <c r="TGJ1" s="536"/>
      <c r="TGK1" s="536"/>
      <c r="TGL1" s="536"/>
      <c r="TGM1" s="536"/>
      <c r="TGN1" s="536"/>
      <c r="TGO1" s="536"/>
      <c r="TGP1" s="536"/>
      <c r="TGQ1" s="536"/>
      <c r="TGR1" s="536"/>
      <c r="TGS1" s="536"/>
      <c r="TGT1" s="536"/>
      <c r="TGU1" s="536"/>
      <c r="TGV1" s="536"/>
      <c r="TGW1" s="536"/>
      <c r="TGX1" s="536"/>
      <c r="TGY1" s="536"/>
      <c r="TGZ1" s="536"/>
      <c r="THA1" s="536"/>
      <c r="THB1" s="536"/>
      <c r="THC1" s="536"/>
      <c r="THD1" s="536"/>
      <c r="THE1" s="536"/>
      <c r="THF1" s="536"/>
      <c r="THG1" s="536"/>
      <c r="THH1" s="536"/>
      <c r="THI1" s="536"/>
      <c r="THJ1" s="536"/>
      <c r="THK1" s="536"/>
      <c r="THL1" s="536"/>
      <c r="THM1" s="536"/>
      <c r="THN1" s="536"/>
      <c r="THO1" s="536"/>
      <c r="THP1" s="536"/>
      <c r="THQ1" s="536"/>
      <c r="THR1" s="536"/>
      <c r="THS1" s="536"/>
      <c r="THT1" s="536"/>
      <c r="THU1" s="536"/>
      <c r="THV1" s="536"/>
      <c r="THW1" s="536"/>
      <c r="THX1" s="536"/>
      <c r="THY1" s="536"/>
      <c r="THZ1" s="536"/>
      <c r="TIA1" s="536"/>
      <c r="TIB1" s="536"/>
      <c r="TIC1" s="536"/>
      <c r="TID1" s="536"/>
      <c r="TIE1" s="536"/>
      <c r="TIF1" s="536"/>
      <c r="TIG1" s="536"/>
      <c r="TIH1" s="536"/>
      <c r="TII1" s="536"/>
      <c r="TIJ1" s="536"/>
      <c r="TIK1" s="536"/>
      <c r="TIL1" s="536"/>
      <c r="TIM1" s="536"/>
      <c r="TIN1" s="536"/>
      <c r="TIO1" s="536"/>
      <c r="TIP1" s="536"/>
      <c r="TIQ1" s="536"/>
      <c r="TIR1" s="536"/>
      <c r="TIS1" s="536"/>
      <c r="TIT1" s="536"/>
      <c r="TIU1" s="536"/>
      <c r="TIV1" s="536"/>
      <c r="TIW1" s="536"/>
      <c r="TIX1" s="536"/>
      <c r="TIY1" s="536"/>
      <c r="TIZ1" s="536"/>
      <c r="TJA1" s="536"/>
      <c r="TJB1" s="536"/>
      <c r="TJC1" s="536"/>
      <c r="TJD1" s="536"/>
      <c r="TJE1" s="536"/>
      <c r="TJF1" s="536"/>
      <c r="TJG1" s="536"/>
      <c r="TJH1" s="536"/>
      <c r="TJI1" s="536"/>
      <c r="TJJ1" s="536"/>
      <c r="TJK1" s="536"/>
      <c r="TJL1" s="536"/>
      <c r="TJM1" s="536"/>
      <c r="TJN1" s="536"/>
      <c r="TJO1" s="536"/>
      <c r="TJP1" s="536"/>
      <c r="TJQ1" s="536"/>
      <c r="TJR1" s="536"/>
      <c r="TJS1" s="536"/>
      <c r="TJT1" s="536"/>
      <c r="TJU1" s="536"/>
      <c r="TJV1" s="536"/>
      <c r="TJW1" s="536"/>
      <c r="TJX1" s="536"/>
      <c r="TJY1" s="536"/>
      <c r="TJZ1" s="536"/>
      <c r="TKA1" s="536"/>
      <c r="TKB1" s="536"/>
      <c r="TKC1" s="536"/>
      <c r="TKD1" s="536"/>
      <c r="TKE1" s="536"/>
      <c r="TKF1" s="536"/>
      <c r="TKG1" s="536"/>
      <c r="TKH1" s="536"/>
      <c r="TKI1" s="536"/>
      <c r="TKJ1" s="536"/>
      <c r="TKK1" s="536"/>
      <c r="TKL1" s="536"/>
      <c r="TKM1" s="536"/>
      <c r="TKN1" s="536"/>
      <c r="TKO1" s="536"/>
      <c r="TKP1" s="536"/>
      <c r="TKQ1" s="536"/>
      <c r="TKR1" s="536"/>
      <c r="TKS1" s="536"/>
      <c r="TKT1" s="536"/>
      <c r="TKU1" s="536"/>
      <c r="TKV1" s="536"/>
      <c r="TKW1" s="536"/>
      <c r="TKX1" s="536"/>
      <c r="TKY1" s="536"/>
      <c r="TKZ1" s="536"/>
      <c r="TLA1" s="536"/>
      <c r="TLB1" s="536"/>
      <c r="TLC1" s="536"/>
      <c r="TLD1" s="536"/>
      <c r="TLE1" s="536"/>
      <c r="TLF1" s="536"/>
      <c r="TLG1" s="536"/>
      <c r="TLH1" s="536"/>
      <c r="TLI1" s="536"/>
      <c r="TLJ1" s="536"/>
      <c r="TLK1" s="536"/>
      <c r="TLL1" s="536"/>
      <c r="TLM1" s="536"/>
      <c r="TLN1" s="536"/>
      <c r="TLO1" s="536"/>
      <c r="TLP1" s="536"/>
      <c r="TLQ1" s="536"/>
      <c r="TLR1" s="536"/>
      <c r="TLS1" s="536"/>
      <c r="TLT1" s="536"/>
      <c r="TLU1" s="536"/>
      <c r="TLV1" s="536"/>
      <c r="TLW1" s="536"/>
      <c r="TLX1" s="536"/>
      <c r="TLY1" s="536"/>
      <c r="TLZ1" s="536"/>
      <c r="TMA1" s="536"/>
      <c r="TMB1" s="536"/>
      <c r="TMC1" s="536"/>
      <c r="TMD1" s="536"/>
      <c r="TME1" s="536"/>
      <c r="TMF1" s="536"/>
      <c r="TMG1" s="536"/>
      <c r="TMH1" s="536"/>
      <c r="TMI1" s="536"/>
      <c r="TMJ1" s="536"/>
      <c r="TMK1" s="536"/>
      <c r="TML1" s="536"/>
      <c r="TMM1" s="536"/>
      <c r="TMN1" s="536"/>
      <c r="TMO1" s="536"/>
      <c r="TMP1" s="536"/>
      <c r="TMQ1" s="536"/>
      <c r="TMR1" s="536"/>
      <c r="TMS1" s="536"/>
      <c r="TMT1" s="536"/>
      <c r="TMU1" s="536"/>
      <c r="TMV1" s="536"/>
      <c r="TMW1" s="536"/>
      <c r="TMX1" s="536"/>
      <c r="TMY1" s="536"/>
      <c r="TMZ1" s="536"/>
      <c r="TNA1" s="536"/>
      <c r="TNB1" s="536"/>
      <c r="TNC1" s="536"/>
      <c r="TND1" s="536"/>
      <c r="TNE1" s="536"/>
      <c r="TNF1" s="536"/>
      <c r="TNG1" s="536"/>
      <c r="TNH1" s="536"/>
      <c r="TNI1" s="536"/>
      <c r="TNJ1" s="536"/>
      <c r="TNK1" s="536"/>
      <c r="TNL1" s="536"/>
      <c r="TNM1" s="536"/>
      <c r="TNN1" s="536"/>
      <c r="TNO1" s="536"/>
      <c r="TNP1" s="536"/>
      <c r="TNQ1" s="536"/>
      <c r="TNR1" s="536"/>
      <c r="TNS1" s="536"/>
      <c r="TNT1" s="536"/>
      <c r="TNU1" s="536"/>
      <c r="TNV1" s="536"/>
      <c r="TNW1" s="536"/>
      <c r="TNX1" s="536"/>
      <c r="TNY1" s="536"/>
      <c r="TNZ1" s="536"/>
      <c r="TOA1" s="536"/>
      <c r="TOB1" s="536"/>
      <c r="TOC1" s="536"/>
      <c r="TOD1" s="536"/>
      <c r="TOE1" s="536"/>
      <c r="TOF1" s="536"/>
      <c r="TOG1" s="536"/>
      <c r="TOH1" s="536"/>
      <c r="TOI1" s="536"/>
      <c r="TOJ1" s="536"/>
      <c r="TOK1" s="536"/>
      <c r="TOL1" s="536"/>
      <c r="TOM1" s="536"/>
      <c r="TON1" s="536"/>
      <c r="TOO1" s="536"/>
      <c r="TOP1" s="536"/>
      <c r="TOQ1" s="536"/>
      <c r="TOR1" s="536"/>
      <c r="TOS1" s="536"/>
      <c r="TOT1" s="536"/>
      <c r="TOU1" s="536"/>
      <c r="TOV1" s="536"/>
      <c r="TOW1" s="536"/>
      <c r="TOX1" s="536"/>
      <c r="TOY1" s="536"/>
      <c r="TOZ1" s="536"/>
      <c r="TPA1" s="536"/>
      <c r="TPB1" s="536"/>
      <c r="TPC1" s="536"/>
      <c r="TPD1" s="536"/>
      <c r="TPE1" s="536"/>
      <c r="TPF1" s="536"/>
      <c r="TPG1" s="536"/>
      <c r="TPH1" s="536"/>
      <c r="TPI1" s="536"/>
      <c r="TPJ1" s="536"/>
      <c r="TPK1" s="536"/>
      <c r="TPL1" s="536"/>
      <c r="TPM1" s="536"/>
      <c r="TPN1" s="536"/>
      <c r="TPO1" s="536"/>
      <c r="TPP1" s="536"/>
      <c r="TPQ1" s="536"/>
      <c r="TPR1" s="536"/>
      <c r="TPS1" s="536"/>
      <c r="TPT1" s="536"/>
      <c r="TPU1" s="536"/>
      <c r="TPV1" s="536"/>
      <c r="TPW1" s="536"/>
      <c r="TPX1" s="536"/>
      <c r="TPY1" s="536"/>
      <c r="TPZ1" s="536"/>
      <c r="TQA1" s="536"/>
      <c r="TQB1" s="536"/>
      <c r="TQC1" s="536"/>
      <c r="TQD1" s="536"/>
      <c r="TQE1" s="536"/>
      <c r="TQF1" s="536"/>
      <c r="TQG1" s="536"/>
      <c r="TQH1" s="536"/>
      <c r="TQI1" s="536"/>
      <c r="TQJ1" s="536"/>
      <c r="TQK1" s="536"/>
      <c r="TQL1" s="536"/>
      <c r="TQM1" s="536"/>
      <c r="TQN1" s="536"/>
      <c r="TQO1" s="536"/>
      <c r="TQP1" s="536"/>
      <c r="TQQ1" s="536"/>
      <c r="TQR1" s="536"/>
      <c r="TQS1" s="536"/>
      <c r="TQT1" s="536"/>
      <c r="TQU1" s="536"/>
      <c r="TQV1" s="536"/>
      <c r="TQW1" s="536"/>
      <c r="TQX1" s="536"/>
      <c r="TQY1" s="536"/>
      <c r="TQZ1" s="536"/>
      <c r="TRA1" s="536"/>
      <c r="TRB1" s="536"/>
      <c r="TRC1" s="536"/>
      <c r="TRD1" s="536"/>
      <c r="TRE1" s="536"/>
      <c r="TRF1" s="536"/>
      <c r="TRG1" s="536"/>
      <c r="TRH1" s="536"/>
      <c r="TRI1" s="536"/>
      <c r="TRJ1" s="536"/>
      <c r="TRK1" s="536"/>
      <c r="TRL1" s="536"/>
      <c r="TRM1" s="536"/>
      <c r="TRN1" s="536"/>
      <c r="TRO1" s="536"/>
      <c r="TRP1" s="536"/>
      <c r="TRQ1" s="536"/>
      <c r="TRR1" s="536"/>
      <c r="TRS1" s="536"/>
      <c r="TRT1" s="536"/>
      <c r="TRU1" s="536"/>
      <c r="TRV1" s="536"/>
      <c r="TRW1" s="536"/>
      <c r="TRX1" s="536"/>
      <c r="TRY1" s="536"/>
      <c r="TRZ1" s="536"/>
      <c r="TSA1" s="536"/>
      <c r="TSB1" s="536"/>
      <c r="TSC1" s="536"/>
      <c r="TSD1" s="536"/>
      <c r="TSE1" s="536"/>
      <c r="TSF1" s="536"/>
      <c r="TSG1" s="536"/>
      <c r="TSH1" s="536"/>
      <c r="TSI1" s="536"/>
      <c r="TSJ1" s="536"/>
      <c r="TSK1" s="536"/>
      <c r="TSL1" s="536"/>
      <c r="TSM1" s="536"/>
      <c r="TSN1" s="536"/>
      <c r="TSO1" s="536"/>
      <c r="TSP1" s="536"/>
      <c r="TSQ1" s="536"/>
      <c r="TSR1" s="536"/>
      <c r="TSS1" s="536"/>
      <c r="TST1" s="536"/>
      <c r="TSU1" s="536"/>
      <c r="TSV1" s="536"/>
      <c r="TSW1" s="536"/>
      <c r="TSX1" s="536"/>
      <c r="TSY1" s="536"/>
      <c r="TSZ1" s="536"/>
      <c r="TTA1" s="536"/>
      <c r="TTB1" s="536"/>
      <c r="TTC1" s="536"/>
      <c r="TTD1" s="536"/>
      <c r="TTE1" s="536"/>
      <c r="TTF1" s="536"/>
      <c r="TTG1" s="536"/>
      <c r="TTH1" s="536"/>
      <c r="TTI1" s="536"/>
      <c r="TTJ1" s="536"/>
      <c r="TTK1" s="536"/>
      <c r="TTL1" s="536"/>
      <c r="TTM1" s="536"/>
      <c r="TTN1" s="536"/>
      <c r="TTO1" s="536"/>
      <c r="TTP1" s="536"/>
      <c r="TTQ1" s="536"/>
      <c r="TTR1" s="536"/>
      <c r="TTS1" s="536"/>
      <c r="TTT1" s="536"/>
      <c r="TTU1" s="536"/>
      <c r="TTV1" s="536"/>
      <c r="TTW1" s="536"/>
      <c r="TTX1" s="536"/>
      <c r="TTY1" s="536"/>
      <c r="TTZ1" s="536"/>
      <c r="TUA1" s="536"/>
      <c r="TUB1" s="536"/>
      <c r="TUC1" s="536"/>
      <c r="TUD1" s="536"/>
      <c r="TUE1" s="536"/>
      <c r="TUF1" s="536"/>
      <c r="TUG1" s="536"/>
      <c r="TUH1" s="536"/>
      <c r="TUI1" s="536"/>
      <c r="TUJ1" s="536"/>
      <c r="TUK1" s="536"/>
      <c r="TUL1" s="536"/>
      <c r="TUM1" s="536"/>
      <c r="TUN1" s="536"/>
      <c r="TUO1" s="536"/>
      <c r="TUP1" s="536"/>
      <c r="TUQ1" s="536"/>
      <c r="TUR1" s="536"/>
      <c r="TUS1" s="536"/>
      <c r="TUT1" s="536"/>
      <c r="TUU1" s="536"/>
      <c r="TUV1" s="536"/>
      <c r="TUW1" s="536"/>
      <c r="TUX1" s="536"/>
      <c r="TUY1" s="536"/>
      <c r="TUZ1" s="536"/>
      <c r="TVA1" s="536"/>
      <c r="TVB1" s="536"/>
      <c r="TVC1" s="536"/>
      <c r="TVD1" s="536"/>
      <c r="TVE1" s="536"/>
      <c r="TVF1" s="536"/>
      <c r="TVG1" s="536"/>
      <c r="TVH1" s="536"/>
      <c r="TVI1" s="536"/>
      <c r="TVJ1" s="536"/>
      <c r="TVK1" s="536"/>
      <c r="TVL1" s="536"/>
      <c r="TVM1" s="536"/>
      <c r="TVN1" s="536"/>
      <c r="TVO1" s="536"/>
      <c r="TVP1" s="536"/>
      <c r="TVQ1" s="536"/>
      <c r="TVR1" s="536"/>
      <c r="TVS1" s="536"/>
      <c r="TVT1" s="536"/>
      <c r="TVU1" s="536"/>
      <c r="TVV1" s="536"/>
      <c r="TVW1" s="536"/>
      <c r="TVX1" s="536"/>
      <c r="TVY1" s="536"/>
      <c r="TVZ1" s="536"/>
      <c r="TWA1" s="536"/>
      <c r="TWB1" s="536"/>
      <c r="TWC1" s="536"/>
      <c r="TWD1" s="536"/>
      <c r="TWE1" s="536"/>
      <c r="TWF1" s="536"/>
      <c r="TWG1" s="536"/>
      <c r="TWH1" s="536"/>
      <c r="TWI1" s="536"/>
      <c r="TWJ1" s="536"/>
      <c r="TWK1" s="536"/>
      <c r="TWL1" s="536"/>
      <c r="TWM1" s="536"/>
      <c r="TWN1" s="536"/>
      <c r="TWO1" s="536"/>
      <c r="TWP1" s="536"/>
      <c r="TWQ1" s="536"/>
      <c r="TWR1" s="536"/>
      <c r="TWS1" s="536"/>
      <c r="TWT1" s="536"/>
      <c r="TWU1" s="536"/>
      <c r="TWV1" s="536"/>
      <c r="TWW1" s="536"/>
      <c r="TWX1" s="536"/>
      <c r="TWY1" s="536"/>
      <c r="TWZ1" s="536"/>
      <c r="TXA1" s="536"/>
      <c r="TXB1" s="536"/>
      <c r="TXC1" s="536"/>
      <c r="TXD1" s="536"/>
      <c r="TXE1" s="536"/>
      <c r="TXF1" s="536"/>
      <c r="TXG1" s="536"/>
      <c r="TXH1" s="536"/>
      <c r="TXI1" s="536"/>
      <c r="TXJ1" s="536"/>
      <c r="TXK1" s="536"/>
      <c r="TXL1" s="536"/>
      <c r="TXM1" s="536"/>
      <c r="TXN1" s="536"/>
      <c r="TXO1" s="536"/>
      <c r="TXP1" s="536"/>
      <c r="TXQ1" s="536"/>
      <c r="TXR1" s="536"/>
      <c r="TXS1" s="536"/>
      <c r="TXT1" s="536"/>
      <c r="TXU1" s="536"/>
      <c r="TXV1" s="536"/>
      <c r="TXW1" s="536"/>
      <c r="TXX1" s="536"/>
      <c r="TXY1" s="536"/>
      <c r="TXZ1" s="536"/>
      <c r="TYA1" s="536"/>
      <c r="TYB1" s="536"/>
      <c r="TYC1" s="536"/>
      <c r="TYD1" s="536"/>
      <c r="TYE1" s="536"/>
      <c r="TYF1" s="536"/>
      <c r="TYG1" s="536"/>
      <c r="TYH1" s="536"/>
      <c r="TYI1" s="536"/>
      <c r="TYJ1" s="536"/>
      <c r="TYK1" s="536"/>
      <c r="TYL1" s="536"/>
      <c r="TYM1" s="536"/>
      <c r="TYN1" s="536"/>
      <c r="TYO1" s="536"/>
      <c r="TYP1" s="536"/>
      <c r="TYQ1" s="536"/>
      <c r="TYR1" s="536"/>
      <c r="TYS1" s="536"/>
      <c r="TYT1" s="536"/>
      <c r="TYU1" s="536"/>
      <c r="TYV1" s="536"/>
      <c r="TYW1" s="536"/>
      <c r="TYX1" s="536"/>
      <c r="TYY1" s="536"/>
      <c r="TYZ1" s="536"/>
      <c r="TZA1" s="536"/>
      <c r="TZB1" s="536"/>
      <c r="TZC1" s="536"/>
      <c r="TZD1" s="536"/>
      <c r="TZE1" s="536"/>
      <c r="TZF1" s="536"/>
      <c r="TZG1" s="536"/>
      <c r="TZH1" s="536"/>
      <c r="TZI1" s="536"/>
      <c r="TZJ1" s="536"/>
      <c r="TZK1" s="536"/>
      <c r="TZL1" s="536"/>
      <c r="TZM1" s="536"/>
      <c r="TZN1" s="536"/>
      <c r="TZO1" s="536"/>
      <c r="TZP1" s="536"/>
      <c r="TZQ1" s="536"/>
      <c r="TZR1" s="536"/>
      <c r="TZS1" s="536"/>
      <c r="TZT1" s="536"/>
      <c r="TZU1" s="536"/>
      <c r="TZV1" s="536"/>
      <c r="TZW1" s="536"/>
      <c r="TZX1" s="536"/>
      <c r="TZY1" s="536"/>
      <c r="TZZ1" s="536"/>
      <c r="UAA1" s="536"/>
      <c r="UAB1" s="536"/>
      <c r="UAC1" s="536"/>
      <c r="UAD1" s="536"/>
      <c r="UAE1" s="536"/>
      <c r="UAF1" s="536"/>
      <c r="UAG1" s="536"/>
      <c r="UAH1" s="536"/>
      <c r="UAI1" s="536"/>
      <c r="UAJ1" s="536"/>
      <c r="UAK1" s="536"/>
      <c r="UAL1" s="536"/>
      <c r="UAM1" s="536"/>
      <c r="UAN1" s="536"/>
      <c r="UAO1" s="536"/>
      <c r="UAP1" s="536"/>
      <c r="UAQ1" s="536"/>
      <c r="UAR1" s="536"/>
      <c r="UAS1" s="536"/>
      <c r="UAT1" s="536"/>
      <c r="UAU1" s="536"/>
      <c r="UAV1" s="536"/>
      <c r="UAW1" s="536"/>
      <c r="UAX1" s="536"/>
      <c r="UAY1" s="536"/>
      <c r="UAZ1" s="536"/>
      <c r="UBA1" s="536"/>
      <c r="UBB1" s="536"/>
      <c r="UBC1" s="536"/>
      <c r="UBD1" s="536"/>
      <c r="UBE1" s="536"/>
      <c r="UBF1" s="536"/>
      <c r="UBG1" s="536"/>
      <c r="UBH1" s="536"/>
      <c r="UBI1" s="536"/>
      <c r="UBJ1" s="536"/>
      <c r="UBK1" s="536"/>
      <c r="UBL1" s="536"/>
      <c r="UBM1" s="536"/>
      <c r="UBN1" s="536"/>
      <c r="UBO1" s="536"/>
      <c r="UBP1" s="536"/>
      <c r="UBQ1" s="536"/>
      <c r="UBR1" s="536"/>
      <c r="UBS1" s="536"/>
      <c r="UBT1" s="536"/>
      <c r="UBU1" s="536"/>
      <c r="UBV1" s="536"/>
      <c r="UBW1" s="536"/>
      <c r="UBX1" s="536"/>
      <c r="UBY1" s="536"/>
      <c r="UBZ1" s="536"/>
      <c r="UCA1" s="536"/>
      <c r="UCB1" s="536"/>
      <c r="UCC1" s="536"/>
      <c r="UCD1" s="536"/>
      <c r="UCE1" s="536"/>
      <c r="UCF1" s="536"/>
      <c r="UCG1" s="536"/>
      <c r="UCH1" s="536"/>
      <c r="UCI1" s="536"/>
      <c r="UCJ1" s="536"/>
      <c r="UCK1" s="536"/>
      <c r="UCL1" s="536"/>
      <c r="UCM1" s="536"/>
      <c r="UCN1" s="536"/>
      <c r="UCO1" s="536"/>
      <c r="UCP1" s="536"/>
      <c r="UCQ1" s="536"/>
      <c r="UCR1" s="536"/>
      <c r="UCS1" s="536"/>
      <c r="UCT1" s="536"/>
      <c r="UCU1" s="536"/>
      <c r="UCV1" s="536"/>
      <c r="UCW1" s="536"/>
      <c r="UCX1" s="536"/>
      <c r="UCY1" s="536"/>
      <c r="UCZ1" s="536"/>
      <c r="UDA1" s="536"/>
      <c r="UDB1" s="536"/>
      <c r="UDC1" s="536"/>
      <c r="UDD1" s="536"/>
      <c r="UDE1" s="536"/>
      <c r="UDF1" s="536"/>
      <c r="UDG1" s="536"/>
      <c r="UDH1" s="536"/>
      <c r="UDI1" s="536"/>
      <c r="UDJ1" s="536"/>
      <c r="UDK1" s="536"/>
      <c r="UDL1" s="536"/>
      <c r="UDM1" s="536"/>
      <c r="UDN1" s="536"/>
      <c r="UDO1" s="536"/>
      <c r="UDP1" s="536"/>
      <c r="UDQ1" s="536"/>
      <c r="UDR1" s="536"/>
      <c r="UDS1" s="536"/>
      <c r="UDT1" s="536"/>
      <c r="UDU1" s="536"/>
      <c r="UDV1" s="536"/>
      <c r="UDW1" s="536"/>
      <c r="UDX1" s="536"/>
      <c r="UDY1" s="536"/>
      <c r="UDZ1" s="536"/>
      <c r="UEA1" s="536"/>
      <c r="UEB1" s="536"/>
      <c r="UEC1" s="536"/>
      <c r="UED1" s="536"/>
      <c r="UEE1" s="536"/>
      <c r="UEF1" s="536"/>
      <c r="UEG1" s="536"/>
      <c r="UEH1" s="536"/>
      <c r="UEI1" s="536"/>
      <c r="UEJ1" s="536"/>
      <c r="UEK1" s="536"/>
      <c r="UEL1" s="536"/>
      <c r="UEM1" s="536"/>
      <c r="UEN1" s="536"/>
      <c r="UEO1" s="536"/>
      <c r="UEP1" s="536"/>
      <c r="UEQ1" s="536"/>
      <c r="UER1" s="536"/>
      <c r="UES1" s="536"/>
      <c r="UET1" s="536"/>
      <c r="UEU1" s="536"/>
      <c r="UEV1" s="536"/>
      <c r="UEW1" s="536"/>
      <c r="UEX1" s="536"/>
      <c r="UEY1" s="536"/>
      <c r="UEZ1" s="536"/>
      <c r="UFA1" s="536"/>
      <c r="UFB1" s="536"/>
      <c r="UFC1" s="536"/>
      <c r="UFD1" s="536"/>
      <c r="UFE1" s="536"/>
      <c r="UFF1" s="536"/>
      <c r="UFG1" s="536"/>
      <c r="UFH1" s="536"/>
      <c r="UFI1" s="536"/>
      <c r="UFJ1" s="536"/>
      <c r="UFK1" s="536"/>
      <c r="UFL1" s="536"/>
      <c r="UFM1" s="536"/>
      <c r="UFN1" s="536"/>
      <c r="UFO1" s="536"/>
      <c r="UFP1" s="536"/>
      <c r="UFQ1" s="536"/>
      <c r="UFR1" s="536"/>
      <c r="UFS1" s="536"/>
      <c r="UFT1" s="536"/>
      <c r="UFU1" s="536"/>
      <c r="UFV1" s="536"/>
      <c r="UFW1" s="536"/>
      <c r="UFX1" s="536"/>
      <c r="UFY1" s="536"/>
      <c r="UFZ1" s="536"/>
      <c r="UGA1" s="536"/>
      <c r="UGB1" s="536"/>
      <c r="UGC1" s="536"/>
      <c r="UGD1" s="536"/>
      <c r="UGE1" s="536"/>
      <c r="UGF1" s="536"/>
      <c r="UGG1" s="536"/>
      <c r="UGH1" s="536"/>
      <c r="UGI1" s="536"/>
      <c r="UGJ1" s="536"/>
      <c r="UGK1" s="536"/>
      <c r="UGL1" s="536"/>
      <c r="UGM1" s="536"/>
      <c r="UGN1" s="536"/>
      <c r="UGO1" s="536"/>
      <c r="UGP1" s="536"/>
      <c r="UGQ1" s="536"/>
      <c r="UGR1" s="536"/>
      <c r="UGS1" s="536"/>
      <c r="UGT1" s="536"/>
      <c r="UGU1" s="536"/>
      <c r="UGV1" s="536"/>
      <c r="UGW1" s="536"/>
      <c r="UGX1" s="536"/>
      <c r="UGY1" s="536"/>
      <c r="UGZ1" s="536"/>
      <c r="UHA1" s="536"/>
      <c r="UHB1" s="536"/>
      <c r="UHC1" s="536"/>
      <c r="UHD1" s="536"/>
      <c r="UHE1" s="536"/>
      <c r="UHF1" s="536"/>
      <c r="UHG1" s="536"/>
      <c r="UHH1" s="536"/>
      <c r="UHI1" s="536"/>
      <c r="UHJ1" s="536"/>
      <c r="UHK1" s="536"/>
      <c r="UHL1" s="536"/>
      <c r="UHM1" s="536"/>
      <c r="UHN1" s="536"/>
      <c r="UHO1" s="536"/>
      <c r="UHP1" s="536"/>
      <c r="UHQ1" s="536"/>
      <c r="UHR1" s="536"/>
      <c r="UHS1" s="536"/>
      <c r="UHT1" s="536"/>
      <c r="UHU1" s="536"/>
      <c r="UHV1" s="536"/>
      <c r="UHW1" s="536"/>
      <c r="UHX1" s="536"/>
      <c r="UHY1" s="536"/>
      <c r="UHZ1" s="536"/>
      <c r="UIA1" s="536"/>
      <c r="UIB1" s="536"/>
      <c r="UIC1" s="536"/>
      <c r="UID1" s="536"/>
      <c r="UIE1" s="536"/>
      <c r="UIF1" s="536"/>
      <c r="UIG1" s="536"/>
      <c r="UIH1" s="536"/>
      <c r="UII1" s="536"/>
      <c r="UIJ1" s="536"/>
      <c r="UIK1" s="536"/>
      <c r="UIL1" s="536"/>
      <c r="UIM1" s="536"/>
      <c r="UIN1" s="536"/>
      <c r="UIO1" s="536"/>
      <c r="UIP1" s="536"/>
      <c r="UIQ1" s="536"/>
      <c r="UIR1" s="536"/>
      <c r="UIS1" s="536"/>
      <c r="UIT1" s="536"/>
      <c r="UIU1" s="536"/>
      <c r="UIV1" s="536"/>
      <c r="UIW1" s="536"/>
      <c r="UIX1" s="536"/>
      <c r="UIY1" s="536"/>
      <c r="UIZ1" s="536"/>
      <c r="UJA1" s="536"/>
      <c r="UJB1" s="536"/>
      <c r="UJC1" s="536"/>
      <c r="UJD1" s="536"/>
      <c r="UJE1" s="536"/>
      <c r="UJF1" s="536"/>
      <c r="UJG1" s="536"/>
      <c r="UJH1" s="536"/>
      <c r="UJI1" s="536"/>
      <c r="UJJ1" s="536"/>
      <c r="UJK1" s="536"/>
      <c r="UJL1" s="536"/>
      <c r="UJM1" s="536"/>
      <c r="UJN1" s="536"/>
      <c r="UJO1" s="536"/>
      <c r="UJP1" s="536"/>
      <c r="UJQ1" s="536"/>
      <c r="UJR1" s="536"/>
      <c r="UJS1" s="536"/>
      <c r="UJT1" s="536"/>
      <c r="UJU1" s="536"/>
      <c r="UJV1" s="536"/>
      <c r="UJW1" s="536"/>
      <c r="UJX1" s="536"/>
      <c r="UJY1" s="536"/>
      <c r="UJZ1" s="536"/>
      <c r="UKA1" s="536"/>
      <c r="UKB1" s="536"/>
      <c r="UKC1" s="536"/>
      <c r="UKD1" s="536"/>
      <c r="UKE1" s="536"/>
      <c r="UKF1" s="536"/>
      <c r="UKG1" s="536"/>
      <c r="UKH1" s="536"/>
      <c r="UKI1" s="536"/>
      <c r="UKJ1" s="536"/>
      <c r="UKK1" s="536"/>
      <c r="UKL1" s="536"/>
      <c r="UKM1" s="536"/>
      <c r="UKN1" s="536"/>
      <c r="UKO1" s="536"/>
      <c r="UKP1" s="536"/>
      <c r="UKQ1" s="536"/>
      <c r="UKR1" s="536"/>
      <c r="UKS1" s="536"/>
      <c r="UKT1" s="536"/>
      <c r="UKU1" s="536"/>
      <c r="UKV1" s="536"/>
      <c r="UKW1" s="536"/>
      <c r="UKX1" s="536"/>
      <c r="UKY1" s="536"/>
      <c r="UKZ1" s="536"/>
      <c r="ULA1" s="536"/>
      <c r="ULB1" s="536"/>
      <c r="ULC1" s="536"/>
      <c r="ULD1" s="536"/>
      <c r="ULE1" s="536"/>
      <c r="ULF1" s="536"/>
      <c r="ULG1" s="536"/>
      <c r="ULH1" s="536"/>
      <c r="ULI1" s="536"/>
      <c r="ULJ1" s="536"/>
      <c r="ULK1" s="536"/>
      <c r="ULL1" s="536"/>
      <c r="ULM1" s="536"/>
      <c r="ULN1" s="536"/>
      <c r="ULO1" s="536"/>
      <c r="ULP1" s="536"/>
      <c r="ULQ1" s="536"/>
      <c r="ULR1" s="536"/>
      <c r="ULS1" s="536"/>
      <c r="ULT1" s="536"/>
      <c r="ULU1" s="536"/>
      <c r="ULV1" s="536"/>
      <c r="ULW1" s="536"/>
      <c r="ULX1" s="536"/>
      <c r="ULY1" s="536"/>
      <c r="ULZ1" s="536"/>
      <c r="UMA1" s="536"/>
      <c r="UMB1" s="536"/>
      <c r="UMC1" s="536"/>
      <c r="UMD1" s="536"/>
      <c r="UME1" s="536"/>
      <c r="UMF1" s="536"/>
      <c r="UMG1" s="536"/>
      <c r="UMH1" s="536"/>
      <c r="UMI1" s="536"/>
      <c r="UMJ1" s="536"/>
      <c r="UMK1" s="536"/>
      <c r="UML1" s="536"/>
      <c r="UMM1" s="536"/>
      <c r="UMN1" s="536"/>
      <c r="UMO1" s="536"/>
      <c r="UMP1" s="536"/>
      <c r="UMQ1" s="536"/>
      <c r="UMR1" s="536"/>
      <c r="UMS1" s="536"/>
      <c r="UMT1" s="536"/>
      <c r="UMU1" s="536"/>
      <c r="UMV1" s="536"/>
      <c r="UMW1" s="536"/>
      <c r="UMX1" s="536"/>
      <c r="UMY1" s="536"/>
      <c r="UMZ1" s="536"/>
      <c r="UNA1" s="536"/>
      <c r="UNB1" s="536"/>
      <c r="UNC1" s="536"/>
      <c r="UND1" s="536"/>
      <c r="UNE1" s="536"/>
      <c r="UNF1" s="536"/>
      <c r="UNG1" s="536"/>
      <c r="UNH1" s="536"/>
      <c r="UNI1" s="536"/>
      <c r="UNJ1" s="536"/>
      <c r="UNK1" s="536"/>
      <c r="UNL1" s="536"/>
      <c r="UNM1" s="536"/>
      <c r="UNN1" s="536"/>
      <c r="UNO1" s="536"/>
      <c r="UNP1" s="536"/>
      <c r="UNQ1" s="536"/>
      <c r="UNR1" s="536"/>
      <c r="UNS1" s="536"/>
      <c r="UNT1" s="536"/>
      <c r="UNU1" s="536"/>
      <c r="UNV1" s="536"/>
      <c r="UNW1" s="536"/>
      <c r="UNX1" s="536"/>
      <c r="UNY1" s="536"/>
      <c r="UNZ1" s="536"/>
      <c r="UOA1" s="536"/>
      <c r="UOB1" s="536"/>
      <c r="UOC1" s="536"/>
      <c r="UOD1" s="536"/>
      <c r="UOE1" s="536"/>
      <c r="UOF1" s="536"/>
      <c r="UOG1" s="536"/>
      <c r="UOH1" s="536"/>
      <c r="UOI1" s="536"/>
      <c r="UOJ1" s="536"/>
      <c r="UOK1" s="536"/>
      <c r="UOL1" s="536"/>
      <c r="UOM1" s="536"/>
      <c r="UON1" s="536"/>
      <c r="UOO1" s="536"/>
      <c r="UOP1" s="536"/>
      <c r="UOQ1" s="536"/>
      <c r="UOR1" s="536"/>
      <c r="UOS1" s="536"/>
      <c r="UOT1" s="536"/>
      <c r="UOU1" s="536"/>
      <c r="UOV1" s="536"/>
      <c r="UOW1" s="536"/>
      <c r="UOX1" s="536"/>
      <c r="UOY1" s="536"/>
      <c r="UOZ1" s="536"/>
      <c r="UPA1" s="536"/>
      <c r="UPB1" s="536"/>
      <c r="UPC1" s="536"/>
      <c r="UPD1" s="536"/>
      <c r="UPE1" s="536"/>
      <c r="UPF1" s="536"/>
      <c r="UPG1" s="536"/>
      <c r="UPH1" s="536"/>
      <c r="UPI1" s="536"/>
      <c r="UPJ1" s="536"/>
      <c r="UPK1" s="536"/>
      <c r="UPL1" s="536"/>
      <c r="UPM1" s="536"/>
      <c r="UPN1" s="536"/>
      <c r="UPO1" s="536"/>
      <c r="UPP1" s="536"/>
      <c r="UPQ1" s="536"/>
      <c r="UPR1" s="536"/>
      <c r="UPS1" s="536"/>
      <c r="UPT1" s="536"/>
      <c r="UPU1" s="536"/>
      <c r="UPV1" s="536"/>
      <c r="UPW1" s="536"/>
      <c r="UPX1" s="536"/>
      <c r="UPY1" s="536"/>
      <c r="UPZ1" s="536"/>
      <c r="UQA1" s="536"/>
      <c r="UQB1" s="536"/>
      <c r="UQC1" s="536"/>
      <c r="UQD1" s="536"/>
      <c r="UQE1" s="536"/>
      <c r="UQF1" s="536"/>
      <c r="UQG1" s="536"/>
      <c r="UQH1" s="536"/>
      <c r="UQI1" s="536"/>
      <c r="UQJ1" s="536"/>
      <c r="UQK1" s="536"/>
      <c r="UQL1" s="536"/>
      <c r="UQM1" s="536"/>
      <c r="UQN1" s="536"/>
      <c r="UQO1" s="536"/>
      <c r="UQP1" s="536"/>
      <c r="UQQ1" s="536"/>
      <c r="UQR1" s="536"/>
      <c r="UQS1" s="536"/>
      <c r="UQT1" s="536"/>
      <c r="UQU1" s="536"/>
      <c r="UQV1" s="536"/>
      <c r="UQW1" s="536"/>
      <c r="UQX1" s="536"/>
      <c r="UQY1" s="536"/>
      <c r="UQZ1" s="536"/>
      <c r="URA1" s="536"/>
      <c r="URB1" s="536"/>
      <c r="URC1" s="536"/>
      <c r="URD1" s="536"/>
      <c r="URE1" s="536"/>
      <c r="URF1" s="536"/>
      <c r="URG1" s="536"/>
      <c r="URH1" s="536"/>
      <c r="URI1" s="536"/>
      <c r="URJ1" s="536"/>
      <c r="URK1" s="536"/>
      <c r="URL1" s="536"/>
      <c r="URM1" s="536"/>
      <c r="URN1" s="536"/>
      <c r="URO1" s="536"/>
      <c r="URP1" s="536"/>
      <c r="URQ1" s="536"/>
      <c r="URR1" s="536"/>
      <c r="URS1" s="536"/>
      <c r="URT1" s="536"/>
      <c r="URU1" s="536"/>
      <c r="URV1" s="536"/>
      <c r="URW1" s="536"/>
      <c r="URX1" s="536"/>
      <c r="URY1" s="536"/>
      <c r="URZ1" s="536"/>
      <c r="USA1" s="536"/>
      <c r="USB1" s="536"/>
      <c r="USC1" s="536"/>
      <c r="USD1" s="536"/>
      <c r="USE1" s="536"/>
      <c r="USF1" s="536"/>
      <c r="USG1" s="536"/>
      <c r="USH1" s="536"/>
      <c r="USI1" s="536"/>
      <c r="USJ1" s="536"/>
      <c r="USK1" s="536"/>
      <c r="USL1" s="536"/>
      <c r="USM1" s="536"/>
      <c r="USN1" s="536"/>
      <c r="USO1" s="536"/>
      <c r="USP1" s="536"/>
      <c r="USQ1" s="536"/>
      <c r="USR1" s="536"/>
      <c r="USS1" s="536"/>
      <c r="UST1" s="536"/>
      <c r="USU1" s="536"/>
      <c r="USV1" s="536"/>
      <c r="USW1" s="536"/>
      <c r="USX1" s="536"/>
      <c r="USY1" s="536"/>
      <c r="USZ1" s="536"/>
      <c r="UTA1" s="536"/>
      <c r="UTB1" s="536"/>
      <c r="UTC1" s="536"/>
      <c r="UTD1" s="536"/>
      <c r="UTE1" s="536"/>
      <c r="UTF1" s="536"/>
      <c r="UTG1" s="536"/>
      <c r="UTH1" s="536"/>
      <c r="UTI1" s="536"/>
      <c r="UTJ1" s="536"/>
      <c r="UTK1" s="536"/>
      <c r="UTL1" s="536"/>
      <c r="UTM1" s="536"/>
      <c r="UTN1" s="536"/>
      <c r="UTO1" s="536"/>
      <c r="UTP1" s="536"/>
      <c r="UTQ1" s="536"/>
      <c r="UTR1" s="536"/>
      <c r="UTS1" s="536"/>
      <c r="UTT1" s="536"/>
      <c r="UTU1" s="536"/>
      <c r="UTV1" s="536"/>
      <c r="UTW1" s="536"/>
      <c r="UTX1" s="536"/>
      <c r="UTY1" s="536"/>
      <c r="UTZ1" s="536"/>
      <c r="UUA1" s="536"/>
      <c r="UUB1" s="536"/>
      <c r="UUC1" s="536"/>
      <c r="UUD1" s="536"/>
      <c r="UUE1" s="536"/>
      <c r="UUF1" s="536"/>
      <c r="UUG1" s="536"/>
      <c r="UUH1" s="536"/>
      <c r="UUI1" s="536"/>
      <c r="UUJ1" s="536"/>
      <c r="UUK1" s="536"/>
      <c r="UUL1" s="536"/>
      <c r="UUM1" s="536"/>
      <c r="UUN1" s="536"/>
      <c r="UUO1" s="536"/>
      <c r="UUP1" s="536"/>
      <c r="UUQ1" s="536"/>
      <c r="UUR1" s="536"/>
      <c r="UUS1" s="536"/>
      <c r="UUT1" s="536"/>
      <c r="UUU1" s="536"/>
      <c r="UUV1" s="536"/>
      <c r="UUW1" s="536"/>
      <c r="UUX1" s="536"/>
      <c r="UUY1" s="536"/>
      <c r="UUZ1" s="536"/>
      <c r="UVA1" s="536"/>
      <c r="UVB1" s="536"/>
      <c r="UVC1" s="536"/>
      <c r="UVD1" s="536"/>
      <c r="UVE1" s="536"/>
      <c r="UVF1" s="536"/>
      <c r="UVG1" s="536"/>
      <c r="UVH1" s="536"/>
      <c r="UVI1" s="536"/>
      <c r="UVJ1" s="536"/>
      <c r="UVK1" s="536"/>
      <c r="UVL1" s="536"/>
      <c r="UVM1" s="536"/>
      <c r="UVN1" s="536"/>
      <c r="UVO1" s="536"/>
      <c r="UVP1" s="536"/>
      <c r="UVQ1" s="536"/>
      <c r="UVR1" s="536"/>
      <c r="UVS1" s="536"/>
      <c r="UVT1" s="536"/>
      <c r="UVU1" s="536"/>
      <c r="UVV1" s="536"/>
      <c r="UVW1" s="536"/>
      <c r="UVX1" s="536"/>
      <c r="UVY1" s="536"/>
      <c r="UVZ1" s="536"/>
      <c r="UWA1" s="536"/>
      <c r="UWB1" s="536"/>
      <c r="UWC1" s="536"/>
      <c r="UWD1" s="536"/>
      <c r="UWE1" s="536"/>
      <c r="UWF1" s="536"/>
      <c r="UWG1" s="536"/>
      <c r="UWH1" s="536"/>
      <c r="UWI1" s="536"/>
      <c r="UWJ1" s="536"/>
      <c r="UWK1" s="536"/>
      <c r="UWL1" s="536"/>
      <c r="UWM1" s="536"/>
      <c r="UWN1" s="536"/>
      <c r="UWO1" s="536"/>
      <c r="UWP1" s="536"/>
      <c r="UWQ1" s="536"/>
      <c r="UWR1" s="536"/>
      <c r="UWS1" s="536"/>
      <c r="UWT1" s="536"/>
      <c r="UWU1" s="536"/>
      <c r="UWV1" s="536"/>
      <c r="UWW1" s="536"/>
      <c r="UWX1" s="536"/>
      <c r="UWY1" s="536"/>
      <c r="UWZ1" s="536"/>
      <c r="UXA1" s="536"/>
      <c r="UXB1" s="536"/>
      <c r="UXC1" s="536"/>
      <c r="UXD1" s="536"/>
      <c r="UXE1" s="536"/>
      <c r="UXF1" s="536"/>
      <c r="UXG1" s="536"/>
      <c r="UXH1" s="536"/>
      <c r="UXI1" s="536"/>
      <c r="UXJ1" s="536"/>
      <c r="UXK1" s="536"/>
      <c r="UXL1" s="536"/>
      <c r="UXM1" s="536"/>
      <c r="UXN1" s="536"/>
      <c r="UXO1" s="536"/>
      <c r="UXP1" s="536"/>
      <c r="UXQ1" s="536"/>
      <c r="UXR1" s="536"/>
      <c r="UXS1" s="536"/>
      <c r="UXT1" s="536"/>
      <c r="UXU1" s="536"/>
      <c r="UXV1" s="536"/>
      <c r="UXW1" s="536"/>
      <c r="UXX1" s="536"/>
      <c r="UXY1" s="536"/>
      <c r="UXZ1" s="536"/>
      <c r="UYA1" s="536"/>
      <c r="UYB1" s="536"/>
      <c r="UYC1" s="536"/>
      <c r="UYD1" s="536"/>
      <c r="UYE1" s="536"/>
      <c r="UYF1" s="536"/>
      <c r="UYG1" s="536"/>
      <c r="UYH1" s="536"/>
      <c r="UYI1" s="536"/>
      <c r="UYJ1" s="536"/>
      <c r="UYK1" s="536"/>
      <c r="UYL1" s="536"/>
      <c r="UYM1" s="536"/>
      <c r="UYN1" s="536"/>
      <c r="UYO1" s="536"/>
      <c r="UYP1" s="536"/>
      <c r="UYQ1" s="536"/>
      <c r="UYR1" s="536"/>
      <c r="UYS1" s="536"/>
      <c r="UYT1" s="536"/>
      <c r="UYU1" s="536"/>
      <c r="UYV1" s="536"/>
      <c r="UYW1" s="536"/>
      <c r="UYX1" s="536"/>
      <c r="UYY1" s="536"/>
      <c r="UYZ1" s="536"/>
      <c r="UZA1" s="536"/>
      <c r="UZB1" s="536"/>
      <c r="UZC1" s="536"/>
      <c r="UZD1" s="536"/>
      <c r="UZE1" s="536"/>
      <c r="UZF1" s="536"/>
      <c r="UZG1" s="536"/>
      <c r="UZH1" s="536"/>
      <c r="UZI1" s="536"/>
      <c r="UZJ1" s="536"/>
      <c r="UZK1" s="536"/>
      <c r="UZL1" s="536"/>
      <c r="UZM1" s="536"/>
      <c r="UZN1" s="536"/>
      <c r="UZO1" s="536"/>
      <c r="UZP1" s="536"/>
      <c r="UZQ1" s="536"/>
      <c r="UZR1" s="536"/>
      <c r="UZS1" s="536"/>
      <c r="UZT1" s="536"/>
      <c r="UZU1" s="536"/>
      <c r="UZV1" s="536"/>
      <c r="UZW1" s="536"/>
      <c r="UZX1" s="536"/>
      <c r="UZY1" s="536"/>
      <c r="UZZ1" s="536"/>
      <c r="VAA1" s="536"/>
      <c r="VAB1" s="536"/>
      <c r="VAC1" s="536"/>
      <c r="VAD1" s="536"/>
      <c r="VAE1" s="536"/>
      <c r="VAF1" s="536"/>
      <c r="VAG1" s="536"/>
      <c r="VAH1" s="536"/>
      <c r="VAI1" s="536"/>
      <c r="VAJ1" s="536"/>
      <c r="VAK1" s="536"/>
      <c r="VAL1" s="536"/>
      <c r="VAM1" s="536"/>
      <c r="VAN1" s="536"/>
      <c r="VAO1" s="536"/>
      <c r="VAP1" s="536"/>
      <c r="VAQ1" s="536"/>
      <c r="VAR1" s="536"/>
      <c r="VAS1" s="536"/>
      <c r="VAT1" s="536"/>
      <c r="VAU1" s="536"/>
      <c r="VAV1" s="536"/>
      <c r="VAW1" s="536"/>
      <c r="VAX1" s="536"/>
      <c r="VAY1" s="536"/>
      <c r="VAZ1" s="536"/>
      <c r="VBA1" s="536"/>
      <c r="VBB1" s="536"/>
      <c r="VBC1" s="536"/>
      <c r="VBD1" s="536"/>
      <c r="VBE1" s="536"/>
      <c r="VBF1" s="536"/>
      <c r="VBG1" s="536"/>
      <c r="VBH1" s="536"/>
      <c r="VBI1" s="536"/>
      <c r="VBJ1" s="536"/>
      <c r="VBK1" s="536"/>
      <c r="VBL1" s="536"/>
      <c r="VBM1" s="536"/>
      <c r="VBN1" s="536"/>
      <c r="VBO1" s="536"/>
      <c r="VBP1" s="536"/>
      <c r="VBQ1" s="536"/>
      <c r="VBR1" s="536"/>
      <c r="VBS1" s="536"/>
      <c r="VBT1" s="536"/>
      <c r="VBU1" s="536"/>
      <c r="VBV1" s="536"/>
      <c r="VBW1" s="536"/>
      <c r="VBX1" s="536"/>
      <c r="VBY1" s="536"/>
      <c r="VBZ1" s="536"/>
      <c r="VCA1" s="536"/>
      <c r="VCB1" s="536"/>
      <c r="VCC1" s="536"/>
      <c r="VCD1" s="536"/>
      <c r="VCE1" s="536"/>
      <c r="VCF1" s="536"/>
      <c r="VCG1" s="536"/>
      <c r="VCH1" s="536"/>
      <c r="VCI1" s="536"/>
      <c r="VCJ1" s="536"/>
      <c r="VCK1" s="536"/>
      <c r="VCL1" s="536"/>
      <c r="VCM1" s="536"/>
      <c r="VCN1" s="536"/>
      <c r="VCO1" s="536"/>
      <c r="VCP1" s="536"/>
      <c r="VCQ1" s="536"/>
      <c r="VCR1" s="536"/>
      <c r="VCS1" s="536"/>
      <c r="VCT1" s="536"/>
      <c r="VCU1" s="536"/>
      <c r="VCV1" s="536"/>
      <c r="VCW1" s="536"/>
      <c r="VCX1" s="536"/>
      <c r="VCY1" s="536"/>
      <c r="VCZ1" s="536"/>
      <c r="VDA1" s="536"/>
      <c r="VDB1" s="536"/>
      <c r="VDC1" s="536"/>
      <c r="VDD1" s="536"/>
      <c r="VDE1" s="536"/>
      <c r="VDF1" s="536"/>
      <c r="VDG1" s="536"/>
      <c r="VDH1" s="536"/>
      <c r="VDI1" s="536"/>
      <c r="VDJ1" s="536"/>
      <c r="VDK1" s="536"/>
      <c r="VDL1" s="536"/>
      <c r="VDM1" s="536"/>
      <c r="VDN1" s="536"/>
      <c r="VDO1" s="536"/>
      <c r="VDP1" s="536"/>
      <c r="VDQ1" s="536"/>
      <c r="VDR1" s="536"/>
      <c r="VDS1" s="536"/>
      <c r="VDT1" s="536"/>
      <c r="VDU1" s="536"/>
      <c r="VDV1" s="536"/>
      <c r="VDW1" s="536"/>
      <c r="VDX1" s="536"/>
      <c r="VDY1" s="536"/>
      <c r="VDZ1" s="536"/>
      <c r="VEA1" s="536"/>
      <c r="VEB1" s="536"/>
      <c r="VEC1" s="536"/>
      <c r="VED1" s="536"/>
      <c r="VEE1" s="536"/>
      <c r="VEF1" s="536"/>
      <c r="VEG1" s="536"/>
      <c r="VEH1" s="536"/>
      <c r="VEI1" s="536"/>
      <c r="VEJ1" s="536"/>
      <c r="VEK1" s="536"/>
      <c r="VEL1" s="536"/>
      <c r="VEM1" s="536"/>
      <c r="VEN1" s="536"/>
      <c r="VEO1" s="536"/>
      <c r="VEP1" s="536"/>
      <c r="VEQ1" s="536"/>
      <c r="VER1" s="536"/>
      <c r="VES1" s="536"/>
      <c r="VET1" s="536"/>
      <c r="VEU1" s="536"/>
      <c r="VEV1" s="536"/>
      <c r="VEW1" s="536"/>
      <c r="VEX1" s="536"/>
      <c r="VEY1" s="536"/>
      <c r="VEZ1" s="536"/>
      <c r="VFA1" s="536"/>
      <c r="VFB1" s="536"/>
      <c r="VFC1" s="536"/>
      <c r="VFD1" s="536"/>
      <c r="VFE1" s="536"/>
      <c r="VFF1" s="536"/>
      <c r="VFG1" s="536"/>
      <c r="VFH1" s="536"/>
      <c r="VFI1" s="536"/>
      <c r="VFJ1" s="536"/>
      <c r="VFK1" s="536"/>
      <c r="VFL1" s="536"/>
      <c r="VFM1" s="536"/>
      <c r="VFN1" s="536"/>
      <c r="VFO1" s="536"/>
      <c r="VFP1" s="536"/>
      <c r="VFQ1" s="536"/>
      <c r="VFR1" s="536"/>
      <c r="VFS1" s="536"/>
      <c r="VFT1" s="536"/>
      <c r="VFU1" s="536"/>
      <c r="VFV1" s="536"/>
      <c r="VFW1" s="536"/>
      <c r="VFX1" s="536"/>
      <c r="VFY1" s="536"/>
      <c r="VFZ1" s="536"/>
      <c r="VGA1" s="536"/>
      <c r="VGB1" s="536"/>
      <c r="VGC1" s="536"/>
      <c r="VGD1" s="536"/>
      <c r="VGE1" s="536"/>
      <c r="VGF1" s="536"/>
      <c r="VGG1" s="536"/>
      <c r="VGH1" s="536"/>
      <c r="VGI1" s="536"/>
      <c r="VGJ1" s="536"/>
      <c r="VGK1" s="536"/>
      <c r="VGL1" s="536"/>
      <c r="VGM1" s="536"/>
      <c r="VGN1" s="536"/>
      <c r="VGO1" s="536"/>
      <c r="VGP1" s="536"/>
      <c r="VGQ1" s="536"/>
      <c r="VGR1" s="536"/>
      <c r="VGS1" s="536"/>
      <c r="VGT1" s="536"/>
      <c r="VGU1" s="536"/>
      <c r="VGV1" s="536"/>
      <c r="VGW1" s="536"/>
      <c r="VGX1" s="536"/>
      <c r="VGY1" s="536"/>
      <c r="VGZ1" s="536"/>
      <c r="VHA1" s="536"/>
      <c r="VHB1" s="536"/>
      <c r="VHC1" s="536"/>
      <c r="VHD1" s="536"/>
      <c r="VHE1" s="536"/>
      <c r="VHF1" s="536"/>
      <c r="VHG1" s="536"/>
      <c r="VHH1" s="536"/>
      <c r="VHI1" s="536"/>
      <c r="VHJ1" s="536"/>
      <c r="VHK1" s="536"/>
      <c r="VHL1" s="536"/>
      <c r="VHM1" s="536"/>
      <c r="VHN1" s="536"/>
      <c r="VHO1" s="536"/>
      <c r="VHP1" s="536"/>
      <c r="VHQ1" s="536"/>
      <c r="VHR1" s="536"/>
      <c r="VHS1" s="536"/>
      <c r="VHT1" s="536"/>
      <c r="VHU1" s="536"/>
      <c r="VHV1" s="536"/>
      <c r="VHW1" s="536"/>
      <c r="VHX1" s="536"/>
      <c r="VHY1" s="536"/>
      <c r="VHZ1" s="536"/>
      <c r="VIA1" s="536"/>
      <c r="VIB1" s="536"/>
      <c r="VIC1" s="536"/>
      <c r="VID1" s="536"/>
      <c r="VIE1" s="536"/>
      <c r="VIF1" s="536"/>
      <c r="VIG1" s="536"/>
      <c r="VIH1" s="536"/>
      <c r="VII1" s="536"/>
      <c r="VIJ1" s="536"/>
      <c r="VIK1" s="536"/>
      <c r="VIL1" s="536"/>
      <c r="VIM1" s="536"/>
      <c r="VIN1" s="536"/>
      <c r="VIO1" s="536"/>
      <c r="VIP1" s="536"/>
      <c r="VIQ1" s="536"/>
      <c r="VIR1" s="536"/>
      <c r="VIS1" s="536"/>
      <c r="VIT1" s="536"/>
      <c r="VIU1" s="536"/>
      <c r="VIV1" s="536"/>
      <c r="VIW1" s="536"/>
      <c r="VIX1" s="536"/>
      <c r="VIY1" s="536"/>
      <c r="VIZ1" s="536"/>
      <c r="VJA1" s="536"/>
      <c r="VJB1" s="536"/>
      <c r="VJC1" s="536"/>
      <c r="VJD1" s="536"/>
      <c r="VJE1" s="536"/>
      <c r="VJF1" s="536"/>
      <c r="VJG1" s="536"/>
      <c r="VJH1" s="536"/>
      <c r="VJI1" s="536"/>
      <c r="VJJ1" s="536"/>
      <c r="VJK1" s="536"/>
      <c r="VJL1" s="536"/>
      <c r="VJM1" s="536"/>
      <c r="VJN1" s="536"/>
      <c r="VJO1" s="536"/>
      <c r="VJP1" s="536"/>
      <c r="VJQ1" s="536"/>
      <c r="VJR1" s="536"/>
      <c r="VJS1" s="536"/>
      <c r="VJT1" s="536"/>
      <c r="VJU1" s="536"/>
      <c r="VJV1" s="536"/>
      <c r="VJW1" s="536"/>
      <c r="VJX1" s="536"/>
      <c r="VJY1" s="536"/>
      <c r="VJZ1" s="536"/>
      <c r="VKA1" s="536"/>
      <c r="VKB1" s="536"/>
      <c r="VKC1" s="536"/>
      <c r="VKD1" s="536"/>
      <c r="VKE1" s="536"/>
      <c r="VKF1" s="536"/>
      <c r="VKG1" s="536"/>
      <c r="VKH1" s="536"/>
      <c r="VKI1" s="536"/>
      <c r="VKJ1" s="536"/>
      <c r="VKK1" s="536"/>
      <c r="VKL1" s="536"/>
      <c r="VKM1" s="536"/>
      <c r="VKN1" s="536"/>
      <c r="VKO1" s="536"/>
      <c r="VKP1" s="536"/>
      <c r="VKQ1" s="536"/>
      <c r="VKR1" s="536"/>
      <c r="VKS1" s="536"/>
      <c r="VKT1" s="536"/>
      <c r="VKU1" s="536"/>
      <c r="VKV1" s="536"/>
      <c r="VKW1" s="536"/>
      <c r="VKX1" s="536"/>
      <c r="VKY1" s="536"/>
      <c r="VKZ1" s="536"/>
      <c r="VLA1" s="536"/>
      <c r="VLB1" s="536"/>
      <c r="VLC1" s="536"/>
      <c r="VLD1" s="536"/>
      <c r="VLE1" s="536"/>
      <c r="VLF1" s="536"/>
      <c r="VLG1" s="536"/>
      <c r="VLH1" s="536"/>
      <c r="VLI1" s="536"/>
      <c r="VLJ1" s="536"/>
      <c r="VLK1" s="536"/>
      <c r="VLL1" s="536"/>
      <c r="VLM1" s="536"/>
      <c r="VLN1" s="536"/>
      <c r="VLO1" s="536"/>
      <c r="VLP1" s="536"/>
      <c r="VLQ1" s="536"/>
      <c r="VLR1" s="536"/>
      <c r="VLS1" s="536"/>
      <c r="VLT1" s="536"/>
      <c r="VLU1" s="536"/>
      <c r="VLV1" s="536"/>
      <c r="VLW1" s="536"/>
      <c r="VLX1" s="536"/>
      <c r="VLY1" s="536"/>
      <c r="VLZ1" s="536"/>
      <c r="VMA1" s="536"/>
      <c r="VMB1" s="536"/>
      <c r="VMC1" s="536"/>
      <c r="VMD1" s="536"/>
      <c r="VME1" s="536"/>
      <c r="VMF1" s="536"/>
      <c r="VMG1" s="536"/>
      <c r="VMH1" s="536"/>
      <c r="VMI1" s="536"/>
      <c r="VMJ1" s="536"/>
      <c r="VMK1" s="536"/>
      <c r="VML1" s="536"/>
      <c r="VMM1" s="536"/>
      <c r="VMN1" s="536"/>
      <c r="VMO1" s="536"/>
      <c r="VMP1" s="536"/>
      <c r="VMQ1" s="536"/>
      <c r="VMR1" s="536"/>
      <c r="VMS1" s="536"/>
      <c r="VMT1" s="536"/>
      <c r="VMU1" s="536"/>
      <c r="VMV1" s="536"/>
      <c r="VMW1" s="536"/>
      <c r="VMX1" s="536"/>
      <c r="VMY1" s="536"/>
      <c r="VMZ1" s="536"/>
      <c r="VNA1" s="536"/>
      <c r="VNB1" s="536"/>
      <c r="VNC1" s="536"/>
      <c r="VND1" s="536"/>
      <c r="VNE1" s="536"/>
      <c r="VNF1" s="536"/>
      <c r="VNG1" s="536"/>
      <c r="VNH1" s="536"/>
      <c r="VNI1" s="536"/>
      <c r="VNJ1" s="536"/>
      <c r="VNK1" s="536"/>
      <c r="VNL1" s="536"/>
      <c r="VNM1" s="536"/>
      <c r="VNN1" s="536"/>
      <c r="VNO1" s="536"/>
      <c r="VNP1" s="536"/>
      <c r="VNQ1" s="536"/>
      <c r="VNR1" s="536"/>
      <c r="VNS1" s="536"/>
      <c r="VNT1" s="536"/>
      <c r="VNU1" s="536"/>
      <c r="VNV1" s="536"/>
      <c r="VNW1" s="536"/>
      <c r="VNX1" s="536"/>
      <c r="VNY1" s="536"/>
      <c r="VNZ1" s="536"/>
      <c r="VOA1" s="536"/>
      <c r="VOB1" s="536"/>
      <c r="VOC1" s="536"/>
      <c r="VOD1" s="536"/>
      <c r="VOE1" s="536"/>
      <c r="VOF1" s="536"/>
      <c r="VOG1" s="536"/>
      <c r="VOH1" s="536"/>
      <c r="VOI1" s="536"/>
      <c r="VOJ1" s="536"/>
      <c r="VOK1" s="536"/>
      <c r="VOL1" s="536"/>
      <c r="VOM1" s="536"/>
      <c r="VON1" s="536"/>
      <c r="VOO1" s="536"/>
      <c r="VOP1" s="536"/>
      <c r="VOQ1" s="536"/>
      <c r="VOR1" s="536"/>
      <c r="VOS1" s="536"/>
      <c r="VOT1" s="536"/>
      <c r="VOU1" s="536"/>
      <c r="VOV1" s="536"/>
      <c r="VOW1" s="536"/>
      <c r="VOX1" s="536"/>
      <c r="VOY1" s="536"/>
      <c r="VOZ1" s="536"/>
      <c r="VPA1" s="536"/>
      <c r="VPB1" s="536"/>
      <c r="VPC1" s="536"/>
      <c r="VPD1" s="536"/>
      <c r="VPE1" s="536"/>
      <c r="VPF1" s="536"/>
      <c r="VPG1" s="536"/>
      <c r="VPH1" s="536"/>
      <c r="VPI1" s="536"/>
      <c r="VPJ1" s="536"/>
      <c r="VPK1" s="536"/>
      <c r="VPL1" s="536"/>
      <c r="VPM1" s="536"/>
      <c r="VPN1" s="536"/>
      <c r="VPO1" s="536"/>
      <c r="VPP1" s="536"/>
      <c r="VPQ1" s="536"/>
      <c r="VPR1" s="536"/>
      <c r="VPS1" s="536"/>
      <c r="VPT1" s="536"/>
      <c r="VPU1" s="536"/>
      <c r="VPV1" s="536"/>
      <c r="VPW1" s="536"/>
      <c r="VPX1" s="536"/>
      <c r="VPY1" s="536"/>
      <c r="VPZ1" s="536"/>
      <c r="VQA1" s="536"/>
      <c r="VQB1" s="536"/>
      <c r="VQC1" s="536"/>
      <c r="VQD1" s="536"/>
      <c r="VQE1" s="536"/>
      <c r="VQF1" s="536"/>
      <c r="VQG1" s="536"/>
      <c r="VQH1" s="536"/>
      <c r="VQI1" s="536"/>
      <c r="VQJ1" s="536"/>
      <c r="VQK1" s="536"/>
      <c r="VQL1" s="536"/>
      <c r="VQM1" s="536"/>
      <c r="VQN1" s="536"/>
      <c r="VQO1" s="536"/>
      <c r="VQP1" s="536"/>
      <c r="VQQ1" s="536"/>
      <c r="VQR1" s="536"/>
      <c r="VQS1" s="536"/>
      <c r="VQT1" s="536"/>
      <c r="VQU1" s="536"/>
      <c r="VQV1" s="536"/>
      <c r="VQW1" s="536"/>
      <c r="VQX1" s="536"/>
      <c r="VQY1" s="536"/>
      <c r="VQZ1" s="536"/>
      <c r="VRA1" s="536"/>
      <c r="VRB1" s="536"/>
      <c r="VRC1" s="536"/>
      <c r="VRD1" s="536"/>
      <c r="VRE1" s="536"/>
      <c r="VRF1" s="536"/>
      <c r="VRG1" s="536"/>
      <c r="VRH1" s="536"/>
      <c r="VRI1" s="536"/>
      <c r="VRJ1" s="536"/>
      <c r="VRK1" s="536"/>
      <c r="VRL1" s="536"/>
      <c r="VRM1" s="536"/>
      <c r="VRN1" s="536"/>
      <c r="VRO1" s="536"/>
      <c r="VRP1" s="536"/>
      <c r="VRQ1" s="536"/>
      <c r="VRR1" s="536"/>
      <c r="VRS1" s="536"/>
      <c r="VRT1" s="536"/>
      <c r="VRU1" s="536"/>
      <c r="VRV1" s="536"/>
      <c r="VRW1" s="536"/>
      <c r="VRX1" s="536"/>
      <c r="VRY1" s="536"/>
      <c r="VRZ1" s="536"/>
      <c r="VSA1" s="536"/>
      <c r="VSB1" s="536"/>
      <c r="VSC1" s="536"/>
      <c r="VSD1" s="536"/>
      <c r="VSE1" s="536"/>
      <c r="VSF1" s="536"/>
      <c r="VSG1" s="536"/>
      <c r="VSH1" s="536"/>
      <c r="VSI1" s="536"/>
      <c r="VSJ1" s="536"/>
      <c r="VSK1" s="536"/>
      <c r="VSL1" s="536"/>
      <c r="VSM1" s="536"/>
      <c r="VSN1" s="536"/>
      <c r="VSO1" s="536"/>
      <c r="VSP1" s="536"/>
      <c r="VSQ1" s="536"/>
      <c r="VSR1" s="536"/>
      <c r="VSS1" s="536"/>
      <c r="VST1" s="536"/>
      <c r="VSU1" s="536"/>
      <c r="VSV1" s="536"/>
      <c r="VSW1" s="536"/>
      <c r="VSX1" s="536"/>
      <c r="VSY1" s="536"/>
      <c r="VSZ1" s="536"/>
      <c r="VTA1" s="536"/>
      <c r="VTB1" s="536"/>
      <c r="VTC1" s="536"/>
      <c r="VTD1" s="536"/>
      <c r="VTE1" s="536"/>
      <c r="VTF1" s="536"/>
      <c r="VTG1" s="536"/>
      <c r="VTH1" s="536"/>
      <c r="VTI1" s="536"/>
      <c r="VTJ1" s="536"/>
      <c r="VTK1" s="536"/>
      <c r="VTL1" s="536"/>
      <c r="VTM1" s="536"/>
      <c r="VTN1" s="536"/>
      <c r="VTO1" s="536"/>
      <c r="VTP1" s="536"/>
      <c r="VTQ1" s="536"/>
      <c r="VTR1" s="536"/>
      <c r="VTS1" s="536"/>
      <c r="VTT1" s="536"/>
      <c r="VTU1" s="536"/>
      <c r="VTV1" s="536"/>
      <c r="VTW1" s="536"/>
      <c r="VTX1" s="536"/>
      <c r="VTY1" s="536"/>
      <c r="VTZ1" s="536"/>
      <c r="VUA1" s="536"/>
      <c r="VUB1" s="536"/>
      <c r="VUC1" s="536"/>
      <c r="VUD1" s="536"/>
      <c r="VUE1" s="536"/>
      <c r="VUF1" s="536"/>
      <c r="VUG1" s="536"/>
      <c r="VUH1" s="536"/>
      <c r="VUI1" s="536"/>
      <c r="VUJ1" s="536"/>
      <c r="VUK1" s="536"/>
      <c r="VUL1" s="536"/>
      <c r="VUM1" s="536"/>
      <c r="VUN1" s="536"/>
      <c r="VUO1" s="536"/>
      <c r="VUP1" s="536"/>
      <c r="VUQ1" s="536"/>
      <c r="VUR1" s="536"/>
      <c r="VUS1" s="536"/>
      <c r="VUT1" s="536"/>
      <c r="VUU1" s="536"/>
      <c r="VUV1" s="536"/>
      <c r="VUW1" s="536"/>
      <c r="VUX1" s="536"/>
      <c r="VUY1" s="536"/>
      <c r="VUZ1" s="536"/>
      <c r="VVA1" s="536"/>
      <c r="VVB1" s="536"/>
      <c r="VVC1" s="536"/>
      <c r="VVD1" s="536"/>
      <c r="VVE1" s="536"/>
      <c r="VVF1" s="536"/>
      <c r="VVG1" s="536"/>
      <c r="VVH1" s="536"/>
      <c r="VVI1" s="536"/>
      <c r="VVJ1" s="536"/>
      <c r="VVK1" s="536"/>
      <c r="VVL1" s="536"/>
      <c r="VVM1" s="536"/>
      <c r="VVN1" s="536"/>
      <c r="VVO1" s="536"/>
      <c r="VVP1" s="536"/>
      <c r="VVQ1" s="536"/>
      <c r="VVR1" s="536"/>
      <c r="VVS1" s="536"/>
      <c r="VVT1" s="536"/>
      <c r="VVU1" s="536"/>
      <c r="VVV1" s="536"/>
      <c r="VVW1" s="536"/>
      <c r="VVX1" s="536"/>
      <c r="VVY1" s="536"/>
      <c r="VVZ1" s="536"/>
      <c r="VWA1" s="536"/>
      <c r="VWB1" s="536"/>
      <c r="VWC1" s="536"/>
      <c r="VWD1" s="536"/>
      <c r="VWE1" s="536"/>
      <c r="VWF1" s="536"/>
      <c r="VWG1" s="536"/>
      <c r="VWH1" s="536"/>
      <c r="VWI1" s="536"/>
      <c r="VWJ1" s="536"/>
      <c r="VWK1" s="536"/>
      <c r="VWL1" s="536"/>
      <c r="VWM1" s="536"/>
      <c r="VWN1" s="536"/>
      <c r="VWO1" s="536"/>
      <c r="VWP1" s="536"/>
      <c r="VWQ1" s="536"/>
      <c r="VWR1" s="536"/>
      <c r="VWS1" s="536"/>
      <c r="VWT1" s="536"/>
      <c r="VWU1" s="536"/>
      <c r="VWV1" s="536"/>
      <c r="VWW1" s="536"/>
      <c r="VWX1" s="536"/>
      <c r="VWY1" s="536"/>
      <c r="VWZ1" s="536"/>
      <c r="VXA1" s="536"/>
      <c r="VXB1" s="536"/>
      <c r="VXC1" s="536"/>
      <c r="VXD1" s="536"/>
      <c r="VXE1" s="536"/>
      <c r="VXF1" s="536"/>
      <c r="VXG1" s="536"/>
      <c r="VXH1" s="536"/>
      <c r="VXI1" s="536"/>
      <c r="VXJ1" s="536"/>
      <c r="VXK1" s="536"/>
      <c r="VXL1" s="536"/>
      <c r="VXM1" s="536"/>
      <c r="VXN1" s="536"/>
      <c r="VXO1" s="536"/>
      <c r="VXP1" s="536"/>
      <c r="VXQ1" s="536"/>
      <c r="VXR1" s="536"/>
      <c r="VXS1" s="536"/>
      <c r="VXT1" s="536"/>
      <c r="VXU1" s="536"/>
      <c r="VXV1" s="536"/>
      <c r="VXW1" s="536"/>
      <c r="VXX1" s="536"/>
      <c r="VXY1" s="536"/>
      <c r="VXZ1" s="536"/>
      <c r="VYA1" s="536"/>
      <c r="VYB1" s="536"/>
      <c r="VYC1" s="536"/>
      <c r="VYD1" s="536"/>
      <c r="VYE1" s="536"/>
      <c r="VYF1" s="536"/>
      <c r="VYG1" s="536"/>
      <c r="VYH1" s="536"/>
      <c r="VYI1" s="536"/>
      <c r="VYJ1" s="536"/>
      <c r="VYK1" s="536"/>
      <c r="VYL1" s="536"/>
      <c r="VYM1" s="536"/>
      <c r="VYN1" s="536"/>
      <c r="VYO1" s="536"/>
      <c r="VYP1" s="536"/>
      <c r="VYQ1" s="536"/>
      <c r="VYR1" s="536"/>
      <c r="VYS1" s="536"/>
      <c r="VYT1" s="536"/>
      <c r="VYU1" s="536"/>
      <c r="VYV1" s="536"/>
      <c r="VYW1" s="536"/>
      <c r="VYX1" s="536"/>
      <c r="VYY1" s="536"/>
      <c r="VYZ1" s="536"/>
      <c r="VZA1" s="536"/>
      <c r="VZB1" s="536"/>
      <c r="VZC1" s="536"/>
      <c r="VZD1" s="536"/>
      <c r="VZE1" s="536"/>
      <c r="VZF1" s="536"/>
      <c r="VZG1" s="536"/>
      <c r="VZH1" s="536"/>
      <c r="VZI1" s="536"/>
      <c r="VZJ1" s="536"/>
      <c r="VZK1" s="536"/>
      <c r="VZL1" s="536"/>
      <c r="VZM1" s="536"/>
      <c r="VZN1" s="536"/>
      <c r="VZO1" s="536"/>
      <c r="VZP1" s="536"/>
      <c r="VZQ1" s="536"/>
      <c r="VZR1" s="536"/>
      <c r="VZS1" s="536"/>
      <c r="VZT1" s="536"/>
      <c r="VZU1" s="536"/>
      <c r="VZV1" s="536"/>
      <c r="VZW1" s="536"/>
      <c r="VZX1" s="536"/>
      <c r="VZY1" s="536"/>
      <c r="VZZ1" s="536"/>
      <c r="WAA1" s="536"/>
      <c r="WAB1" s="536"/>
      <c r="WAC1" s="536"/>
      <c r="WAD1" s="536"/>
      <c r="WAE1" s="536"/>
      <c r="WAF1" s="536"/>
      <c r="WAG1" s="536"/>
      <c r="WAH1" s="536"/>
      <c r="WAI1" s="536"/>
      <c r="WAJ1" s="536"/>
      <c r="WAK1" s="536"/>
      <c r="WAL1" s="536"/>
      <c r="WAM1" s="536"/>
      <c r="WAN1" s="536"/>
      <c r="WAO1" s="536"/>
      <c r="WAP1" s="536"/>
      <c r="WAQ1" s="536"/>
      <c r="WAR1" s="536"/>
      <c r="WAS1" s="536"/>
      <c r="WAT1" s="536"/>
      <c r="WAU1" s="536"/>
      <c r="WAV1" s="536"/>
      <c r="WAW1" s="536"/>
      <c r="WAX1" s="536"/>
      <c r="WAY1" s="536"/>
      <c r="WAZ1" s="536"/>
      <c r="WBA1" s="536"/>
      <c r="WBB1" s="536"/>
      <c r="WBC1" s="536"/>
      <c r="WBD1" s="536"/>
      <c r="WBE1" s="536"/>
      <c r="WBF1" s="536"/>
      <c r="WBG1" s="536"/>
      <c r="WBH1" s="536"/>
      <c r="WBI1" s="536"/>
      <c r="WBJ1" s="536"/>
      <c r="WBK1" s="536"/>
      <c r="WBL1" s="536"/>
      <c r="WBM1" s="536"/>
      <c r="WBN1" s="536"/>
      <c r="WBO1" s="536"/>
      <c r="WBP1" s="536"/>
      <c r="WBQ1" s="536"/>
      <c r="WBR1" s="536"/>
      <c r="WBS1" s="536"/>
      <c r="WBT1" s="536"/>
      <c r="WBU1" s="536"/>
      <c r="WBV1" s="536"/>
      <c r="WBW1" s="536"/>
      <c r="WBX1" s="536"/>
      <c r="WBY1" s="536"/>
      <c r="WBZ1" s="536"/>
      <c r="WCA1" s="536"/>
      <c r="WCB1" s="536"/>
      <c r="WCC1" s="536"/>
      <c r="WCD1" s="536"/>
      <c r="WCE1" s="536"/>
      <c r="WCF1" s="536"/>
      <c r="WCG1" s="536"/>
      <c r="WCH1" s="536"/>
      <c r="WCI1" s="536"/>
      <c r="WCJ1" s="536"/>
      <c r="WCK1" s="536"/>
      <c r="WCL1" s="536"/>
      <c r="WCM1" s="536"/>
      <c r="WCN1" s="536"/>
      <c r="WCO1" s="536"/>
      <c r="WCP1" s="536"/>
      <c r="WCQ1" s="536"/>
      <c r="WCR1" s="536"/>
      <c r="WCS1" s="536"/>
      <c r="WCT1" s="536"/>
      <c r="WCU1" s="536"/>
      <c r="WCV1" s="536"/>
      <c r="WCW1" s="536"/>
      <c r="WCX1" s="536"/>
      <c r="WCY1" s="536"/>
      <c r="WCZ1" s="536"/>
      <c r="WDA1" s="536"/>
      <c r="WDB1" s="536"/>
      <c r="WDC1" s="536"/>
      <c r="WDD1" s="536"/>
      <c r="WDE1" s="536"/>
      <c r="WDF1" s="536"/>
      <c r="WDG1" s="536"/>
      <c r="WDH1" s="536"/>
      <c r="WDI1" s="536"/>
      <c r="WDJ1" s="536"/>
      <c r="WDK1" s="536"/>
      <c r="WDL1" s="536"/>
      <c r="WDM1" s="536"/>
      <c r="WDN1" s="536"/>
      <c r="WDO1" s="536"/>
      <c r="WDP1" s="536"/>
      <c r="WDQ1" s="536"/>
      <c r="WDR1" s="536"/>
      <c r="WDS1" s="536"/>
      <c r="WDT1" s="536"/>
      <c r="WDU1" s="536"/>
      <c r="WDV1" s="536"/>
      <c r="WDW1" s="536"/>
      <c r="WDX1" s="536"/>
      <c r="WDY1" s="536"/>
      <c r="WDZ1" s="536"/>
      <c r="WEA1" s="536"/>
      <c r="WEB1" s="536"/>
      <c r="WEC1" s="536"/>
      <c r="WED1" s="536"/>
      <c r="WEE1" s="536"/>
      <c r="WEF1" s="536"/>
      <c r="WEG1" s="536"/>
      <c r="WEH1" s="536"/>
      <c r="WEI1" s="536"/>
      <c r="WEJ1" s="536"/>
      <c r="WEK1" s="536"/>
      <c r="WEL1" s="536"/>
      <c r="WEM1" s="536"/>
      <c r="WEN1" s="536"/>
      <c r="WEO1" s="536"/>
      <c r="WEP1" s="536"/>
      <c r="WEQ1" s="536"/>
      <c r="WER1" s="536"/>
      <c r="WES1" s="536"/>
      <c r="WET1" s="536"/>
      <c r="WEU1" s="536"/>
      <c r="WEV1" s="536"/>
      <c r="WEW1" s="536"/>
      <c r="WEX1" s="536"/>
      <c r="WEY1" s="536"/>
      <c r="WEZ1" s="536"/>
      <c r="WFA1" s="536"/>
      <c r="WFB1" s="536"/>
      <c r="WFC1" s="536"/>
      <c r="WFD1" s="536"/>
      <c r="WFE1" s="536"/>
      <c r="WFF1" s="536"/>
      <c r="WFG1" s="536"/>
      <c r="WFH1" s="536"/>
      <c r="WFI1" s="536"/>
      <c r="WFJ1" s="536"/>
      <c r="WFK1" s="536"/>
      <c r="WFL1" s="536"/>
      <c r="WFM1" s="536"/>
      <c r="WFN1" s="536"/>
      <c r="WFO1" s="536"/>
      <c r="WFP1" s="536"/>
      <c r="WFQ1" s="536"/>
      <c r="WFR1" s="536"/>
      <c r="WFS1" s="536"/>
      <c r="WFT1" s="536"/>
      <c r="WFU1" s="536"/>
      <c r="WFV1" s="536"/>
      <c r="WFW1" s="536"/>
      <c r="WFX1" s="536"/>
      <c r="WFY1" s="536"/>
      <c r="WFZ1" s="536"/>
      <c r="WGA1" s="536"/>
      <c r="WGB1" s="536"/>
      <c r="WGC1" s="536"/>
      <c r="WGD1" s="536"/>
      <c r="WGE1" s="536"/>
      <c r="WGF1" s="536"/>
      <c r="WGG1" s="536"/>
      <c r="WGH1" s="536"/>
      <c r="WGI1" s="536"/>
      <c r="WGJ1" s="536"/>
      <c r="WGK1" s="536"/>
      <c r="WGL1" s="536"/>
      <c r="WGM1" s="536"/>
      <c r="WGN1" s="536"/>
      <c r="WGO1" s="536"/>
      <c r="WGP1" s="536"/>
      <c r="WGQ1" s="536"/>
      <c r="WGR1" s="536"/>
      <c r="WGS1" s="536"/>
      <c r="WGT1" s="536"/>
      <c r="WGU1" s="536"/>
      <c r="WGV1" s="536"/>
      <c r="WGW1" s="536"/>
      <c r="WGX1" s="536"/>
      <c r="WGY1" s="536"/>
      <c r="WGZ1" s="536"/>
      <c r="WHA1" s="536"/>
      <c r="WHB1" s="536"/>
      <c r="WHC1" s="536"/>
      <c r="WHD1" s="536"/>
      <c r="WHE1" s="536"/>
      <c r="WHF1" s="536"/>
      <c r="WHG1" s="536"/>
      <c r="WHH1" s="536"/>
      <c r="WHI1" s="536"/>
      <c r="WHJ1" s="536"/>
      <c r="WHK1" s="536"/>
      <c r="WHL1" s="536"/>
      <c r="WHM1" s="536"/>
      <c r="WHN1" s="536"/>
      <c r="WHO1" s="536"/>
      <c r="WHP1" s="536"/>
      <c r="WHQ1" s="536"/>
      <c r="WHR1" s="536"/>
      <c r="WHS1" s="536"/>
      <c r="WHT1" s="536"/>
      <c r="WHU1" s="536"/>
      <c r="WHV1" s="536"/>
      <c r="WHW1" s="536"/>
      <c r="WHX1" s="536"/>
      <c r="WHY1" s="536"/>
      <c r="WHZ1" s="536"/>
      <c r="WIA1" s="536"/>
      <c r="WIB1" s="536"/>
      <c r="WIC1" s="536"/>
      <c r="WID1" s="536"/>
      <c r="WIE1" s="536"/>
      <c r="WIF1" s="536"/>
      <c r="WIG1" s="536"/>
      <c r="WIH1" s="536"/>
      <c r="WII1" s="536"/>
      <c r="WIJ1" s="536"/>
      <c r="WIK1" s="536"/>
      <c r="WIL1" s="536"/>
      <c r="WIM1" s="536"/>
      <c r="WIN1" s="536"/>
      <c r="WIO1" s="536"/>
      <c r="WIP1" s="536"/>
      <c r="WIQ1" s="536"/>
      <c r="WIR1" s="536"/>
      <c r="WIS1" s="536"/>
      <c r="WIT1" s="536"/>
      <c r="WIU1" s="536"/>
      <c r="WIV1" s="536"/>
      <c r="WIW1" s="536"/>
      <c r="WIX1" s="536"/>
      <c r="WIY1" s="536"/>
      <c r="WIZ1" s="536"/>
      <c r="WJA1" s="536"/>
      <c r="WJB1" s="536"/>
      <c r="WJC1" s="536"/>
      <c r="WJD1" s="536"/>
      <c r="WJE1" s="536"/>
      <c r="WJF1" s="536"/>
      <c r="WJG1" s="536"/>
      <c r="WJH1" s="536"/>
      <c r="WJI1" s="536"/>
      <c r="WJJ1" s="536"/>
      <c r="WJK1" s="536"/>
      <c r="WJL1" s="536"/>
      <c r="WJM1" s="536"/>
      <c r="WJN1" s="536"/>
      <c r="WJO1" s="536"/>
      <c r="WJP1" s="536"/>
      <c r="WJQ1" s="536"/>
      <c r="WJR1" s="536"/>
      <c r="WJS1" s="536"/>
      <c r="WJT1" s="536"/>
      <c r="WJU1" s="536"/>
      <c r="WJV1" s="536"/>
      <c r="WJW1" s="536"/>
      <c r="WJX1" s="536"/>
      <c r="WJY1" s="536"/>
      <c r="WJZ1" s="536"/>
      <c r="WKA1" s="536"/>
      <c r="WKB1" s="536"/>
      <c r="WKC1" s="536"/>
      <c r="WKD1" s="536"/>
      <c r="WKE1" s="536"/>
      <c r="WKF1" s="536"/>
      <c r="WKG1" s="536"/>
      <c r="WKH1" s="536"/>
      <c r="WKI1" s="536"/>
      <c r="WKJ1" s="536"/>
      <c r="WKK1" s="536"/>
      <c r="WKL1" s="536"/>
      <c r="WKM1" s="536"/>
      <c r="WKN1" s="536"/>
      <c r="WKO1" s="536"/>
      <c r="WKP1" s="536"/>
      <c r="WKQ1" s="536"/>
      <c r="WKR1" s="536"/>
      <c r="WKS1" s="536"/>
      <c r="WKT1" s="536"/>
      <c r="WKU1" s="536"/>
      <c r="WKV1" s="536"/>
      <c r="WKW1" s="536"/>
      <c r="WKX1" s="536"/>
      <c r="WKY1" s="536"/>
      <c r="WKZ1" s="536"/>
      <c r="WLA1" s="536"/>
      <c r="WLB1" s="536"/>
      <c r="WLC1" s="536"/>
      <c r="WLD1" s="536"/>
      <c r="WLE1" s="536"/>
      <c r="WLF1" s="536"/>
      <c r="WLG1" s="536"/>
      <c r="WLH1" s="536"/>
      <c r="WLI1" s="536"/>
      <c r="WLJ1" s="536"/>
      <c r="WLK1" s="536"/>
      <c r="WLL1" s="536"/>
      <c r="WLM1" s="536"/>
      <c r="WLN1" s="536"/>
      <c r="WLO1" s="536"/>
      <c r="WLP1" s="536"/>
      <c r="WLQ1" s="536"/>
      <c r="WLR1" s="536"/>
      <c r="WLS1" s="536"/>
      <c r="WLT1" s="536"/>
      <c r="WLU1" s="536"/>
      <c r="WLV1" s="536"/>
      <c r="WLW1" s="536"/>
      <c r="WLX1" s="536"/>
      <c r="WLY1" s="536"/>
      <c r="WLZ1" s="536"/>
      <c r="WMA1" s="536"/>
      <c r="WMB1" s="536"/>
      <c r="WMC1" s="536"/>
      <c r="WMD1" s="536"/>
      <c r="WME1" s="536"/>
      <c r="WMF1" s="536"/>
      <c r="WMG1" s="536"/>
      <c r="WMH1" s="536"/>
      <c r="WMI1" s="536"/>
      <c r="WMJ1" s="536"/>
      <c r="WMK1" s="536"/>
      <c r="WML1" s="536"/>
      <c r="WMM1" s="536"/>
      <c r="WMN1" s="536"/>
      <c r="WMO1" s="536"/>
      <c r="WMP1" s="536"/>
      <c r="WMQ1" s="536"/>
      <c r="WMR1" s="536"/>
      <c r="WMS1" s="536"/>
      <c r="WMT1" s="536"/>
      <c r="WMU1" s="536"/>
      <c r="WMV1" s="536"/>
      <c r="WMW1" s="536"/>
      <c r="WMX1" s="536"/>
      <c r="WMY1" s="536"/>
      <c r="WMZ1" s="536"/>
      <c r="WNA1" s="536"/>
      <c r="WNB1" s="536"/>
      <c r="WNC1" s="536"/>
      <c r="WND1" s="536"/>
      <c r="WNE1" s="536"/>
      <c r="WNF1" s="536"/>
      <c r="WNG1" s="536"/>
      <c r="WNH1" s="536"/>
      <c r="WNI1" s="536"/>
      <c r="WNJ1" s="536"/>
      <c r="WNK1" s="536"/>
      <c r="WNL1" s="536"/>
      <c r="WNM1" s="536"/>
      <c r="WNN1" s="536"/>
      <c r="WNO1" s="536"/>
      <c r="WNP1" s="536"/>
      <c r="WNQ1" s="536"/>
      <c r="WNR1" s="536"/>
      <c r="WNS1" s="536"/>
      <c r="WNT1" s="536"/>
      <c r="WNU1" s="536"/>
      <c r="WNV1" s="536"/>
      <c r="WNW1" s="536"/>
      <c r="WNX1" s="536"/>
      <c r="WNY1" s="536"/>
      <c r="WNZ1" s="536"/>
      <c r="WOA1" s="536"/>
      <c r="WOB1" s="536"/>
      <c r="WOC1" s="536"/>
      <c r="WOD1" s="536"/>
      <c r="WOE1" s="536"/>
      <c r="WOF1" s="536"/>
      <c r="WOG1" s="536"/>
      <c r="WOH1" s="536"/>
      <c r="WOI1" s="536"/>
      <c r="WOJ1" s="536"/>
      <c r="WOK1" s="536"/>
      <c r="WOL1" s="536"/>
      <c r="WOM1" s="536"/>
      <c r="WON1" s="536"/>
      <c r="WOO1" s="536"/>
      <c r="WOP1" s="536"/>
      <c r="WOQ1" s="536"/>
      <c r="WOR1" s="536"/>
      <c r="WOS1" s="536"/>
      <c r="WOT1" s="536"/>
      <c r="WOU1" s="536"/>
      <c r="WOV1" s="536"/>
      <c r="WOW1" s="536"/>
      <c r="WOX1" s="536"/>
      <c r="WOY1" s="536"/>
      <c r="WOZ1" s="536"/>
      <c r="WPA1" s="536"/>
      <c r="WPB1" s="536"/>
      <c r="WPC1" s="536"/>
      <c r="WPD1" s="536"/>
      <c r="WPE1" s="536"/>
      <c r="WPF1" s="536"/>
      <c r="WPG1" s="536"/>
      <c r="WPH1" s="536"/>
      <c r="WPI1" s="536"/>
      <c r="WPJ1" s="536"/>
      <c r="WPK1" s="536"/>
      <c r="WPL1" s="536"/>
      <c r="WPM1" s="536"/>
      <c r="WPN1" s="536"/>
      <c r="WPO1" s="536"/>
      <c r="WPP1" s="536"/>
      <c r="WPQ1" s="536"/>
      <c r="WPR1" s="536"/>
      <c r="WPS1" s="536"/>
      <c r="WPT1" s="536"/>
      <c r="WPU1" s="536"/>
      <c r="WPV1" s="536"/>
      <c r="WPW1" s="536"/>
      <c r="WPX1" s="536"/>
      <c r="WPY1" s="536"/>
      <c r="WPZ1" s="536"/>
      <c r="WQA1" s="536"/>
      <c r="WQB1" s="536"/>
      <c r="WQC1" s="536"/>
      <c r="WQD1" s="536"/>
      <c r="WQE1" s="536"/>
      <c r="WQF1" s="536"/>
      <c r="WQG1" s="536"/>
      <c r="WQH1" s="536"/>
      <c r="WQI1" s="536"/>
      <c r="WQJ1" s="536"/>
      <c r="WQK1" s="536"/>
      <c r="WQL1" s="536"/>
      <c r="WQM1" s="536"/>
      <c r="WQN1" s="536"/>
      <c r="WQO1" s="536"/>
      <c r="WQP1" s="536"/>
      <c r="WQQ1" s="536"/>
      <c r="WQR1" s="536"/>
      <c r="WQS1" s="536"/>
      <c r="WQT1" s="536"/>
      <c r="WQU1" s="536"/>
      <c r="WQV1" s="536"/>
      <c r="WQW1" s="536"/>
      <c r="WQX1" s="536"/>
      <c r="WQY1" s="536"/>
      <c r="WQZ1" s="536"/>
      <c r="WRA1" s="536"/>
      <c r="WRB1" s="536"/>
      <c r="WRC1" s="536"/>
      <c r="WRD1" s="536"/>
      <c r="WRE1" s="536"/>
      <c r="WRF1" s="536"/>
      <c r="WRG1" s="536"/>
      <c r="WRH1" s="536"/>
      <c r="WRI1" s="536"/>
      <c r="WRJ1" s="536"/>
      <c r="WRK1" s="536"/>
      <c r="WRL1" s="536"/>
      <c r="WRM1" s="536"/>
      <c r="WRN1" s="536"/>
      <c r="WRO1" s="536"/>
      <c r="WRP1" s="536"/>
      <c r="WRQ1" s="536"/>
      <c r="WRR1" s="536"/>
      <c r="WRS1" s="536"/>
      <c r="WRT1" s="536"/>
      <c r="WRU1" s="536"/>
      <c r="WRV1" s="536"/>
      <c r="WRW1" s="536"/>
      <c r="WRX1" s="536"/>
      <c r="WRY1" s="536"/>
      <c r="WRZ1" s="536"/>
      <c r="WSA1" s="536"/>
      <c r="WSB1" s="536"/>
      <c r="WSC1" s="536"/>
      <c r="WSD1" s="536"/>
      <c r="WSE1" s="536"/>
      <c r="WSF1" s="536"/>
      <c r="WSG1" s="536"/>
      <c r="WSH1" s="536"/>
      <c r="WSI1" s="536"/>
      <c r="WSJ1" s="536"/>
      <c r="WSK1" s="536"/>
      <c r="WSL1" s="536"/>
      <c r="WSM1" s="536"/>
      <c r="WSN1" s="536"/>
      <c r="WSO1" s="536"/>
      <c r="WSP1" s="536"/>
      <c r="WSQ1" s="536"/>
      <c r="WSR1" s="536"/>
      <c r="WSS1" s="536"/>
      <c r="WST1" s="536"/>
      <c r="WSU1" s="536"/>
      <c r="WSV1" s="536"/>
      <c r="WSW1" s="536"/>
      <c r="WSX1" s="536"/>
      <c r="WSY1" s="536"/>
      <c r="WSZ1" s="536"/>
      <c r="WTA1" s="536"/>
      <c r="WTB1" s="536"/>
      <c r="WTC1" s="536"/>
      <c r="WTD1" s="536"/>
      <c r="WTE1" s="536"/>
      <c r="WTF1" s="536"/>
      <c r="WTG1" s="536"/>
      <c r="WTH1" s="536"/>
      <c r="WTI1" s="536"/>
      <c r="WTJ1" s="536"/>
      <c r="WTK1" s="536"/>
      <c r="WTL1" s="536"/>
      <c r="WTM1" s="536"/>
      <c r="WTN1" s="536"/>
      <c r="WTO1" s="536"/>
      <c r="WTP1" s="536"/>
      <c r="WTQ1" s="536"/>
      <c r="WTR1" s="536"/>
      <c r="WTS1" s="536"/>
      <c r="WTT1" s="536"/>
      <c r="WTU1" s="536"/>
      <c r="WTV1" s="536"/>
      <c r="WTW1" s="536"/>
      <c r="WTX1" s="536"/>
      <c r="WTY1" s="536"/>
      <c r="WTZ1" s="536"/>
      <c r="WUA1" s="536"/>
      <c r="WUB1" s="536"/>
      <c r="WUC1" s="536"/>
      <c r="WUD1" s="536"/>
      <c r="WUE1" s="536"/>
      <c r="WUF1" s="536"/>
      <c r="WUG1" s="536"/>
      <c r="WUH1" s="536"/>
      <c r="WUI1" s="536"/>
      <c r="WUJ1" s="536"/>
      <c r="WUK1" s="536"/>
      <c r="WUL1" s="536"/>
      <c r="WUM1" s="536"/>
      <c r="WUN1" s="536"/>
      <c r="WUO1" s="536"/>
      <c r="WUP1" s="536"/>
      <c r="WUQ1" s="536"/>
      <c r="WUR1" s="536"/>
      <c r="WUS1" s="536"/>
      <c r="WUT1" s="536"/>
      <c r="WUU1" s="536"/>
      <c r="WUV1" s="536"/>
      <c r="WUW1" s="536"/>
      <c r="WUX1" s="536"/>
      <c r="WUY1" s="536"/>
      <c r="WUZ1" s="536"/>
      <c r="WVA1" s="536"/>
      <c r="WVB1" s="536"/>
      <c r="WVC1" s="536"/>
      <c r="WVD1" s="536"/>
      <c r="WVE1" s="536"/>
      <c r="WVF1" s="536"/>
      <c r="WVG1" s="536"/>
      <c r="WVH1" s="536"/>
      <c r="WVI1" s="536"/>
      <c r="WVJ1" s="536"/>
      <c r="WVK1" s="536"/>
      <c r="WVL1" s="536"/>
      <c r="WVM1" s="536"/>
      <c r="WVN1" s="536"/>
      <c r="WVO1" s="536"/>
      <c r="WVP1" s="536"/>
      <c r="WVQ1" s="536"/>
      <c r="WVR1" s="536"/>
      <c r="WVS1" s="536"/>
      <c r="WVT1" s="536"/>
      <c r="WVU1" s="536"/>
      <c r="WVV1" s="536"/>
      <c r="WVW1" s="536"/>
      <c r="WVX1" s="536"/>
      <c r="WVY1" s="536"/>
      <c r="WVZ1" s="536"/>
      <c r="WWA1" s="536"/>
      <c r="WWB1" s="536"/>
      <c r="WWC1" s="536"/>
      <c r="WWD1" s="536"/>
      <c r="WWE1" s="536"/>
      <c r="WWF1" s="536"/>
      <c r="WWG1" s="536"/>
      <c r="WWH1" s="536"/>
      <c r="WWI1" s="536"/>
      <c r="WWJ1" s="536"/>
      <c r="WWK1" s="536"/>
      <c r="WWL1" s="536"/>
      <c r="WWM1" s="536"/>
      <c r="WWN1" s="536"/>
      <c r="WWO1" s="536"/>
      <c r="WWP1" s="536"/>
      <c r="WWQ1" s="536"/>
      <c r="WWR1" s="536"/>
      <c r="WWS1" s="536"/>
      <c r="WWT1" s="536"/>
      <c r="WWU1" s="536"/>
      <c r="WWV1" s="536"/>
      <c r="WWW1" s="536"/>
      <c r="WWX1" s="536"/>
      <c r="WWY1" s="536"/>
      <c r="WWZ1" s="536"/>
      <c r="WXA1" s="536"/>
      <c r="WXB1" s="536"/>
      <c r="WXC1" s="536"/>
      <c r="WXD1" s="536"/>
      <c r="WXE1" s="536"/>
      <c r="WXF1" s="536"/>
      <c r="WXG1" s="536"/>
      <c r="WXH1" s="536"/>
      <c r="WXI1" s="536"/>
      <c r="WXJ1" s="536"/>
      <c r="WXK1" s="536"/>
      <c r="WXL1" s="536"/>
      <c r="WXM1" s="536"/>
      <c r="WXN1" s="536"/>
      <c r="WXO1" s="536"/>
      <c r="WXP1" s="536"/>
      <c r="WXQ1" s="536"/>
      <c r="WXR1" s="536"/>
      <c r="WXS1" s="536"/>
      <c r="WXT1" s="536"/>
      <c r="WXU1" s="536"/>
      <c r="WXV1" s="536"/>
      <c r="WXW1" s="536"/>
      <c r="WXX1" s="536"/>
      <c r="WXY1" s="536"/>
      <c r="WXZ1" s="536"/>
      <c r="WYA1" s="536"/>
      <c r="WYB1" s="536"/>
      <c r="WYC1" s="536"/>
      <c r="WYD1" s="536"/>
      <c r="WYE1" s="536"/>
      <c r="WYF1" s="536"/>
      <c r="WYG1" s="536"/>
      <c r="WYH1" s="536"/>
      <c r="WYI1" s="536"/>
      <c r="WYJ1" s="536"/>
      <c r="WYK1" s="536"/>
      <c r="WYL1" s="536"/>
      <c r="WYM1" s="536"/>
      <c r="WYN1" s="536"/>
      <c r="WYO1" s="536"/>
      <c r="WYP1" s="536"/>
      <c r="WYQ1" s="536"/>
      <c r="WYR1" s="536"/>
      <c r="WYS1" s="536"/>
      <c r="WYT1" s="536"/>
      <c r="WYU1" s="536"/>
      <c r="WYV1" s="536"/>
      <c r="WYW1" s="536"/>
      <c r="WYX1" s="536"/>
      <c r="WYY1" s="536"/>
      <c r="WYZ1" s="536"/>
      <c r="WZA1" s="536"/>
      <c r="WZB1" s="536"/>
      <c r="WZC1" s="536"/>
      <c r="WZD1" s="536"/>
      <c r="WZE1" s="536"/>
      <c r="WZF1" s="536"/>
      <c r="WZG1" s="536"/>
      <c r="WZH1" s="536"/>
      <c r="WZI1" s="536"/>
      <c r="WZJ1" s="536"/>
      <c r="WZK1" s="536"/>
      <c r="WZL1" s="536"/>
      <c r="WZM1" s="536"/>
      <c r="WZN1" s="536"/>
      <c r="WZO1" s="536"/>
      <c r="WZP1" s="536"/>
      <c r="WZQ1" s="536"/>
      <c r="WZR1" s="536"/>
      <c r="WZS1" s="536"/>
      <c r="WZT1" s="536"/>
      <c r="WZU1" s="536"/>
      <c r="WZV1" s="536"/>
      <c r="WZW1" s="536"/>
      <c r="WZX1" s="536"/>
      <c r="WZY1" s="536"/>
      <c r="WZZ1" s="536"/>
      <c r="XAA1" s="536"/>
      <c r="XAB1" s="536"/>
      <c r="XAC1" s="536"/>
      <c r="XAD1" s="536"/>
      <c r="XAE1" s="536"/>
      <c r="XAF1" s="536"/>
      <c r="XAG1" s="536"/>
      <c r="XAH1" s="536"/>
      <c r="XAI1" s="536"/>
      <c r="XAJ1" s="536"/>
      <c r="XAK1" s="536"/>
      <c r="XAL1" s="536"/>
      <c r="XAM1" s="536"/>
      <c r="XAN1" s="536"/>
      <c r="XAO1" s="536"/>
      <c r="XAP1" s="536"/>
      <c r="XAQ1" s="536"/>
      <c r="XAR1" s="536"/>
      <c r="XAS1" s="536"/>
      <c r="XAT1" s="536"/>
      <c r="XAU1" s="536"/>
      <c r="XAV1" s="536"/>
      <c r="XAW1" s="536"/>
      <c r="XAX1" s="536"/>
      <c r="XAY1" s="536"/>
      <c r="XAZ1" s="536"/>
      <c r="XBA1" s="536"/>
      <c r="XBB1" s="536"/>
      <c r="XBC1" s="536"/>
      <c r="XBD1" s="536"/>
      <c r="XBE1" s="536"/>
      <c r="XBF1" s="536"/>
      <c r="XBG1" s="536"/>
      <c r="XBH1" s="536"/>
      <c r="XBI1" s="536"/>
      <c r="XBJ1" s="536"/>
      <c r="XBK1" s="536"/>
      <c r="XBL1" s="536"/>
      <c r="XBM1" s="536"/>
      <c r="XBN1" s="536"/>
      <c r="XBO1" s="536"/>
      <c r="XBP1" s="536"/>
      <c r="XBQ1" s="536"/>
      <c r="XBR1" s="536"/>
      <c r="XBS1" s="536"/>
      <c r="XBT1" s="536"/>
      <c r="XBU1" s="536"/>
      <c r="XBV1" s="536"/>
      <c r="XBW1" s="536"/>
      <c r="XBX1" s="536"/>
      <c r="XBY1" s="536"/>
      <c r="XBZ1" s="536"/>
      <c r="XCA1" s="536"/>
      <c r="XCB1" s="536"/>
      <c r="XCC1" s="536"/>
      <c r="XCD1" s="536"/>
      <c r="XCE1" s="536"/>
      <c r="XCF1" s="536"/>
      <c r="XCG1" s="536"/>
      <c r="XCH1" s="536"/>
      <c r="XCI1" s="536"/>
      <c r="XCJ1" s="536"/>
      <c r="XCK1" s="536"/>
      <c r="XCL1" s="536"/>
      <c r="XCM1" s="536"/>
      <c r="XCN1" s="536"/>
      <c r="XCO1" s="536"/>
      <c r="XCP1" s="536"/>
      <c r="XCQ1" s="536"/>
      <c r="XCR1" s="536"/>
      <c r="XCS1" s="536"/>
      <c r="XCT1" s="536"/>
      <c r="XCU1" s="536"/>
      <c r="XCV1" s="536"/>
      <c r="XCW1" s="536"/>
      <c r="XCX1" s="536"/>
      <c r="XCY1" s="536"/>
      <c r="XCZ1" s="536"/>
      <c r="XDA1" s="536"/>
      <c r="XDB1" s="536"/>
      <c r="XDC1" s="536"/>
      <c r="XDD1" s="536"/>
      <c r="XDE1" s="536"/>
      <c r="XDF1" s="536"/>
      <c r="XDG1" s="536"/>
      <c r="XDH1" s="536"/>
      <c r="XDI1" s="536"/>
      <c r="XDJ1" s="536"/>
      <c r="XDK1" s="536"/>
      <c r="XDL1" s="536"/>
      <c r="XDM1" s="536"/>
      <c r="XDN1" s="536"/>
      <c r="XDO1" s="536"/>
      <c r="XDP1" s="536"/>
      <c r="XDQ1" s="536"/>
      <c r="XDR1" s="536"/>
      <c r="XDS1" s="536"/>
      <c r="XDT1" s="536"/>
      <c r="XDU1" s="536"/>
      <c r="XDV1" s="536"/>
      <c r="XDW1" s="536"/>
      <c r="XDX1" s="536"/>
      <c r="XDY1" s="536"/>
      <c r="XDZ1" s="536"/>
      <c r="XEA1" s="536"/>
      <c r="XEB1" s="536"/>
      <c r="XEC1" s="536"/>
      <c r="XED1" s="536"/>
      <c r="XEE1" s="536"/>
      <c r="XEF1" s="536"/>
      <c r="XEG1" s="536"/>
      <c r="XEH1" s="536"/>
      <c r="XEI1" s="536"/>
      <c r="XEJ1" s="536"/>
      <c r="XEK1" s="536"/>
      <c r="XEL1" s="536"/>
      <c r="XEM1" s="536"/>
      <c r="XEN1" s="536"/>
      <c r="XEO1" s="536"/>
      <c r="XEP1" s="536"/>
      <c r="XEQ1" s="536"/>
      <c r="XER1" s="536"/>
      <c r="XES1" s="536"/>
      <c r="XET1" s="536"/>
      <c r="XEU1" s="536"/>
      <c r="XEV1" s="536"/>
    </row>
    <row r="2" spans="1:16383" s="131" customFormat="1" ht="30" customHeight="1" x14ac:dyDescent="0.25">
      <c r="A2" s="233" t="s">
        <v>84</v>
      </c>
      <c r="B2" s="233" t="s">
        <v>352</v>
      </c>
      <c r="C2" s="233" t="s">
        <v>353</v>
      </c>
    </row>
    <row r="3" spans="1:16383" s="131" customFormat="1" ht="30" customHeight="1" x14ac:dyDescent="0.25">
      <c r="A3" s="235"/>
      <c r="B3" s="235" t="s">
        <v>214</v>
      </c>
      <c r="C3" s="134"/>
    </row>
    <row r="4" spans="1:16383" s="120" customFormat="1" ht="30" customHeight="1" x14ac:dyDescent="0.25">
      <c r="A4" s="549" t="s">
        <v>354</v>
      </c>
      <c r="B4" s="549"/>
      <c r="C4" s="549"/>
    </row>
    <row r="5" spans="1:16383" s="131" customFormat="1" ht="30" customHeight="1" x14ac:dyDescent="0.25">
      <c r="A5" s="374" t="s">
        <v>1875</v>
      </c>
      <c r="B5" s="136" t="s">
        <v>168</v>
      </c>
      <c r="C5" s="156">
        <v>9</v>
      </c>
    </row>
    <row r="6" spans="1:16383" s="131" customFormat="1" ht="30" customHeight="1" x14ac:dyDescent="0.25">
      <c r="A6" s="374" t="s">
        <v>1876</v>
      </c>
      <c r="B6" s="136" t="s">
        <v>168</v>
      </c>
      <c r="C6" s="156">
        <v>11</v>
      </c>
    </row>
    <row r="7" spans="1:16383" s="131" customFormat="1" ht="30" customHeight="1" thickBot="1" x14ac:dyDescent="0.3">
      <c r="A7" s="374" t="s">
        <v>1877</v>
      </c>
      <c r="B7" s="136" t="s">
        <v>168</v>
      </c>
      <c r="C7" s="156">
        <v>4</v>
      </c>
    </row>
    <row r="8" spans="1:16383" s="131" customFormat="1" ht="30" customHeight="1" x14ac:dyDescent="0.25">
      <c r="A8" s="374" t="s">
        <v>1878</v>
      </c>
      <c r="B8" s="136" t="s">
        <v>168</v>
      </c>
      <c r="C8" s="137">
        <v>2</v>
      </c>
      <c r="XEW8" s="373"/>
    </row>
    <row r="9" spans="1:16383" s="138" customFormat="1" ht="30" customHeight="1" x14ac:dyDescent="0.25">
      <c r="A9" s="234" t="s">
        <v>1879</v>
      </c>
      <c r="B9" s="119"/>
      <c r="C9" s="135" t="s">
        <v>215</v>
      </c>
      <c r="XEW9" s="131"/>
      <c r="XEX9" s="131"/>
      <c r="XEY9" s="131"/>
      <c r="XEZ9" s="131"/>
      <c r="XFA9" s="131"/>
      <c r="XFB9" s="131"/>
      <c r="XFC9" s="131"/>
    </row>
    <row r="10" spans="1:16383" s="131" customFormat="1" ht="30" customHeight="1" x14ac:dyDescent="0.25">
      <c r="A10" s="232" t="s">
        <v>1880</v>
      </c>
      <c r="B10" s="136" t="s">
        <v>168</v>
      </c>
      <c r="C10" s="137">
        <v>4</v>
      </c>
    </row>
    <row r="11" spans="1:16383" s="131" customFormat="1" ht="30" customHeight="1" x14ac:dyDescent="0.25">
      <c r="A11" s="232" t="s">
        <v>1881</v>
      </c>
      <c r="B11" s="136" t="s">
        <v>168</v>
      </c>
      <c r="C11" s="137">
        <v>39</v>
      </c>
    </row>
    <row r="12" spans="1:16383" s="138" customFormat="1" ht="30" customHeight="1" x14ac:dyDescent="0.25">
      <c r="A12" s="234" t="s">
        <v>1882</v>
      </c>
      <c r="B12" s="119"/>
      <c r="C12" s="135" t="s">
        <v>215</v>
      </c>
      <c r="XEW12" s="131"/>
      <c r="XEX12" s="131"/>
      <c r="XEY12" s="131"/>
      <c r="XEZ12" s="131"/>
      <c r="XFA12" s="131"/>
      <c r="XFB12" s="131"/>
      <c r="XFC12" s="131"/>
    </row>
    <row r="13" spans="1:16383" s="131" customFormat="1" ht="30" customHeight="1" x14ac:dyDescent="0.25">
      <c r="A13" s="232" t="s">
        <v>1883</v>
      </c>
      <c r="B13" s="130" t="s">
        <v>168</v>
      </c>
      <c r="C13" s="137">
        <v>55</v>
      </c>
    </row>
    <row r="14" spans="1:16383" s="131" customFormat="1" ht="30" customHeight="1" x14ac:dyDescent="0.25">
      <c r="A14" s="232" t="s">
        <v>792</v>
      </c>
      <c r="B14" s="130" t="s">
        <v>168</v>
      </c>
      <c r="C14" s="139">
        <v>47</v>
      </c>
    </row>
    <row r="15" spans="1:16383" s="131" customFormat="1" ht="30" customHeight="1" x14ac:dyDescent="0.25">
      <c r="A15" s="232" t="s">
        <v>1884</v>
      </c>
      <c r="B15" s="130" t="s">
        <v>168</v>
      </c>
      <c r="C15" s="137">
        <v>2</v>
      </c>
    </row>
    <row r="16" spans="1:16383" s="131" customFormat="1" ht="30" customHeight="1" x14ac:dyDescent="0.25">
      <c r="A16" s="232" t="s">
        <v>1885</v>
      </c>
      <c r="B16" s="130" t="s">
        <v>168</v>
      </c>
      <c r="C16" s="137">
        <v>3</v>
      </c>
    </row>
    <row r="17" spans="1:3" s="131" customFormat="1" ht="30" customHeight="1" x14ac:dyDescent="0.25">
      <c r="A17" s="232" t="s">
        <v>1886</v>
      </c>
      <c r="B17" s="130" t="s">
        <v>168</v>
      </c>
      <c r="C17" s="137">
        <v>27</v>
      </c>
    </row>
    <row r="18" spans="1:3" s="131" customFormat="1" ht="30" customHeight="1" x14ac:dyDescent="0.25">
      <c r="A18" s="232" t="s">
        <v>1887</v>
      </c>
      <c r="B18" s="130" t="s">
        <v>168</v>
      </c>
      <c r="C18" s="137">
        <v>37</v>
      </c>
    </row>
    <row r="19" spans="1:3" s="131" customFormat="1" ht="30" customHeight="1" x14ac:dyDescent="0.25">
      <c r="A19" s="232" t="s">
        <v>1888</v>
      </c>
      <c r="B19" s="130" t="s">
        <v>168</v>
      </c>
      <c r="C19" s="137">
        <v>3</v>
      </c>
    </row>
    <row r="20" spans="1:3" s="131" customFormat="1" ht="30" customHeight="1" x14ac:dyDescent="0.25">
      <c r="A20" s="232" t="s">
        <v>1889</v>
      </c>
      <c r="B20" s="130" t="s">
        <v>168</v>
      </c>
      <c r="C20" s="137">
        <v>1</v>
      </c>
    </row>
    <row r="21" spans="1:3" s="131" customFormat="1" ht="30" customHeight="1" x14ac:dyDescent="0.25">
      <c r="A21" s="232" t="s">
        <v>1890</v>
      </c>
      <c r="B21" s="130" t="s">
        <v>168</v>
      </c>
      <c r="C21" s="137">
        <v>3</v>
      </c>
    </row>
    <row r="22" spans="1:3" s="131" customFormat="1" ht="30" customHeight="1" x14ac:dyDescent="0.25">
      <c r="A22" s="232" t="s">
        <v>1891</v>
      </c>
      <c r="B22" s="130" t="s">
        <v>168</v>
      </c>
      <c r="C22" s="137">
        <v>1</v>
      </c>
    </row>
    <row r="23" spans="1:3" s="131" customFormat="1" ht="30" customHeight="1" x14ac:dyDescent="0.25">
      <c r="A23" s="232" t="s">
        <v>1892</v>
      </c>
      <c r="B23" s="130" t="s">
        <v>168</v>
      </c>
      <c r="C23" s="137">
        <v>115</v>
      </c>
    </row>
    <row r="24" spans="1:3" s="131" customFormat="1" ht="30" customHeight="1" x14ac:dyDescent="0.25">
      <c r="A24" s="232" t="s">
        <v>1893</v>
      </c>
      <c r="B24" s="130" t="s">
        <v>168</v>
      </c>
      <c r="C24" s="137">
        <v>82</v>
      </c>
    </row>
    <row r="25" spans="1:3" s="131" customFormat="1" ht="30" customHeight="1" x14ac:dyDescent="0.25">
      <c r="A25" s="232" t="s">
        <v>1894</v>
      </c>
      <c r="B25" s="130" t="s">
        <v>168</v>
      </c>
      <c r="C25" s="137">
        <v>48</v>
      </c>
    </row>
    <row r="26" spans="1:3" s="131" customFormat="1" ht="30" customHeight="1" x14ac:dyDescent="0.25">
      <c r="A26" s="232" t="s">
        <v>1895</v>
      </c>
      <c r="B26" s="218" t="s">
        <v>168</v>
      </c>
      <c r="C26" s="141">
        <v>10</v>
      </c>
    </row>
    <row r="27" spans="1:3" s="131" customFormat="1" ht="30" customHeight="1" x14ac:dyDescent="0.25">
      <c r="A27" s="232" t="s">
        <v>1896</v>
      </c>
      <c r="B27" s="218" t="s">
        <v>168</v>
      </c>
      <c r="C27" s="141">
        <v>27</v>
      </c>
    </row>
    <row r="28" spans="1:3" s="131" customFormat="1" ht="30" customHeight="1" x14ac:dyDescent="0.25">
      <c r="A28" s="232" t="s">
        <v>1897</v>
      </c>
      <c r="B28" s="218" t="s">
        <v>168</v>
      </c>
      <c r="C28" s="141">
        <v>1</v>
      </c>
    </row>
    <row r="29" spans="1:3" s="131" customFormat="1" ht="30" customHeight="1" x14ac:dyDescent="0.25">
      <c r="A29" s="232" t="s">
        <v>1898</v>
      </c>
      <c r="B29" s="218" t="s">
        <v>168</v>
      </c>
      <c r="C29" s="141">
        <v>75</v>
      </c>
    </row>
    <row r="30" spans="1:3" s="131" customFormat="1" ht="30" customHeight="1" x14ac:dyDescent="0.25">
      <c r="A30" s="232" t="s">
        <v>1899</v>
      </c>
      <c r="B30" s="218" t="s">
        <v>168</v>
      </c>
      <c r="C30" s="141">
        <v>5</v>
      </c>
    </row>
    <row r="31" spans="1:3" s="131" customFormat="1" ht="30" customHeight="1" x14ac:dyDescent="0.25">
      <c r="A31" s="232" t="s">
        <v>1900</v>
      </c>
      <c r="B31" s="218" t="s">
        <v>168</v>
      </c>
      <c r="C31" s="141">
        <v>1</v>
      </c>
    </row>
    <row r="32" spans="1:3" s="131" customFormat="1" ht="30" customHeight="1" x14ac:dyDescent="0.25">
      <c r="A32" s="231" t="s">
        <v>1901</v>
      </c>
      <c r="B32" s="218" t="s">
        <v>12</v>
      </c>
      <c r="C32" s="141">
        <v>580</v>
      </c>
    </row>
    <row r="33" spans="1:3" s="131" customFormat="1" ht="30" customHeight="1" x14ac:dyDescent="0.25">
      <c r="A33" s="231" t="s">
        <v>1902</v>
      </c>
      <c r="B33" s="218" t="s">
        <v>12</v>
      </c>
      <c r="C33" s="141">
        <v>122</v>
      </c>
    </row>
    <row r="34" spans="1:3" s="131" customFormat="1" ht="30" customHeight="1" x14ac:dyDescent="0.25">
      <c r="A34" s="231" t="s">
        <v>1903</v>
      </c>
      <c r="B34" s="218" t="s">
        <v>12</v>
      </c>
      <c r="C34" s="141">
        <v>13</v>
      </c>
    </row>
    <row r="35" spans="1:3" s="131" customFormat="1" ht="30" customHeight="1" x14ac:dyDescent="0.25">
      <c r="A35" s="231" t="s">
        <v>1904</v>
      </c>
      <c r="B35" s="218" t="s">
        <v>12</v>
      </c>
      <c r="C35" s="141">
        <v>105</v>
      </c>
    </row>
    <row r="36" spans="1:3" s="131" customFormat="1" ht="30" customHeight="1" x14ac:dyDescent="0.25">
      <c r="A36" s="231" t="s">
        <v>1905</v>
      </c>
      <c r="B36" s="218" t="s">
        <v>12</v>
      </c>
      <c r="C36" s="141">
        <v>332</v>
      </c>
    </row>
    <row r="37" spans="1:3" ht="20.100000000000001" customHeight="1" x14ac:dyDescent="0.25">
      <c r="A37" s="234" t="s">
        <v>1832</v>
      </c>
      <c r="B37" s="119"/>
      <c r="C37" s="135" t="s">
        <v>215</v>
      </c>
    </row>
    <row r="38" spans="1:3" s="131" customFormat="1" ht="20.100000000000001" customHeight="1" x14ac:dyDescent="0.25">
      <c r="A38" s="345" t="s">
        <v>975</v>
      </c>
      <c r="B38" s="218" t="s">
        <v>12</v>
      </c>
      <c r="C38" s="166">
        <v>168</v>
      </c>
    </row>
    <row r="39" spans="1:3" s="131" customFormat="1" ht="20.100000000000001" customHeight="1" x14ac:dyDescent="0.25">
      <c r="A39" s="345" t="s">
        <v>979</v>
      </c>
      <c r="B39" s="218" t="s">
        <v>12</v>
      </c>
      <c r="C39" s="166">
        <v>2</v>
      </c>
    </row>
    <row r="40" spans="1:3" s="131" customFormat="1" ht="20.100000000000001" customHeight="1" x14ac:dyDescent="0.25">
      <c r="A40" s="345" t="s">
        <v>981</v>
      </c>
      <c r="B40" s="218" t="s">
        <v>12</v>
      </c>
      <c r="C40" s="166">
        <v>269</v>
      </c>
    </row>
    <row r="41" spans="1:3" s="131" customFormat="1" ht="20.100000000000001" customHeight="1" x14ac:dyDescent="0.25">
      <c r="A41" s="345" t="s">
        <v>992</v>
      </c>
      <c r="B41" s="218" t="s">
        <v>12</v>
      </c>
      <c r="C41" s="166">
        <v>561</v>
      </c>
    </row>
  </sheetData>
  <mergeCells count="1490">
    <mergeCell ref="XDV1:XEF1"/>
    <mergeCell ref="XEG1:XEQ1"/>
    <mergeCell ref="XER1:XEV1"/>
    <mergeCell ref="A4:C4"/>
    <mergeCell ref="XBH1:XBR1"/>
    <mergeCell ref="XBS1:XCC1"/>
    <mergeCell ref="XCD1:XCN1"/>
    <mergeCell ref="XCO1:XCY1"/>
    <mergeCell ref="XCZ1:XDJ1"/>
    <mergeCell ref="XDK1:XDU1"/>
    <mergeCell ref="WYT1:WZD1"/>
    <mergeCell ref="WZE1:WZO1"/>
    <mergeCell ref="WZP1:WZZ1"/>
    <mergeCell ref="XAA1:XAK1"/>
    <mergeCell ref="XAL1:XAV1"/>
    <mergeCell ref="XAW1:XBG1"/>
    <mergeCell ref="WWF1:WWP1"/>
    <mergeCell ref="WWQ1:WXA1"/>
    <mergeCell ref="WXB1:WXL1"/>
    <mergeCell ref="WXM1:WXW1"/>
    <mergeCell ref="WXX1:WYH1"/>
    <mergeCell ref="WYI1:WYS1"/>
    <mergeCell ref="WTR1:WUB1"/>
    <mergeCell ref="WUC1:WUM1"/>
    <mergeCell ref="WUN1:WUX1"/>
    <mergeCell ref="WUY1:WVI1"/>
    <mergeCell ref="WVJ1:WVT1"/>
    <mergeCell ref="WVU1:WWE1"/>
    <mergeCell ref="WRD1:WRN1"/>
    <mergeCell ref="WRO1:WRY1"/>
    <mergeCell ref="WRZ1:WSJ1"/>
    <mergeCell ref="WSK1:WSU1"/>
    <mergeCell ref="WSV1:WTF1"/>
    <mergeCell ref="WTG1:WTQ1"/>
    <mergeCell ref="WOP1:WOZ1"/>
    <mergeCell ref="WPA1:WPK1"/>
    <mergeCell ref="WPL1:WPV1"/>
    <mergeCell ref="WPW1:WQG1"/>
    <mergeCell ref="WQH1:WQR1"/>
    <mergeCell ref="WQS1:WRC1"/>
    <mergeCell ref="WMB1:WML1"/>
    <mergeCell ref="WMM1:WMW1"/>
    <mergeCell ref="WMX1:WNH1"/>
    <mergeCell ref="WNI1:WNS1"/>
    <mergeCell ref="WNT1:WOD1"/>
    <mergeCell ref="WOE1:WOO1"/>
    <mergeCell ref="WJN1:WJX1"/>
    <mergeCell ref="WJY1:WKI1"/>
    <mergeCell ref="WKJ1:WKT1"/>
    <mergeCell ref="WKU1:WLE1"/>
    <mergeCell ref="WLF1:WLP1"/>
    <mergeCell ref="WLQ1:WMA1"/>
    <mergeCell ref="WGZ1:WHJ1"/>
    <mergeCell ref="WHK1:WHU1"/>
    <mergeCell ref="WHV1:WIF1"/>
    <mergeCell ref="WIG1:WIQ1"/>
    <mergeCell ref="WIR1:WJB1"/>
    <mergeCell ref="WJC1:WJM1"/>
    <mergeCell ref="WEL1:WEV1"/>
    <mergeCell ref="WEW1:WFG1"/>
    <mergeCell ref="WFH1:WFR1"/>
    <mergeCell ref="WFS1:WGC1"/>
    <mergeCell ref="WGD1:WGN1"/>
    <mergeCell ref="WGO1:WGY1"/>
    <mergeCell ref="WBX1:WCH1"/>
    <mergeCell ref="WCI1:WCS1"/>
    <mergeCell ref="WCT1:WDD1"/>
    <mergeCell ref="WDE1:WDO1"/>
    <mergeCell ref="WDP1:WDZ1"/>
    <mergeCell ref="WEA1:WEK1"/>
    <mergeCell ref="VZJ1:VZT1"/>
    <mergeCell ref="VZU1:WAE1"/>
    <mergeCell ref="WAF1:WAP1"/>
    <mergeCell ref="WAQ1:WBA1"/>
    <mergeCell ref="WBB1:WBL1"/>
    <mergeCell ref="WBM1:WBW1"/>
    <mergeCell ref="VWV1:VXF1"/>
    <mergeCell ref="VXG1:VXQ1"/>
    <mergeCell ref="VXR1:VYB1"/>
    <mergeCell ref="VYC1:VYM1"/>
    <mergeCell ref="VYN1:VYX1"/>
    <mergeCell ref="VYY1:VZI1"/>
    <mergeCell ref="VUH1:VUR1"/>
    <mergeCell ref="VUS1:VVC1"/>
    <mergeCell ref="VVD1:VVN1"/>
    <mergeCell ref="VVO1:VVY1"/>
    <mergeCell ref="VVZ1:VWJ1"/>
    <mergeCell ref="VWK1:VWU1"/>
    <mergeCell ref="VRT1:VSD1"/>
    <mergeCell ref="VSE1:VSO1"/>
    <mergeCell ref="VSP1:VSZ1"/>
    <mergeCell ref="VTA1:VTK1"/>
    <mergeCell ref="VTL1:VTV1"/>
    <mergeCell ref="VTW1:VUG1"/>
    <mergeCell ref="VPF1:VPP1"/>
    <mergeCell ref="VPQ1:VQA1"/>
    <mergeCell ref="VQB1:VQL1"/>
    <mergeCell ref="VQM1:VQW1"/>
    <mergeCell ref="VQX1:VRH1"/>
    <mergeCell ref="VRI1:VRS1"/>
    <mergeCell ref="VMR1:VNB1"/>
    <mergeCell ref="VNC1:VNM1"/>
    <mergeCell ref="VNN1:VNX1"/>
    <mergeCell ref="VNY1:VOI1"/>
    <mergeCell ref="VOJ1:VOT1"/>
    <mergeCell ref="VOU1:VPE1"/>
    <mergeCell ref="VKD1:VKN1"/>
    <mergeCell ref="VKO1:VKY1"/>
    <mergeCell ref="VKZ1:VLJ1"/>
    <mergeCell ref="VLK1:VLU1"/>
    <mergeCell ref="VLV1:VMF1"/>
    <mergeCell ref="VMG1:VMQ1"/>
    <mergeCell ref="VHP1:VHZ1"/>
    <mergeCell ref="VIA1:VIK1"/>
    <mergeCell ref="VIL1:VIV1"/>
    <mergeCell ref="VIW1:VJG1"/>
    <mergeCell ref="VJH1:VJR1"/>
    <mergeCell ref="VJS1:VKC1"/>
    <mergeCell ref="VFB1:VFL1"/>
    <mergeCell ref="VFM1:VFW1"/>
    <mergeCell ref="VFX1:VGH1"/>
    <mergeCell ref="VGI1:VGS1"/>
    <mergeCell ref="VGT1:VHD1"/>
    <mergeCell ref="VHE1:VHO1"/>
    <mergeCell ref="VCN1:VCX1"/>
    <mergeCell ref="VCY1:VDI1"/>
    <mergeCell ref="VDJ1:VDT1"/>
    <mergeCell ref="VDU1:VEE1"/>
    <mergeCell ref="VEF1:VEP1"/>
    <mergeCell ref="VEQ1:VFA1"/>
    <mergeCell ref="UZZ1:VAJ1"/>
    <mergeCell ref="VAK1:VAU1"/>
    <mergeCell ref="VAV1:VBF1"/>
    <mergeCell ref="VBG1:VBQ1"/>
    <mergeCell ref="VBR1:VCB1"/>
    <mergeCell ref="VCC1:VCM1"/>
    <mergeCell ref="UXL1:UXV1"/>
    <mergeCell ref="UXW1:UYG1"/>
    <mergeCell ref="UYH1:UYR1"/>
    <mergeCell ref="UYS1:UZC1"/>
    <mergeCell ref="UZD1:UZN1"/>
    <mergeCell ref="UZO1:UZY1"/>
    <mergeCell ref="UUX1:UVH1"/>
    <mergeCell ref="UVI1:UVS1"/>
    <mergeCell ref="UVT1:UWD1"/>
    <mergeCell ref="UWE1:UWO1"/>
    <mergeCell ref="UWP1:UWZ1"/>
    <mergeCell ref="UXA1:UXK1"/>
    <mergeCell ref="USJ1:UST1"/>
    <mergeCell ref="USU1:UTE1"/>
    <mergeCell ref="UTF1:UTP1"/>
    <mergeCell ref="UTQ1:UUA1"/>
    <mergeCell ref="UUB1:UUL1"/>
    <mergeCell ref="UUM1:UUW1"/>
    <mergeCell ref="UPV1:UQF1"/>
    <mergeCell ref="UQG1:UQQ1"/>
    <mergeCell ref="UQR1:URB1"/>
    <mergeCell ref="URC1:URM1"/>
    <mergeCell ref="URN1:URX1"/>
    <mergeCell ref="URY1:USI1"/>
    <mergeCell ref="UNH1:UNR1"/>
    <mergeCell ref="UNS1:UOC1"/>
    <mergeCell ref="UOD1:UON1"/>
    <mergeCell ref="UOO1:UOY1"/>
    <mergeCell ref="UOZ1:UPJ1"/>
    <mergeCell ref="UPK1:UPU1"/>
    <mergeCell ref="UKT1:ULD1"/>
    <mergeCell ref="ULE1:ULO1"/>
    <mergeCell ref="ULP1:ULZ1"/>
    <mergeCell ref="UMA1:UMK1"/>
    <mergeCell ref="UML1:UMV1"/>
    <mergeCell ref="UMW1:UNG1"/>
    <mergeCell ref="UIF1:UIP1"/>
    <mergeCell ref="UIQ1:UJA1"/>
    <mergeCell ref="UJB1:UJL1"/>
    <mergeCell ref="UJM1:UJW1"/>
    <mergeCell ref="UJX1:UKH1"/>
    <mergeCell ref="UKI1:UKS1"/>
    <mergeCell ref="UFR1:UGB1"/>
    <mergeCell ref="UGC1:UGM1"/>
    <mergeCell ref="UGN1:UGX1"/>
    <mergeCell ref="UGY1:UHI1"/>
    <mergeCell ref="UHJ1:UHT1"/>
    <mergeCell ref="UHU1:UIE1"/>
    <mergeCell ref="UDD1:UDN1"/>
    <mergeCell ref="UDO1:UDY1"/>
    <mergeCell ref="UDZ1:UEJ1"/>
    <mergeCell ref="UEK1:UEU1"/>
    <mergeCell ref="UEV1:UFF1"/>
    <mergeCell ref="UFG1:UFQ1"/>
    <mergeCell ref="UAP1:UAZ1"/>
    <mergeCell ref="UBA1:UBK1"/>
    <mergeCell ref="UBL1:UBV1"/>
    <mergeCell ref="UBW1:UCG1"/>
    <mergeCell ref="UCH1:UCR1"/>
    <mergeCell ref="UCS1:UDC1"/>
    <mergeCell ref="TYB1:TYL1"/>
    <mergeCell ref="TYM1:TYW1"/>
    <mergeCell ref="TYX1:TZH1"/>
    <mergeCell ref="TZI1:TZS1"/>
    <mergeCell ref="TZT1:UAD1"/>
    <mergeCell ref="UAE1:UAO1"/>
    <mergeCell ref="TVN1:TVX1"/>
    <mergeCell ref="TVY1:TWI1"/>
    <mergeCell ref="TWJ1:TWT1"/>
    <mergeCell ref="TWU1:TXE1"/>
    <mergeCell ref="TXF1:TXP1"/>
    <mergeCell ref="TXQ1:TYA1"/>
    <mergeCell ref="TSZ1:TTJ1"/>
    <mergeCell ref="TTK1:TTU1"/>
    <mergeCell ref="TTV1:TUF1"/>
    <mergeCell ref="TUG1:TUQ1"/>
    <mergeCell ref="TUR1:TVB1"/>
    <mergeCell ref="TVC1:TVM1"/>
    <mergeCell ref="TQL1:TQV1"/>
    <mergeCell ref="TQW1:TRG1"/>
    <mergeCell ref="TRH1:TRR1"/>
    <mergeCell ref="TRS1:TSC1"/>
    <mergeCell ref="TSD1:TSN1"/>
    <mergeCell ref="TSO1:TSY1"/>
    <mergeCell ref="TNX1:TOH1"/>
    <mergeCell ref="TOI1:TOS1"/>
    <mergeCell ref="TOT1:TPD1"/>
    <mergeCell ref="TPE1:TPO1"/>
    <mergeCell ref="TPP1:TPZ1"/>
    <mergeCell ref="TQA1:TQK1"/>
    <mergeCell ref="TLJ1:TLT1"/>
    <mergeCell ref="TLU1:TME1"/>
    <mergeCell ref="TMF1:TMP1"/>
    <mergeCell ref="TMQ1:TNA1"/>
    <mergeCell ref="TNB1:TNL1"/>
    <mergeCell ref="TNM1:TNW1"/>
    <mergeCell ref="TIV1:TJF1"/>
    <mergeCell ref="TJG1:TJQ1"/>
    <mergeCell ref="TJR1:TKB1"/>
    <mergeCell ref="TKC1:TKM1"/>
    <mergeCell ref="TKN1:TKX1"/>
    <mergeCell ref="TKY1:TLI1"/>
    <mergeCell ref="TGH1:TGR1"/>
    <mergeCell ref="TGS1:THC1"/>
    <mergeCell ref="THD1:THN1"/>
    <mergeCell ref="THO1:THY1"/>
    <mergeCell ref="THZ1:TIJ1"/>
    <mergeCell ref="TIK1:TIU1"/>
    <mergeCell ref="TDT1:TED1"/>
    <mergeCell ref="TEE1:TEO1"/>
    <mergeCell ref="TEP1:TEZ1"/>
    <mergeCell ref="TFA1:TFK1"/>
    <mergeCell ref="TFL1:TFV1"/>
    <mergeCell ref="TFW1:TGG1"/>
    <mergeCell ref="TBF1:TBP1"/>
    <mergeCell ref="TBQ1:TCA1"/>
    <mergeCell ref="TCB1:TCL1"/>
    <mergeCell ref="TCM1:TCW1"/>
    <mergeCell ref="TCX1:TDH1"/>
    <mergeCell ref="TDI1:TDS1"/>
    <mergeCell ref="SYR1:SZB1"/>
    <mergeCell ref="SZC1:SZM1"/>
    <mergeCell ref="SZN1:SZX1"/>
    <mergeCell ref="SZY1:TAI1"/>
    <mergeCell ref="TAJ1:TAT1"/>
    <mergeCell ref="TAU1:TBE1"/>
    <mergeCell ref="SWD1:SWN1"/>
    <mergeCell ref="SWO1:SWY1"/>
    <mergeCell ref="SWZ1:SXJ1"/>
    <mergeCell ref="SXK1:SXU1"/>
    <mergeCell ref="SXV1:SYF1"/>
    <mergeCell ref="SYG1:SYQ1"/>
    <mergeCell ref="STP1:STZ1"/>
    <mergeCell ref="SUA1:SUK1"/>
    <mergeCell ref="SUL1:SUV1"/>
    <mergeCell ref="SUW1:SVG1"/>
    <mergeCell ref="SVH1:SVR1"/>
    <mergeCell ref="SVS1:SWC1"/>
    <mergeCell ref="SRB1:SRL1"/>
    <mergeCell ref="SRM1:SRW1"/>
    <mergeCell ref="SRX1:SSH1"/>
    <mergeCell ref="SSI1:SSS1"/>
    <mergeCell ref="SST1:STD1"/>
    <mergeCell ref="STE1:STO1"/>
    <mergeCell ref="SON1:SOX1"/>
    <mergeCell ref="SOY1:SPI1"/>
    <mergeCell ref="SPJ1:SPT1"/>
    <mergeCell ref="SPU1:SQE1"/>
    <mergeCell ref="SQF1:SQP1"/>
    <mergeCell ref="SQQ1:SRA1"/>
    <mergeCell ref="SLZ1:SMJ1"/>
    <mergeCell ref="SMK1:SMU1"/>
    <mergeCell ref="SMV1:SNF1"/>
    <mergeCell ref="SNG1:SNQ1"/>
    <mergeCell ref="SNR1:SOB1"/>
    <mergeCell ref="SOC1:SOM1"/>
    <mergeCell ref="SJL1:SJV1"/>
    <mergeCell ref="SJW1:SKG1"/>
    <mergeCell ref="SKH1:SKR1"/>
    <mergeCell ref="SKS1:SLC1"/>
    <mergeCell ref="SLD1:SLN1"/>
    <mergeCell ref="SLO1:SLY1"/>
    <mergeCell ref="SGX1:SHH1"/>
    <mergeCell ref="SHI1:SHS1"/>
    <mergeCell ref="SHT1:SID1"/>
    <mergeCell ref="SIE1:SIO1"/>
    <mergeCell ref="SIP1:SIZ1"/>
    <mergeCell ref="SJA1:SJK1"/>
    <mergeCell ref="SEJ1:SET1"/>
    <mergeCell ref="SEU1:SFE1"/>
    <mergeCell ref="SFF1:SFP1"/>
    <mergeCell ref="SFQ1:SGA1"/>
    <mergeCell ref="SGB1:SGL1"/>
    <mergeCell ref="SGM1:SGW1"/>
    <mergeCell ref="SBV1:SCF1"/>
    <mergeCell ref="SCG1:SCQ1"/>
    <mergeCell ref="SCR1:SDB1"/>
    <mergeCell ref="SDC1:SDM1"/>
    <mergeCell ref="SDN1:SDX1"/>
    <mergeCell ref="SDY1:SEI1"/>
    <mergeCell ref="RZH1:RZR1"/>
    <mergeCell ref="RZS1:SAC1"/>
    <mergeCell ref="SAD1:SAN1"/>
    <mergeCell ref="SAO1:SAY1"/>
    <mergeCell ref="SAZ1:SBJ1"/>
    <mergeCell ref="SBK1:SBU1"/>
    <mergeCell ref="RWT1:RXD1"/>
    <mergeCell ref="RXE1:RXO1"/>
    <mergeCell ref="RXP1:RXZ1"/>
    <mergeCell ref="RYA1:RYK1"/>
    <mergeCell ref="RYL1:RYV1"/>
    <mergeCell ref="RYW1:RZG1"/>
    <mergeCell ref="RUF1:RUP1"/>
    <mergeCell ref="RUQ1:RVA1"/>
    <mergeCell ref="RVB1:RVL1"/>
    <mergeCell ref="RVM1:RVW1"/>
    <mergeCell ref="RVX1:RWH1"/>
    <mergeCell ref="RWI1:RWS1"/>
    <mergeCell ref="RRR1:RSB1"/>
    <mergeCell ref="RSC1:RSM1"/>
    <mergeCell ref="RSN1:RSX1"/>
    <mergeCell ref="RSY1:RTI1"/>
    <mergeCell ref="RTJ1:RTT1"/>
    <mergeCell ref="RTU1:RUE1"/>
    <mergeCell ref="RPD1:RPN1"/>
    <mergeCell ref="RPO1:RPY1"/>
    <mergeCell ref="RPZ1:RQJ1"/>
    <mergeCell ref="RQK1:RQU1"/>
    <mergeCell ref="RQV1:RRF1"/>
    <mergeCell ref="RRG1:RRQ1"/>
    <mergeCell ref="RMP1:RMZ1"/>
    <mergeCell ref="RNA1:RNK1"/>
    <mergeCell ref="RNL1:RNV1"/>
    <mergeCell ref="RNW1:ROG1"/>
    <mergeCell ref="ROH1:ROR1"/>
    <mergeCell ref="ROS1:RPC1"/>
    <mergeCell ref="RKB1:RKL1"/>
    <mergeCell ref="RKM1:RKW1"/>
    <mergeCell ref="RKX1:RLH1"/>
    <mergeCell ref="RLI1:RLS1"/>
    <mergeCell ref="RLT1:RMD1"/>
    <mergeCell ref="RME1:RMO1"/>
    <mergeCell ref="RHN1:RHX1"/>
    <mergeCell ref="RHY1:RII1"/>
    <mergeCell ref="RIJ1:RIT1"/>
    <mergeCell ref="RIU1:RJE1"/>
    <mergeCell ref="RJF1:RJP1"/>
    <mergeCell ref="RJQ1:RKA1"/>
    <mergeCell ref="REZ1:RFJ1"/>
    <mergeCell ref="RFK1:RFU1"/>
    <mergeCell ref="RFV1:RGF1"/>
    <mergeCell ref="RGG1:RGQ1"/>
    <mergeCell ref="RGR1:RHB1"/>
    <mergeCell ref="RHC1:RHM1"/>
    <mergeCell ref="RCL1:RCV1"/>
    <mergeCell ref="RCW1:RDG1"/>
    <mergeCell ref="RDH1:RDR1"/>
    <mergeCell ref="RDS1:REC1"/>
    <mergeCell ref="RED1:REN1"/>
    <mergeCell ref="REO1:REY1"/>
    <mergeCell ref="QZX1:RAH1"/>
    <mergeCell ref="RAI1:RAS1"/>
    <mergeCell ref="RAT1:RBD1"/>
    <mergeCell ref="RBE1:RBO1"/>
    <mergeCell ref="RBP1:RBZ1"/>
    <mergeCell ref="RCA1:RCK1"/>
    <mergeCell ref="QXJ1:QXT1"/>
    <mergeCell ref="QXU1:QYE1"/>
    <mergeCell ref="QYF1:QYP1"/>
    <mergeCell ref="QYQ1:QZA1"/>
    <mergeCell ref="QZB1:QZL1"/>
    <mergeCell ref="QZM1:QZW1"/>
    <mergeCell ref="QUV1:QVF1"/>
    <mergeCell ref="QVG1:QVQ1"/>
    <mergeCell ref="QVR1:QWB1"/>
    <mergeCell ref="QWC1:QWM1"/>
    <mergeCell ref="QWN1:QWX1"/>
    <mergeCell ref="QWY1:QXI1"/>
    <mergeCell ref="QSH1:QSR1"/>
    <mergeCell ref="QSS1:QTC1"/>
    <mergeCell ref="QTD1:QTN1"/>
    <mergeCell ref="QTO1:QTY1"/>
    <mergeCell ref="QTZ1:QUJ1"/>
    <mergeCell ref="QUK1:QUU1"/>
    <mergeCell ref="QPT1:QQD1"/>
    <mergeCell ref="QQE1:QQO1"/>
    <mergeCell ref="QQP1:QQZ1"/>
    <mergeCell ref="QRA1:QRK1"/>
    <mergeCell ref="QRL1:QRV1"/>
    <mergeCell ref="QRW1:QSG1"/>
    <mergeCell ref="QNF1:QNP1"/>
    <mergeCell ref="QNQ1:QOA1"/>
    <mergeCell ref="QOB1:QOL1"/>
    <mergeCell ref="QOM1:QOW1"/>
    <mergeCell ref="QOX1:QPH1"/>
    <mergeCell ref="QPI1:QPS1"/>
    <mergeCell ref="QKR1:QLB1"/>
    <mergeCell ref="QLC1:QLM1"/>
    <mergeCell ref="QLN1:QLX1"/>
    <mergeCell ref="QLY1:QMI1"/>
    <mergeCell ref="QMJ1:QMT1"/>
    <mergeCell ref="QMU1:QNE1"/>
    <mergeCell ref="QID1:QIN1"/>
    <mergeCell ref="QIO1:QIY1"/>
    <mergeCell ref="QIZ1:QJJ1"/>
    <mergeCell ref="QJK1:QJU1"/>
    <mergeCell ref="QJV1:QKF1"/>
    <mergeCell ref="QKG1:QKQ1"/>
    <mergeCell ref="QFP1:QFZ1"/>
    <mergeCell ref="QGA1:QGK1"/>
    <mergeCell ref="QGL1:QGV1"/>
    <mergeCell ref="QGW1:QHG1"/>
    <mergeCell ref="QHH1:QHR1"/>
    <mergeCell ref="QHS1:QIC1"/>
    <mergeCell ref="QDB1:QDL1"/>
    <mergeCell ref="QDM1:QDW1"/>
    <mergeCell ref="QDX1:QEH1"/>
    <mergeCell ref="QEI1:QES1"/>
    <mergeCell ref="QET1:QFD1"/>
    <mergeCell ref="QFE1:QFO1"/>
    <mergeCell ref="QAN1:QAX1"/>
    <mergeCell ref="QAY1:QBI1"/>
    <mergeCell ref="QBJ1:QBT1"/>
    <mergeCell ref="QBU1:QCE1"/>
    <mergeCell ref="QCF1:QCP1"/>
    <mergeCell ref="QCQ1:QDA1"/>
    <mergeCell ref="PXZ1:PYJ1"/>
    <mergeCell ref="PYK1:PYU1"/>
    <mergeCell ref="PYV1:PZF1"/>
    <mergeCell ref="PZG1:PZQ1"/>
    <mergeCell ref="PZR1:QAB1"/>
    <mergeCell ref="QAC1:QAM1"/>
    <mergeCell ref="PVL1:PVV1"/>
    <mergeCell ref="PVW1:PWG1"/>
    <mergeCell ref="PWH1:PWR1"/>
    <mergeCell ref="PWS1:PXC1"/>
    <mergeCell ref="PXD1:PXN1"/>
    <mergeCell ref="PXO1:PXY1"/>
    <mergeCell ref="PSX1:PTH1"/>
    <mergeCell ref="PTI1:PTS1"/>
    <mergeCell ref="PTT1:PUD1"/>
    <mergeCell ref="PUE1:PUO1"/>
    <mergeCell ref="PUP1:PUZ1"/>
    <mergeCell ref="PVA1:PVK1"/>
    <mergeCell ref="PQJ1:PQT1"/>
    <mergeCell ref="PQU1:PRE1"/>
    <mergeCell ref="PRF1:PRP1"/>
    <mergeCell ref="PRQ1:PSA1"/>
    <mergeCell ref="PSB1:PSL1"/>
    <mergeCell ref="PSM1:PSW1"/>
    <mergeCell ref="PNV1:POF1"/>
    <mergeCell ref="POG1:POQ1"/>
    <mergeCell ref="POR1:PPB1"/>
    <mergeCell ref="PPC1:PPM1"/>
    <mergeCell ref="PPN1:PPX1"/>
    <mergeCell ref="PPY1:PQI1"/>
    <mergeCell ref="PLH1:PLR1"/>
    <mergeCell ref="PLS1:PMC1"/>
    <mergeCell ref="PMD1:PMN1"/>
    <mergeCell ref="PMO1:PMY1"/>
    <mergeCell ref="PMZ1:PNJ1"/>
    <mergeCell ref="PNK1:PNU1"/>
    <mergeCell ref="PIT1:PJD1"/>
    <mergeCell ref="PJE1:PJO1"/>
    <mergeCell ref="PJP1:PJZ1"/>
    <mergeCell ref="PKA1:PKK1"/>
    <mergeCell ref="PKL1:PKV1"/>
    <mergeCell ref="PKW1:PLG1"/>
    <mergeCell ref="PGF1:PGP1"/>
    <mergeCell ref="PGQ1:PHA1"/>
    <mergeCell ref="PHB1:PHL1"/>
    <mergeCell ref="PHM1:PHW1"/>
    <mergeCell ref="PHX1:PIH1"/>
    <mergeCell ref="PII1:PIS1"/>
    <mergeCell ref="PDR1:PEB1"/>
    <mergeCell ref="PEC1:PEM1"/>
    <mergeCell ref="PEN1:PEX1"/>
    <mergeCell ref="PEY1:PFI1"/>
    <mergeCell ref="PFJ1:PFT1"/>
    <mergeCell ref="PFU1:PGE1"/>
    <mergeCell ref="PBD1:PBN1"/>
    <mergeCell ref="PBO1:PBY1"/>
    <mergeCell ref="PBZ1:PCJ1"/>
    <mergeCell ref="PCK1:PCU1"/>
    <mergeCell ref="PCV1:PDF1"/>
    <mergeCell ref="PDG1:PDQ1"/>
    <mergeCell ref="OYP1:OYZ1"/>
    <mergeCell ref="OZA1:OZK1"/>
    <mergeCell ref="OZL1:OZV1"/>
    <mergeCell ref="OZW1:PAG1"/>
    <mergeCell ref="PAH1:PAR1"/>
    <mergeCell ref="PAS1:PBC1"/>
    <mergeCell ref="OWB1:OWL1"/>
    <mergeCell ref="OWM1:OWW1"/>
    <mergeCell ref="OWX1:OXH1"/>
    <mergeCell ref="OXI1:OXS1"/>
    <mergeCell ref="OXT1:OYD1"/>
    <mergeCell ref="OYE1:OYO1"/>
    <mergeCell ref="OTN1:OTX1"/>
    <mergeCell ref="OTY1:OUI1"/>
    <mergeCell ref="OUJ1:OUT1"/>
    <mergeCell ref="OUU1:OVE1"/>
    <mergeCell ref="OVF1:OVP1"/>
    <mergeCell ref="OVQ1:OWA1"/>
    <mergeCell ref="OQZ1:ORJ1"/>
    <mergeCell ref="ORK1:ORU1"/>
    <mergeCell ref="ORV1:OSF1"/>
    <mergeCell ref="OSG1:OSQ1"/>
    <mergeCell ref="OSR1:OTB1"/>
    <mergeCell ref="OTC1:OTM1"/>
    <mergeCell ref="OOL1:OOV1"/>
    <mergeCell ref="OOW1:OPG1"/>
    <mergeCell ref="OPH1:OPR1"/>
    <mergeCell ref="OPS1:OQC1"/>
    <mergeCell ref="OQD1:OQN1"/>
    <mergeCell ref="OQO1:OQY1"/>
    <mergeCell ref="OLX1:OMH1"/>
    <mergeCell ref="OMI1:OMS1"/>
    <mergeCell ref="OMT1:OND1"/>
    <mergeCell ref="ONE1:ONO1"/>
    <mergeCell ref="ONP1:ONZ1"/>
    <mergeCell ref="OOA1:OOK1"/>
    <mergeCell ref="OJJ1:OJT1"/>
    <mergeCell ref="OJU1:OKE1"/>
    <mergeCell ref="OKF1:OKP1"/>
    <mergeCell ref="OKQ1:OLA1"/>
    <mergeCell ref="OLB1:OLL1"/>
    <mergeCell ref="OLM1:OLW1"/>
    <mergeCell ref="OGV1:OHF1"/>
    <mergeCell ref="OHG1:OHQ1"/>
    <mergeCell ref="OHR1:OIB1"/>
    <mergeCell ref="OIC1:OIM1"/>
    <mergeCell ref="OIN1:OIX1"/>
    <mergeCell ref="OIY1:OJI1"/>
    <mergeCell ref="OEH1:OER1"/>
    <mergeCell ref="OES1:OFC1"/>
    <mergeCell ref="OFD1:OFN1"/>
    <mergeCell ref="OFO1:OFY1"/>
    <mergeCell ref="OFZ1:OGJ1"/>
    <mergeCell ref="OGK1:OGU1"/>
    <mergeCell ref="OBT1:OCD1"/>
    <mergeCell ref="OCE1:OCO1"/>
    <mergeCell ref="OCP1:OCZ1"/>
    <mergeCell ref="ODA1:ODK1"/>
    <mergeCell ref="ODL1:ODV1"/>
    <mergeCell ref="ODW1:OEG1"/>
    <mergeCell ref="NZF1:NZP1"/>
    <mergeCell ref="NZQ1:OAA1"/>
    <mergeCell ref="OAB1:OAL1"/>
    <mergeCell ref="OAM1:OAW1"/>
    <mergeCell ref="OAX1:OBH1"/>
    <mergeCell ref="OBI1:OBS1"/>
    <mergeCell ref="NWR1:NXB1"/>
    <mergeCell ref="NXC1:NXM1"/>
    <mergeCell ref="NXN1:NXX1"/>
    <mergeCell ref="NXY1:NYI1"/>
    <mergeCell ref="NYJ1:NYT1"/>
    <mergeCell ref="NYU1:NZE1"/>
    <mergeCell ref="NUD1:NUN1"/>
    <mergeCell ref="NUO1:NUY1"/>
    <mergeCell ref="NUZ1:NVJ1"/>
    <mergeCell ref="NVK1:NVU1"/>
    <mergeCell ref="NVV1:NWF1"/>
    <mergeCell ref="NWG1:NWQ1"/>
    <mergeCell ref="NRP1:NRZ1"/>
    <mergeCell ref="NSA1:NSK1"/>
    <mergeCell ref="NSL1:NSV1"/>
    <mergeCell ref="NSW1:NTG1"/>
    <mergeCell ref="NTH1:NTR1"/>
    <mergeCell ref="NTS1:NUC1"/>
    <mergeCell ref="NPB1:NPL1"/>
    <mergeCell ref="NPM1:NPW1"/>
    <mergeCell ref="NPX1:NQH1"/>
    <mergeCell ref="NQI1:NQS1"/>
    <mergeCell ref="NQT1:NRD1"/>
    <mergeCell ref="NRE1:NRO1"/>
    <mergeCell ref="NMN1:NMX1"/>
    <mergeCell ref="NMY1:NNI1"/>
    <mergeCell ref="NNJ1:NNT1"/>
    <mergeCell ref="NNU1:NOE1"/>
    <mergeCell ref="NOF1:NOP1"/>
    <mergeCell ref="NOQ1:NPA1"/>
    <mergeCell ref="NJZ1:NKJ1"/>
    <mergeCell ref="NKK1:NKU1"/>
    <mergeCell ref="NKV1:NLF1"/>
    <mergeCell ref="NLG1:NLQ1"/>
    <mergeCell ref="NLR1:NMB1"/>
    <mergeCell ref="NMC1:NMM1"/>
    <mergeCell ref="NHL1:NHV1"/>
    <mergeCell ref="NHW1:NIG1"/>
    <mergeCell ref="NIH1:NIR1"/>
    <mergeCell ref="NIS1:NJC1"/>
    <mergeCell ref="NJD1:NJN1"/>
    <mergeCell ref="NJO1:NJY1"/>
    <mergeCell ref="NEX1:NFH1"/>
    <mergeCell ref="NFI1:NFS1"/>
    <mergeCell ref="NFT1:NGD1"/>
    <mergeCell ref="NGE1:NGO1"/>
    <mergeCell ref="NGP1:NGZ1"/>
    <mergeCell ref="NHA1:NHK1"/>
    <mergeCell ref="NCJ1:NCT1"/>
    <mergeCell ref="NCU1:NDE1"/>
    <mergeCell ref="NDF1:NDP1"/>
    <mergeCell ref="NDQ1:NEA1"/>
    <mergeCell ref="NEB1:NEL1"/>
    <mergeCell ref="NEM1:NEW1"/>
    <mergeCell ref="MZV1:NAF1"/>
    <mergeCell ref="NAG1:NAQ1"/>
    <mergeCell ref="NAR1:NBB1"/>
    <mergeCell ref="NBC1:NBM1"/>
    <mergeCell ref="NBN1:NBX1"/>
    <mergeCell ref="NBY1:NCI1"/>
    <mergeCell ref="MXH1:MXR1"/>
    <mergeCell ref="MXS1:MYC1"/>
    <mergeCell ref="MYD1:MYN1"/>
    <mergeCell ref="MYO1:MYY1"/>
    <mergeCell ref="MYZ1:MZJ1"/>
    <mergeCell ref="MZK1:MZU1"/>
    <mergeCell ref="MUT1:MVD1"/>
    <mergeCell ref="MVE1:MVO1"/>
    <mergeCell ref="MVP1:MVZ1"/>
    <mergeCell ref="MWA1:MWK1"/>
    <mergeCell ref="MWL1:MWV1"/>
    <mergeCell ref="MWW1:MXG1"/>
    <mergeCell ref="MSF1:MSP1"/>
    <mergeCell ref="MSQ1:MTA1"/>
    <mergeCell ref="MTB1:MTL1"/>
    <mergeCell ref="MTM1:MTW1"/>
    <mergeCell ref="MTX1:MUH1"/>
    <mergeCell ref="MUI1:MUS1"/>
    <mergeCell ref="MPR1:MQB1"/>
    <mergeCell ref="MQC1:MQM1"/>
    <mergeCell ref="MQN1:MQX1"/>
    <mergeCell ref="MQY1:MRI1"/>
    <mergeCell ref="MRJ1:MRT1"/>
    <mergeCell ref="MRU1:MSE1"/>
    <mergeCell ref="MND1:MNN1"/>
    <mergeCell ref="MNO1:MNY1"/>
    <mergeCell ref="MNZ1:MOJ1"/>
    <mergeCell ref="MOK1:MOU1"/>
    <mergeCell ref="MOV1:MPF1"/>
    <mergeCell ref="MPG1:MPQ1"/>
    <mergeCell ref="MKP1:MKZ1"/>
    <mergeCell ref="MLA1:MLK1"/>
    <mergeCell ref="MLL1:MLV1"/>
    <mergeCell ref="MLW1:MMG1"/>
    <mergeCell ref="MMH1:MMR1"/>
    <mergeCell ref="MMS1:MNC1"/>
    <mergeCell ref="MIB1:MIL1"/>
    <mergeCell ref="MIM1:MIW1"/>
    <mergeCell ref="MIX1:MJH1"/>
    <mergeCell ref="MJI1:MJS1"/>
    <mergeCell ref="MJT1:MKD1"/>
    <mergeCell ref="MKE1:MKO1"/>
    <mergeCell ref="MFN1:MFX1"/>
    <mergeCell ref="MFY1:MGI1"/>
    <mergeCell ref="MGJ1:MGT1"/>
    <mergeCell ref="MGU1:MHE1"/>
    <mergeCell ref="MHF1:MHP1"/>
    <mergeCell ref="MHQ1:MIA1"/>
    <mergeCell ref="MCZ1:MDJ1"/>
    <mergeCell ref="MDK1:MDU1"/>
    <mergeCell ref="MDV1:MEF1"/>
    <mergeCell ref="MEG1:MEQ1"/>
    <mergeCell ref="MER1:MFB1"/>
    <mergeCell ref="MFC1:MFM1"/>
    <mergeCell ref="MAL1:MAV1"/>
    <mergeCell ref="MAW1:MBG1"/>
    <mergeCell ref="MBH1:MBR1"/>
    <mergeCell ref="MBS1:MCC1"/>
    <mergeCell ref="MCD1:MCN1"/>
    <mergeCell ref="MCO1:MCY1"/>
    <mergeCell ref="LXX1:LYH1"/>
    <mergeCell ref="LYI1:LYS1"/>
    <mergeCell ref="LYT1:LZD1"/>
    <mergeCell ref="LZE1:LZO1"/>
    <mergeCell ref="LZP1:LZZ1"/>
    <mergeCell ref="MAA1:MAK1"/>
    <mergeCell ref="LVJ1:LVT1"/>
    <mergeCell ref="LVU1:LWE1"/>
    <mergeCell ref="LWF1:LWP1"/>
    <mergeCell ref="LWQ1:LXA1"/>
    <mergeCell ref="LXB1:LXL1"/>
    <mergeCell ref="LXM1:LXW1"/>
    <mergeCell ref="LSV1:LTF1"/>
    <mergeCell ref="LTG1:LTQ1"/>
    <mergeCell ref="LTR1:LUB1"/>
    <mergeCell ref="LUC1:LUM1"/>
    <mergeCell ref="LUN1:LUX1"/>
    <mergeCell ref="LUY1:LVI1"/>
    <mergeCell ref="LQH1:LQR1"/>
    <mergeCell ref="LQS1:LRC1"/>
    <mergeCell ref="LRD1:LRN1"/>
    <mergeCell ref="LRO1:LRY1"/>
    <mergeCell ref="LRZ1:LSJ1"/>
    <mergeCell ref="LSK1:LSU1"/>
    <mergeCell ref="LNT1:LOD1"/>
    <mergeCell ref="LOE1:LOO1"/>
    <mergeCell ref="LOP1:LOZ1"/>
    <mergeCell ref="LPA1:LPK1"/>
    <mergeCell ref="LPL1:LPV1"/>
    <mergeCell ref="LPW1:LQG1"/>
    <mergeCell ref="LLF1:LLP1"/>
    <mergeCell ref="LLQ1:LMA1"/>
    <mergeCell ref="LMB1:LML1"/>
    <mergeCell ref="LMM1:LMW1"/>
    <mergeCell ref="LMX1:LNH1"/>
    <mergeCell ref="LNI1:LNS1"/>
    <mergeCell ref="LIR1:LJB1"/>
    <mergeCell ref="LJC1:LJM1"/>
    <mergeCell ref="LJN1:LJX1"/>
    <mergeCell ref="LJY1:LKI1"/>
    <mergeCell ref="LKJ1:LKT1"/>
    <mergeCell ref="LKU1:LLE1"/>
    <mergeCell ref="LGD1:LGN1"/>
    <mergeCell ref="LGO1:LGY1"/>
    <mergeCell ref="LGZ1:LHJ1"/>
    <mergeCell ref="LHK1:LHU1"/>
    <mergeCell ref="LHV1:LIF1"/>
    <mergeCell ref="LIG1:LIQ1"/>
    <mergeCell ref="LDP1:LDZ1"/>
    <mergeCell ref="LEA1:LEK1"/>
    <mergeCell ref="LEL1:LEV1"/>
    <mergeCell ref="LEW1:LFG1"/>
    <mergeCell ref="LFH1:LFR1"/>
    <mergeCell ref="LFS1:LGC1"/>
    <mergeCell ref="LBB1:LBL1"/>
    <mergeCell ref="LBM1:LBW1"/>
    <mergeCell ref="LBX1:LCH1"/>
    <mergeCell ref="LCI1:LCS1"/>
    <mergeCell ref="LCT1:LDD1"/>
    <mergeCell ref="LDE1:LDO1"/>
    <mergeCell ref="KYN1:KYX1"/>
    <mergeCell ref="KYY1:KZI1"/>
    <mergeCell ref="KZJ1:KZT1"/>
    <mergeCell ref="KZU1:LAE1"/>
    <mergeCell ref="LAF1:LAP1"/>
    <mergeCell ref="LAQ1:LBA1"/>
    <mergeCell ref="KVZ1:KWJ1"/>
    <mergeCell ref="KWK1:KWU1"/>
    <mergeCell ref="KWV1:KXF1"/>
    <mergeCell ref="KXG1:KXQ1"/>
    <mergeCell ref="KXR1:KYB1"/>
    <mergeCell ref="KYC1:KYM1"/>
    <mergeCell ref="KTL1:KTV1"/>
    <mergeCell ref="KTW1:KUG1"/>
    <mergeCell ref="KUH1:KUR1"/>
    <mergeCell ref="KUS1:KVC1"/>
    <mergeCell ref="KVD1:KVN1"/>
    <mergeCell ref="KVO1:KVY1"/>
    <mergeCell ref="KQX1:KRH1"/>
    <mergeCell ref="KRI1:KRS1"/>
    <mergeCell ref="KRT1:KSD1"/>
    <mergeCell ref="KSE1:KSO1"/>
    <mergeCell ref="KSP1:KSZ1"/>
    <mergeCell ref="KTA1:KTK1"/>
    <mergeCell ref="KOJ1:KOT1"/>
    <mergeCell ref="KOU1:KPE1"/>
    <mergeCell ref="KPF1:KPP1"/>
    <mergeCell ref="KPQ1:KQA1"/>
    <mergeCell ref="KQB1:KQL1"/>
    <mergeCell ref="KQM1:KQW1"/>
    <mergeCell ref="KLV1:KMF1"/>
    <mergeCell ref="KMG1:KMQ1"/>
    <mergeCell ref="KMR1:KNB1"/>
    <mergeCell ref="KNC1:KNM1"/>
    <mergeCell ref="KNN1:KNX1"/>
    <mergeCell ref="KNY1:KOI1"/>
    <mergeCell ref="KJH1:KJR1"/>
    <mergeCell ref="KJS1:KKC1"/>
    <mergeCell ref="KKD1:KKN1"/>
    <mergeCell ref="KKO1:KKY1"/>
    <mergeCell ref="KKZ1:KLJ1"/>
    <mergeCell ref="KLK1:KLU1"/>
    <mergeCell ref="KGT1:KHD1"/>
    <mergeCell ref="KHE1:KHO1"/>
    <mergeCell ref="KHP1:KHZ1"/>
    <mergeCell ref="KIA1:KIK1"/>
    <mergeCell ref="KIL1:KIV1"/>
    <mergeCell ref="KIW1:KJG1"/>
    <mergeCell ref="KEF1:KEP1"/>
    <mergeCell ref="KEQ1:KFA1"/>
    <mergeCell ref="KFB1:KFL1"/>
    <mergeCell ref="KFM1:KFW1"/>
    <mergeCell ref="KFX1:KGH1"/>
    <mergeCell ref="KGI1:KGS1"/>
    <mergeCell ref="KBR1:KCB1"/>
    <mergeCell ref="KCC1:KCM1"/>
    <mergeCell ref="KCN1:KCX1"/>
    <mergeCell ref="KCY1:KDI1"/>
    <mergeCell ref="KDJ1:KDT1"/>
    <mergeCell ref="KDU1:KEE1"/>
    <mergeCell ref="JZD1:JZN1"/>
    <mergeCell ref="JZO1:JZY1"/>
    <mergeCell ref="JZZ1:KAJ1"/>
    <mergeCell ref="KAK1:KAU1"/>
    <mergeCell ref="KAV1:KBF1"/>
    <mergeCell ref="KBG1:KBQ1"/>
    <mergeCell ref="JWP1:JWZ1"/>
    <mergeCell ref="JXA1:JXK1"/>
    <mergeCell ref="JXL1:JXV1"/>
    <mergeCell ref="JXW1:JYG1"/>
    <mergeCell ref="JYH1:JYR1"/>
    <mergeCell ref="JYS1:JZC1"/>
    <mergeCell ref="JUB1:JUL1"/>
    <mergeCell ref="JUM1:JUW1"/>
    <mergeCell ref="JUX1:JVH1"/>
    <mergeCell ref="JVI1:JVS1"/>
    <mergeCell ref="JVT1:JWD1"/>
    <mergeCell ref="JWE1:JWO1"/>
    <mergeCell ref="JRN1:JRX1"/>
    <mergeCell ref="JRY1:JSI1"/>
    <mergeCell ref="JSJ1:JST1"/>
    <mergeCell ref="JSU1:JTE1"/>
    <mergeCell ref="JTF1:JTP1"/>
    <mergeCell ref="JTQ1:JUA1"/>
    <mergeCell ref="JOZ1:JPJ1"/>
    <mergeCell ref="JPK1:JPU1"/>
    <mergeCell ref="JPV1:JQF1"/>
    <mergeCell ref="JQG1:JQQ1"/>
    <mergeCell ref="JQR1:JRB1"/>
    <mergeCell ref="JRC1:JRM1"/>
    <mergeCell ref="JML1:JMV1"/>
    <mergeCell ref="JMW1:JNG1"/>
    <mergeCell ref="JNH1:JNR1"/>
    <mergeCell ref="JNS1:JOC1"/>
    <mergeCell ref="JOD1:JON1"/>
    <mergeCell ref="JOO1:JOY1"/>
    <mergeCell ref="JJX1:JKH1"/>
    <mergeCell ref="JKI1:JKS1"/>
    <mergeCell ref="JKT1:JLD1"/>
    <mergeCell ref="JLE1:JLO1"/>
    <mergeCell ref="JLP1:JLZ1"/>
    <mergeCell ref="JMA1:JMK1"/>
    <mergeCell ref="JHJ1:JHT1"/>
    <mergeCell ref="JHU1:JIE1"/>
    <mergeCell ref="JIF1:JIP1"/>
    <mergeCell ref="JIQ1:JJA1"/>
    <mergeCell ref="JJB1:JJL1"/>
    <mergeCell ref="JJM1:JJW1"/>
    <mergeCell ref="JEV1:JFF1"/>
    <mergeCell ref="JFG1:JFQ1"/>
    <mergeCell ref="JFR1:JGB1"/>
    <mergeCell ref="JGC1:JGM1"/>
    <mergeCell ref="JGN1:JGX1"/>
    <mergeCell ref="JGY1:JHI1"/>
    <mergeCell ref="JCH1:JCR1"/>
    <mergeCell ref="JCS1:JDC1"/>
    <mergeCell ref="JDD1:JDN1"/>
    <mergeCell ref="JDO1:JDY1"/>
    <mergeCell ref="JDZ1:JEJ1"/>
    <mergeCell ref="JEK1:JEU1"/>
    <mergeCell ref="IZT1:JAD1"/>
    <mergeCell ref="JAE1:JAO1"/>
    <mergeCell ref="JAP1:JAZ1"/>
    <mergeCell ref="JBA1:JBK1"/>
    <mergeCell ref="JBL1:JBV1"/>
    <mergeCell ref="JBW1:JCG1"/>
    <mergeCell ref="IXF1:IXP1"/>
    <mergeCell ref="IXQ1:IYA1"/>
    <mergeCell ref="IYB1:IYL1"/>
    <mergeCell ref="IYM1:IYW1"/>
    <mergeCell ref="IYX1:IZH1"/>
    <mergeCell ref="IZI1:IZS1"/>
    <mergeCell ref="IUR1:IVB1"/>
    <mergeCell ref="IVC1:IVM1"/>
    <mergeCell ref="IVN1:IVX1"/>
    <mergeCell ref="IVY1:IWI1"/>
    <mergeCell ref="IWJ1:IWT1"/>
    <mergeCell ref="IWU1:IXE1"/>
    <mergeCell ref="ISD1:ISN1"/>
    <mergeCell ref="ISO1:ISY1"/>
    <mergeCell ref="ISZ1:ITJ1"/>
    <mergeCell ref="ITK1:ITU1"/>
    <mergeCell ref="ITV1:IUF1"/>
    <mergeCell ref="IUG1:IUQ1"/>
    <mergeCell ref="IPP1:IPZ1"/>
    <mergeCell ref="IQA1:IQK1"/>
    <mergeCell ref="IQL1:IQV1"/>
    <mergeCell ref="IQW1:IRG1"/>
    <mergeCell ref="IRH1:IRR1"/>
    <mergeCell ref="IRS1:ISC1"/>
    <mergeCell ref="INB1:INL1"/>
    <mergeCell ref="INM1:INW1"/>
    <mergeCell ref="INX1:IOH1"/>
    <mergeCell ref="IOI1:IOS1"/>
    <mergeCell ref="IOT1:IPD1"/>
    <mergeCell ref="IPE1:IPO1"/>
    <mergeCell ref="IKN1:IKX1"/>
    <mergeCell ref="IKY1:ILI1"/>
    <mergeCell ref="ILJ1:ILT1"/>
    <mergeCell ref="ILU1:IME1"/>
    <mergeCell ref="IMF1:IMP1"/>
    <mergeCell ref="IMQ1:INA1"/>
    <mergeCell ref="IHZ1:IIJ1"/>
    <mergeCell ref="IIK1:IIU1"/>
    <mergeCell ref="IIV1:IJF1"/>
    <mergeCell ref="IJG1:IJQ1"/>
    <mergeCell ref="IJR1:IKB1"/>
    <mergeCell ref="IKC1:IKM1"/>
    <mergeCell ref="IFL1:IFV1"/>
    <mergeCell ref="IFW1:IGG1"/>
    <mergeCell ref="IGH1:IGR1"/>
    <mergeCell ref="IGS1:IHC1"/>
    <mergeCell ref="IHD1:IHN1"/>
    <mergeCell ref="IHO1:IHY1"/>
    <mergeCell ref="ICX1:IDH1"/>
    <mergeCell ref="IDI1:IDS1"/>
    <mergeCell ref="IDT1:IED1"/>
    <mergeCell ref="IEE1:IEO1"/>
    <mergeCell ref="IEP1:IEZ1"/>
    <mergeCell ref="IFA1:IFK1"/>
    <mergeCell ref="IAJ1:IAT1"/>
    <mergeCell ref="IAU1:IBE1"/>
    <mergeCell ref="IBF1:IBP1"/>
    <mergeCell ref="IBQ1:ICA1"/>
    <mergeCell ref="ICB1:ICL1"/>
    <mergeCell ref="ICM1:ICW1"/>
    <mergeCell ref="HXV1:HYF1"/>
    <mergeCell ref="HYG1:HYQ1"/>
    <mergeCell ref="HYR1:HZB1"/>
    <mergeCell ref="HZC1:HZM1"/>
    <mergeCell ref="HZN1:HZX1"/>
    <mergeCell ref="HZY1:IAI1"/>
    <mergeCell ref="HVH1:HVR1"/>
    <mergeCell ref="HVS1:HWC1"/>
    <mergeCell ref="HWD1:HWN1"/>
    <mergeCell ref="HWO1:HWY1"/>
    <mergeCell ref="HWZ1:HXJ1"/>
    <mergeCell ref="HXK1:HXU1"/>
    <mergeCell ref="HST1:HTD1"/>
    <mergeCell ref="HTE1:HTO1"/>
    <mergeCell ref="HTP1:HTZ1"/>
    <mergeCell ref="HUA1:HUK1"/>
    <mergeCell ref="HUL1:HUV1"/>
    <mergeCell ref="HUW1:HVG1"/>
    <mergeCell ref="HQF1:HQP1"/>
    <mergeCell ref="HQQ1:HRA1"/>
    <mergeCell ref="HRB1:HRL1"/>
    <mergeCell ref="HRM1:HRW1"/>
    <mergeCell ref="HRX1:HSH1"/>
    <mergeCell ref="HSI1:HSS1"/>
    <mergeCell ref="HNR1:HOB1"/>
    <mergeCell ref="HOC1:HOM1"/>
    <mergeCell ref="HON1:HOX1"/>
    <mergeCell ref="HOY1:HPI1"/>
    <mergeCell ref="HPJ1:HPT1"/>
    <mergeCell ref="HPU1:HQE1"/>
    <mergeCell ref="HLD1:HLN1"/>
    <mergeCell ref="HLO1:HLY1"/>
    <mergeCell ref="HLZ1:HMJ1"/>
    <mergeCell ref="HMK1:HMU1"/>
    <mergeCell ref="HMV1:HNF1"/>
    <mergeCell ref="HNG1:HNQ1"/>
    <mergeCell ref="HIP1:HIZ1"/>
    <mergeCell ref="HJA1:HJK1"/>
    <mergeCell ref="HJL1:HJV1"/>
    <mergeCell ref="HJW1:HKG1"/>
    <mergeCell ref="HKH1:HKR1"/>
    <mergeCell ref="HKS1:HLC1"/>
    <mergeCell ref="HGB1:HGL1"/>
    <mergeCell ref="HGM1:HGW1"/>
    <mergeCell ref="HGX1:HHH1"/>
    <mergeCell ref="HHI1:HHS1"/>
    <mergeCell ref="HHT1:HID1"/>
    <mergeCell ref="HIE1:HIO1"/>
    <mergeCell ref="HDN1:HDX1"/>
    <mergeCell ref="HDY1:HEI1"/>
    <mergeCell ref="HEJ1:HET1"/>
    <mergeCell ref="HEU1:HFE1"/>
    <mergeCell ref="HFF1:HFP1"/>
    <mergeCell ref="HFQ1:HGA1"/>
    <mergeCell ref="HAZ1:HBJ1"/>
    <mergeCell ref="HBK1:HBU1"/>
    <mergeCell ref="HBV1:HCF1"/>
    <mergeCell ref="HCG1:HCQ1"/>
    <mergeCell ref="HCR1:HDB1"/>
    <mergeCell ref="HDC1:HDM1"/>
    <mergeCell ref="GYL1:GYV1"/>
    <mergeCell ref="GYW1:GZG1"/>
    <mergeCell ref="GZH1:GZR1"/>
    <mergeCell ref="GZS1:HAC1"/>
    <mergeCell ref="HAD1:HAN1"/>
    <mergeCell ref="HAO1:HAY1"/>
    <mergeCell ref="GVX1:GWH1"/>
    <mergeCell ref="GWI1:GWS1"/>
    <mergeCell ref="GWT1:GXD1"/>
    <mergeCell ref="GXE1:GXO1"/>
    <mergeCell ref="GXP1:GXZ1"/>
    <mergeCell ref="GYA1:GYK1"/>
    <mergeCell ref="GTJ1:GTT1"/>
    <mergeCell ref="GTU1:GUE1"/>
    <mergeCell ref="GUF1:GUP1"/>
    <mergeCell ref="GUQ1:GVA1"/>
    <mergeCell ref="GVB1:GVL1"/>
    <mergeCell ref="GVM1:GVW1"/>
    <mergeCell ref="GQV1:GRF1"/>
    <mergeCell ref="GRG1:GRQ1"/>
    <mergeCell ref="GRR1:GSB1"/>
    <mergeCell ref="GSC1:GSM1"/>
    <mergeCell ref="GSN1:GSX1"/>
    <mergeCell ref="GSY1:GTI1"/>
    <mergeCell ref="GOH1:GOR1"/>
    <mergeCell ref="GOS1:GPC1"/>
    <mergeCell ref="GPD1:GPN1"/>
    <mergeCell ref="GPO1:GPY1"/>
    <mergeCell ref="GPZ1:GQJ1"/>
    <mergeCell ref="GQK1:GQU1"/>
    <mergeCell ref="GLT1:GMD1"/>
    <mergeCell ref="GME1:GMO1"/>
    <mergeCell ref="GMP1:GMZ1"/>
    <mergeCell ref="GNA1:GNK1"/>
    <mergeCell ref="GNL1:GNV1"/>
    <mergeCell ref="GNW1:GOG1"/>
    <mergeCell ref="GJF1:GJP1"/>
    <mergeCell ref="GJQ1:GKA1"/>
    <mergeCell ref="GKB1:GKL1"/>
    <mergeCell ref="GKM1:GKW1"/>
    <mergeCell ref="GKX1:GLH1"/>
    <mergeCell ref="GLI1:GLS1"/>
    <mergeCell ref="GGR1:GHB1"/>
    <mergeCell ref="GHC1:GHM1"/>
    <mergeCell ref="GHN1:GHX1"/>
    <mergeCell ref="GHY1:GII1"/>
    <mergeCell ref="GIJ1:GIT1"/>
    <mergeCell ref="GIU1:GJE1"/>
    <mergeCell ref="GED1:GEN1"/>
    <mergeCell ref="GEO1:GEY1"/>
    <mergeCell ref="GEZ1:GFJ1"/>
    <mergeCell ref="GFK1:GFU1"/>
    <mergeCell ref="GFV1:GGF1"/>
    <mergeCell ref="GGG1:GGQ1"/>
    <mergeCell ref="GBP1:GBZ1"/>
    <mergeCell ref="GCA1:GCK1"/>
    <mergeCell ref="GCL1:GCV1"/>
    <mergeCell ref="GCW1:GDG1"/>
    <mergeCell ref="GDH1:GDR1"/>
    <mergeCell ref="GDS1:GEC1"/>
    <mergeCell ref="FZB1:FZL1"/>
    <mergeCell ref="FZM1:FZW1"/>
    <mergeCell ref="FZX1:GAH1"/>
    <mergeCell ref="GAI1:GAS1"/>
    <mergeCell ref="GAT1:GBD1"/>
    <mergeCell ref="GBE1:GBO1"/>
    <mergeCell ref="FWN1:FWX1"/>
    <mergeCell ref="FWY1:FXI1"/>
    <mergeCell ref="FXJ1:FXT1"/>
    <mergeCell ref="FXU1:FYE1"/>
    <mergeCell ref="FYF1:FYP1"/>
    <mergeCell ref="FYQ1:FZA1"/>
    <mergeCell ref="FTZ1:FUJ1"/>
    <mergeCell ref="FUK1:FUU1"/>
    <mergeCell ref="FUV1:FVF1"/>
    <mergeCell ref="FVG1:FVQ1"/>
    <mergeCell ref="FVR1:FWB1"/>
    <mergeCell ref="FWC1:FWM1"/>
    <mergeCell ref="FRL1:FRV1"/>
    <mergeCell ref="FRW1:FSG1"/>
    <mergeCell ref="FSH1:FSR1"/>
    <mergeCell ref="FSS1:FTC1"/>
    <mergeCell ref="FTD1:FTN1"/>
    <mergeCell ref="FTO1:FTY1"/>
    <mergeCell ref="FOX1:FPH1"/>
    <mergeCell ref="FPI1:FPS1"/>
    <mergeCell ref="FPT1:FQD1"/>
    <mergeCell ref="FQE1:FQO1"/>
    <mergeCell ref="FQP1:FQZ1"/>
    <mergeCell ref="FRA1:FRK1"/>
    <mergeCell ref="FMJ1:FMT1"/>
    <mergeCell ref="FMU1:FNE1"/>
    <mergeCell ref="FNF1:FNP1"/>
    <mergeCell ref="FNQ1:FOA1"/>
    <mergeCell ref="FOB1:FOL1"/>
    <mergeCell ref="FOM1:FOW1"/>
    <mergeCell ref="FJV1:FKF1"/>
    <mergeCell ref="FKG1:FKQ1"/>
    <mergeCell ref="FKR1:FLB1"/>
    <mergeCell ref="FLC1:FLM1"/>
    <mergeCell ref="FLN1:FLX1"/>
    <mergeCell ref="FLY1:FMI1"/>
    <mergeCell ref="FHH1:FHR1"/>
    <mergeCell ref="FHS1:FIC1"/>
    <mergeCell ref="FID1:FIN1"/>
    <mergeCell ref="FIO1:FIY1"/>
    <mergeCell ref="FIZ1:FJJ1"/>
    <mergeCell ref="FJK1:FJU1"/>
    <mergeCell ref="FET1:FFD1"/>
    <mergeCell ref="FFE1:FFO1"/>
    <mergeCell ref="FFP1:FFZ1"/>
    <mergeCell ref="FGA1:FGK1"/>
    <mergeCell ref="FGL1:FGV1"/>
    <mergeCell ref="FGW1:FHG1"/>
    <mergeCell ref="FCF1:FCP1"/>
    <mergeCell ref="FCQ1:FDA1"/>
    <mergeCell ref="FDB1:FDL1"/>
    <mergeCell ref="FDM1:FDW1"/>
    <mergeCell ref="FDX1:FEH1"/>
    <mergeCell ref="FEI1:FES1"/>
    <mergeCell ref="EZR1:FAB1"/>
    <mergeCell ref="FAC1:FAM1"/>
    <mergeCell ref="FAN1:FAX1"/>
    <mergeCell ref="FAY1:FBI1"/>
    <mergeCell ref="FBJ1:FBT1"/>
    <mergeCell ref="FBU1:FCE1"/>
    <mergeCell ref="EXD1:EXN1"/>
    <mergeCell ref="EXO1:EXY1"/>
    <mergeCell ref="EXZ1:EYJ1"/>
    <mergeCell ref="EYK1:EYU1"/>
    <mergeCell ref="EYV1:EZF1"/>
    <mergeCell ref="EZG1:EZQ1"/>
    <mergeCell ref="EUP1:EUZ1"/>
    <mergeCell ref="EVA1:EVK1"/>
    <mergeCell ref="EVL1:EVV1"/>
    <mergeCell ref="EVW1:EWG1"/>
    <mergeCell ref="EWH1:EWR1"/>
    <mergeCell ref="EWS1:EXC1"/>
    <mergeCell ref="ESB1:ESL1"/>
    <mergeCell ref="ESM1:ESW1"/>
    <mergeCell ref="ESX1:ETH1"/>
    <mergeCell ref="ETI1:ETS1"/>
    <mergeCell ref="ETT1:EUD1"/>
    <mergeCell ref="EUE1:EUO1"/>
    <mergeCell ref="EPN1:EPX1"/>
    <mergeCell ref="EPY1:EQI1"/>
    <mergeCell ref="EQJ1:EQT1"/>
    <mergeCell ref="EQU1:ERE1"/>
    <mergeCell ref="ERF1:ERP1"/>
    <mergeCell ref="ERQ1:ESA1"/>
    <mergeCell ref="EMZ1:ENJ1"/>
    <mergeCell ref="ENK1:ENU1"/>
    <mergeCell ref="ENV1:EOF1"/>
    <mergeCell ref="EOG1:EOQ1"/>
    <mergeCell ref="EOR1:EPB1"/>
    <mergeCell ref="EPC1:EPM1"/>
    <mergeCell ref="EKL1:EKV1"/>
    <mergeCell ref="EKW1:ELG1"/>
    <mergeCell ref="ELH1:ELR1"/>
    <mergeCell ref="ELS1:EMC1"/>
    <mergeCell ref="EMD1:EMN1"/>
    <mergeCell ref="EMO1:EMY1"/>
    <mergeCell ref="EHX1:EIH1"/>
    <mergeCell ref="EII1:EIS1"/>
    <mergeCell ref="EIT1:EJD1"/>
    <mergeCell ref="EJE1:EJO1"/>
    <mergeCell ref="EJP1:EJZ1"/>
    <mergeCell ref="EKA1:EKK1"/>
    <mergeCell ref="EFJ1:EFT1"/>
    <mergeCell ref="EFU1:EGE1"/>
    <mergeCell ref="EGF1:EGP1"/>
    <mergeCell ref="EGQ1:EHA1"/>
    <mergeCell ref="EHB1:EHL1"/>
    <mergeCell ref="EHM1:EHW1"/>
    <mergeCell ref="ECV1:EDF1"/>
    <mergeCell ref="EDG1:EDQ1"/>
    <mergeCell ref="EDR1:EEB1"/>
    <mergeCell ref="EEC1:EEM1"/>
    <mergeCell ref="EEN1:EEX1"/>
    <mergeCell ref="EEY1:EFI1"/>
    <mergeCell ref="EAH1:EAR1"/>
    <mergeCell ref="EAS1:EBC1"/>
    <mergeCell ref="EBD1:EBN1"/>
    <mergeCell ref="EBO1:EBY1"/>
    <mergeCell ref="EBZ1:ECJ1"/>
    <mergeCell ref="ECK1:ECU1"/>
    <mergeCell ref="DXT1:DYD1"/>
    <mergeCell ref="DYE1:DYO1"/>
    <mergeCell ref="DYP1:DYZ1"/>
    <mergeCell ref="DZA1:DZK1"/>
    <mergeCell ref="DZL1:DZV1"/>
    <mergeCell ref="DZW1:EAG1"/>
    <mergeCell ref="DVF1:DVP1"/>
    <mergeCell ref="DVQ1:DWA1"/>
    <mergeCell ref="DWB1:DWL1"/>
    <mergeCell ref="DWM1:DWW1"/>
    <mergeCell ref="DWX1:DXH1"/>
    <mergeCell ref="DXI1:DXS1"/>
    <mergeCell ref="DSR1:DTB1"/>
    <mergeCell ref="DTC1:DTM1"/>
    <mergeCell ref="DTN1:DTX1"/>
    <mergeCell ref="DTY1:DUI1"/>
    <mergeCell ref="DUJ1:DUT1"/>
    <mergeCell ref="DUU1:DVE1"/>
    <mergeCell ref="DQD1:DQN1"/>
    <mergeCell ref="DQO1:DQY1"/>
    <mergeCell ref="DQZ1:DRJ1"/>
    <mergeCell ref="DRK1:DRU1"/>
    <mergeCell ref="DRV1:DSF1"/>
    <mergeCell ref="DSG1:DSQ1"/>
    <mergeCell ref="DNP1:DNZ1"/>
    <mergeCell ref="DOA1:DOK1"/>
    <mergeCell ref="DOL1:DOV1"/>
    <mergeCell ref="DOW1:DPG1"/>
    <mergeCell ref="DPH1:DPR1"/>
    <mergeCell ref="DPS1:DQC1"/>
    <mergeCell ref="DLB1:DLL1"/>
    <mergeCell ref="DLM1:DLW1"/>
    <mergeCell ref="DLX1:DMH1"/>
    <mergeCell ref="DMI1:DMS1"/>
    <mergeCell ref="DMT1:DND1"/>
    <mergeCell ref="DNE1:DNO1"/>
    <mergeCell ref="DIN1:DIX1"/>
    <mergeCell ref="DIY1:DJI1"/>
    <mergeCell ref="DJJ1:DJT1"/>
    <mergeCell ref="DJU1:DKE1"/>
    <mergeCell ref="DKF1:DKP1"/>
    <mergeCell ref="DKQ1:DLA1"/>
    <mergeCell ref="DFZ1:DGJ1"/>
    <mergeCell ref="DGK1:DGU1"/>
    <mergeCell ref="DGV1:DHF1"/>
    <mergeCell ref="DHG1:DHQ1"/>
    <mergeCell ref="DHR1:DIB1"/>
    <mergeCell ref="DIC1:DIM1"/>
    <mergeCell ref="DDL1:DDV1"/>
    <mergeCell ref="DDW1:DEG1"/>
    <mergeCell ref="DEH1:DER1"/>
    <mergeCell ref="DES1:DFC1"/>
    <mergeCell ref="DFD1:DFN1"/>
    <mergeCell ref="DFO1:DFY1"/>
    <mergeCell ref="DAX1:DBH1"/>
    <mergeCell ref="DBI1:DBS1"/>
    <mergeCell ref="DBT1:DCD1"/>
    <mergeCell ref="DCE1:DCO1"/>
    <mergeCell ref="DCP1:DCZ1"/>
    <mergeCell ref="DDA1:DDK1"/>
    <mergeCell ref="CYJ1:CYT1"/>
    <mergeCell ref="CYU1:CZE1"/>
    <mergeCell ref="CZF1:CZP1"/>
    <mergeCell ref="CZQ1:DAA1"/>
    <mergeCell ref="DAB1:DAL1"/>
    <mergeCell ref="DAM1:DAW1"/>
    <mergeCell ref="CVV1:CWF1"/>
    <mergeCell ref="CWG1:CWQ1"/>
    <mergeCell ref="CWR1:CXB1"/>
    <mergeCell ref="CXC1:CXM1"/>
    <mergeCell ref="CXN1:CXX1"/>
    <mergeCell ref="CXY1:CYI1"/>
    <mergeCell ref="CTH1:CTR1"/>
    <mergeCell ref="CTS1:CUC1"/>
    <mergeCell ref="CUD1:CUN1"/>
    <mergeCell ref="CUO1:CUY1"/>
    <mergeCell ref="CUZ1:CVJ1"/>
    <mergeCell ref="CVK1:CVU1"/>
    <mergeCell ref="CQT1:CRD1"/>
    <mergeCell ref="CRE1:CRO1"/>
    <mergeCell ref="CRP1:CRZ1"/>
    <mergeCell ref="CSA1:CSK1"/>
    <mergeCell ref="CSL1:CSV1"/>
    <mergeCell ref="CSW1:CTG1"/>
    <mergeCell ref="COF1:COP1"/>
    <mergeCell ref="COQ1:CPA1"/>
    <mergeCell ref="CPB1:CPL1"/>
    <mergeCell ref="CPM1:CPW1"/>
    <mergeCell ref="CPX1:CQH1"/>
    <mergeCell ref="CQI1:CQS1"/>
    <mergeCell ref="CLR1:CMB1"/>
    <mergeCell ref="CMC1:CMM1"/>
    <mergeCell ref="CMN1:CMX1"/>
    <mergeCell ref="CMY1:CNI1"/>
    <mergeCell ref="CNJ1:CNT1"/>
    <mergeCell ref="CNU1:COE1"/>
    <mergeCell ref="CJD1:CJN1"/>
    <mergeCell ref="CJO1:CJY1"/>
    <mergeCell ref="CJZ1:CKJ1"/>
    <mergeCell ref="CKK1:CKU1"/>
    <mergeCell ref="CKV1:CLF1"/>
    <mergeCell ref="CLG1:CLQ1"/>
    <mergeCell ref="CGP1:CGZ1"/>
    <mergeCell ref="CHA1:CHK1"/>
    <mergeCell ref="CHL1:CHV1"/>
    <mergeCell ref="CHW1:CIG1"/>
    <mergeCell ref="CIH1:CIR1"/>
    <mergeCell ref="CIS1:CJC1"/>
    <mergeCell ref="CEB1:CEL1"/>
    <mergeCell ref="CEM1:CEW1"/>
    <mergeCell ref="CEX1:CFH1"/>
    <mergeCell ref="CFI1:CFS1"/>
    <mergeCell ref="CFT1:CGD1"/>
    <mergeCell ref="CGE1:CGO1"/>
    <mergeCell ref="CBN1:CBX1"/>
    <mergeCell ref="CBY1:CCI1"/>
    <mergeCell ref="CCJ1:CCT1"/>
    <mergeCell ref="CCU1:CDE1"/>
    <mergeCell ref="CDF1:CDP1"/>
    <mergeCell ref="CDQ1:CEA1"/>
    <mergeCell ref="BYZ1:BZJ1"/>
    <mergeCell ref="BZK1:BZU1"/>
    <mergeCell ref="BZV1:CAF1"/>
    <mergeCell ref="CAG1:CAQ1"/>
    <mergeCell ref="CAR1:CBB1"/>
    <mergeCell ref="CBC1:CBM1"/>
    <mergeCell ref="BWL1:BWV1"/>
    <mergeCell ref="BWW1:BXG1"/>
    <mergeCell ref="BXH1:BXR1"/>
    <mergeCell ref="BXS1:BYC1"/>
    <mergeCell ref="BYD1:BYN1"/>
    <mergeCell ref="BYO1:BYY1"/>
    <mergeCell ref="BTX1:BUH1"/>
    <mergeCell ref="BUI1:BUS1"/>
    <mergeCell ref="BUT1:BVD1"/>
    <mergeCell ref="BVE1:BVO1"/>
    <mergeCell ref="BVP1:BVZ1"/>
    <mergeCell ref="BWA1:BWK1"/>
    <mergeCell ref="BRJ1:BRT1"/>
    <mergeCell ref="BRU1:BSE1"/>
    <mergeCell ref="BSF1:BSP1"/>
    <mergeCell ref="BSQ1:BTA1"/>
    <mergeCell ref="BTB1:BTL1"/>
    <mergeCell ref="BTM1:BTW1"/>
    <mergeCell ref="BOV1:BPF1"/>
    <mergeCell ref="BPG1:BPQ1"/>
    <mergeCell ref="BPR1:BQB1"/>
    <mergeCell ref="BQC1:BQM1"/>
    <mergeCell ref="BQN1:BQX1"/>
    <mergeCell ref="BQY1:BRI1"/>
    <mergeCell ref="BMH1:BMR1"/>
    <mergeCell ref="BMS1:BNC1"/>
    <mergeCell ref="BND1:BNN1"/>
    <mergeCell ref="BNO1:BNY1"/>
    <mergeCell ref="BNZ1:BOJ1"/>
    <mergeCell ref="BOK1:BOU1"/>
    <mergeCell ref="BJT1:BKD1"/>
    <mergeCell ref="BKE1:BKO1"/>
    <mergeCell ref="BKP1:BKZ1"/>
    <mergeCell ref="BLA1:BLK1"/>
    <mergeCell ref="BLL1:BLV1"/>
    <mergeCell ref="BLW1:BMG1"/>
    <mergeCell ref="BHF1:BHP1"/>
    <mergeCell ref="BHQ1:BIA1"/>
    <mergeCell ref="BIB1:BIL1"/>
    <mergeCell ref="BIM1:BIW1"/>
    <mergeCell ref="BIX1:BJH1"/>
    <mergeCell ref="BJI1:BJS1"/>
    <mergeCell ref="BER1:BFB1"/>
    <mergeCell ref="BFC1:BFM1"/>
    <mergeCell ref="BFN1:BFX1"/>
    <mergeCell ref="BFY1:BGI1"/>
    <mergeCell ref="BGJ1:BGT1"/>
    <mergeCell ref="BGU1:BHE1"/>
    <mergeCell ref="BCD1:BCN1"/>
    <mergeCell ref="BCO1:BCY1"/>
    <mergeCell ref="BCZ1:BDJ1"/>
    <mergeCell ref="BDK1:BDU1"/>
    <mergeCell ref="BDV1:BEF1"/>
    <mergeCell ref="BEG1:BEQ1"/>
    <mergeCell ref="AZP1:AZZ1"/>
    <mergeCell ref="BAA1:BAK1"/>
    <mergeCell ref="BAL1:BAV1"/>
    <mergeCell ref="BAW1:BBG1"/>
    <mergeCell ref="BBH1:BBR1"/>
    <mergeCell ref="BBS1:BCC1"/>
    <mergeCell ref="AXB1:AXL1"/>
    <mergeCell ref="AXM1:AXW1"/>
    <mergeCell ref="AXX1:AYH1"/>
    <mergeCell ref="AYI1:AYS1"/>
    <mergeCell ref="AYT1:AZD1"/>
    <mergeCell ref="AZE1:AZO1"/>
    <mergeCell ref="AUN1:AUX1"/>
    <mergeCell ref="AUY1:AVI1"/>
    <mergeCell ref="AVJ1:AVT1"/>
    <mergeCell ref="AVU1:AWE1"/>
    <mergeCell ref="AWF1:AWP1"/>
    <mergeCell ref="AWQ1:AXA1"/>
    <mergeCell ref="ARZ1:ASJ1"/>
    <mergeCell ref="ASK1:ASU1"/>
    <mergeCell ref="ASV1:ATF1"/>
    <mergeCell ref="ATG1:ATQ1"/>
    <mergeCell ref="ATR1:AUB1"/>
    <mergeCell ref="AUC1:AUM1"/>
    <mergeCell ref="APL1:APV1"/>
    <mergeCell ref="APW1:AQG1"/>
    <mergeCell ref="AQH1:AQR1"/>
    <mergeCell ref="AQS1:ARC1"/>
    <mergeCell ref="ARD1:ARN1"/>
    <mergeCell ref="ARO1:ARY1"/>
    <mergeCell ref="AMX1:ANH1"/>
    <mergeCell ref="ANI1:ANS1"/>
    <mergeCell ref="ANT1:AOD1"/>
    <mergeCell ref="AOE1:AOO1"/>
    <mergeCell ref="AOP1:AOZ1"/>
    <mergeCell ref="APA1:APK1"/>
    <mergeCell ref="AKJ1:AKT1"/>
    <mergeCell ref="AKU1:ALE1"/>
    <mergeCell ref="ALF1:ALP1"/>
    <mergeCell ref="ALQ1:AMA1"/>
    <mergeCell ref="AMB1:AML1"/>
    <mergeCell ref="AMM1:AMW1"/>
    <mergeCell ref="AHV1:AIF1"/>
    <mergeCell ref="AIG1:AIQ1"/>
    <mergeCell ref="AIR1:AJB1"/>
    <mergeCell ref="AJC1:AJM1"/>
    <mergeCell ref="AJN1:AJX1"/>
    <mergeCell ref="AJY1:AKI1"/>
    <mergeCell ref="AFH1:AFR1"/>
    <mergeCell ref="AFS1:AGC1"/>
    <mergeCell ref="AGD1:AGN1"/>
    <mergeCell ref="AGO1:AGY1"/>
    <mergeCell ref="AGZ1:AHJ1"/>
    <mergeCell ref="AHK1:AHU1"/>
    <mergeCell ref="ACT1:ADD1"/>
    <mergeCell ref="ADE1:ADO1"/>
    <mergeCell ref="ADP1:ADZ1"/>
    <mergeCell ref="AEA1:AEK1"/>
    <mergeCell ref="AEL1:AEV1"/>
    <mergeCell ref="AEW1:AFG1"/>
    <mergeCell ref="AAF1:AAP1"/>
    <mergeCell ref="AAQ1:ABA1"/>
    <mergeCell ref="ABB1:ABL1"/>
    <mergeCell ref="ABM1:ABW1"/>
    <mergeCell ref="ABX1:ACH1"/>
    <mergeCell ref="ACI1:ACS1"/>
    <mergeCell ref="XR1:YB1"/>
    <mergeCell ref="YC1:YM1"/>
    <mergeCell ref="YN1:YX1"/>
    <mergeCell ref="YY1:ZI1"/>
    <mergeCell ref="ZJ1:ZT1"/>
    <mergeCell ref="ZU1:AAE1"/>
    <mergeCell ref="VD1:VN1"/>
    <mergeCell ref="VO1:VY1"/>
    <mergeCell ref="VZ1:WJ1"/>
    <mergeCell ref="WK1:WU1"/>
    <mergeCell ref="WV1:XF1"/>
    <mergeCell ref="XG1:XQ1"/>
    <mergeCell ref="SP1:SZ1"/>
    <mergeCell ref="TA1:TK1"/>
    <mergeCell ref="TL1:TV1"/>
    <mergeCell ref="TW1:UG1"/>
    <mergeCell ref="UH1:UR1"/>
    <mergeCell ref="US1:VC1"/>
    <mergeCell ref="QB1:QL1"/>
    <mergeCell ref="QM1:QW1"/>
    <mergeCell ref="QX1:RH1"/>
    <mergeCell ref="RI1:RS1"/>
    <mergeCell ref="RT1:SD1"/>
    <mergeCell ref="SE1:SO1"/>
    <mergeCell ref="NN1:NX1"/>
    <mergeCell ref="NY1:OI1"/>
    <mergeCell ref="OJ1:OT1"/>
    <mergeCell ref="OU1:PE1"/>
    <mergeCell ref="PF1:PP1"/>
    <mergeCell ref="PQ1:QA1"/>
    <mergeCell ref="LK1:LU1"/>
    <mergeCell ref="LV1:MF1"/>
    <mergeCell ref="MG1:MQ1"/>
    <mergeCell ref="MR1:NB1"/>
    <mergeCell ref="NC1:NM1"/>
    <mergeCell ref="IL1:IV1"/>
    <mergeCell ref="IW1:JG1"/>
    <mergeCell ref="JH1:JR1"/>
    <mergeCell ref="JS1:KC1"/>
    <mergeCell ref="KD1:KN1"/>
    <mergeCell ref="KO1:KY1"/>
    <mergeCell ref="FX1:GH1"/>
    <mergeCell ref="GI1:GS1"/>
    <mergeCell ref="GT1:HD1"/>
    <mergeCell ref="HE1:HO1"/>
    <mergeCell ref="HP1:HZ1"/>
    <mergeCell ref="IA1:IK1"/>
    <mergeCell ref="DJ1:DT1"/>
    <mergeCell ref="DU1:EE1"/>
    <mergeCell ref="EF1:EP1"/>
    <mergeCell ref="EQ1:FA1"/>
    <mergeCell ref="FB1:FL1"/>
    <mergeCell ref="FM1:FW1"/>
    <mergeCell ref="AV1:BF1"/>
    <mergeCell ref="BG1:BQ1"/>
    <mergeCell ref="BR1:CB1"/>
    <mergeCell ref="CC1:CM1"/>
    <mergeCell ref="CN1:CX1"/>
    <mergeCell ref="CY1:DI1"/>
    <mergeCell ref="D1:N1"/>
    <mergeCell ref="O1:Y1"/>
    <mergeCell ref="Z1:AJ1"/>
    <mergeCell ref="AK1:AU1"/>
    <mergeCell ref="KZ1:LJ1"/>
  </mergeCell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activeCell="A61" sqref="A61:XFD61"/>
    </sheetView>
  </sheetViews>
  <sheetFormatPr defaultRowHeight="15" x14ac:dyDescent="0.25"/>
  <cols>
    <col min="1" max="1" width="46.375" style="375" bestFit="1" customWidth="1"/>
    <col min="2" max="16384" width="9" style="375"/>
  </cols>
  <sheetData>
    <row r="1" spans="1:4" x14ac:dyDescent="0.25">
      <c r="A1" s="381" t="s">
        <v>37</v>
      </c>
      <c r="B1" s="381" t="s">
        <v>1906</v>
      </c>
      <c r="C1" s="381" t="s">
        <v>1907</v>
      </c>
    </row>
    <row r="2" spans="1:4" x14ac:dyDescent="0.25">
      <c r="A2" s="375" t="s">
        <v>1908</v>
      </c>
      <c r="B2" s="375" t="s">
        <v>1909</v>
      </c>
      <c r="C2" s="376">
        <f>403+58</f>
        <v>461</v>
      </c>
    </row>
    <row r="3" spans="1:4" x14ac:dyDescent="0.25">
      <c r="A3" s="375" t="s">
        <v>1910</v>
      </c>
      <c r="B3" s="375" t="s">
        <v>1909</v>
      </c>
      <c r="C3" s="376">
        <f>2+23</f>
        <v>25</v>
      </c>
      <c r="D3" s="377"/>
    </row>
    <row r="4" spans="1:4" x14ac:dyDescent="0.25">
      <c r="A4" s="375" t="s">
        <v>1911</v>
      </c>
      <c r="B4" s="375" t="s">
        <v>1909</v>
      </c>
      <c r="C4" s="376">
        <v>22</v>
      </c>
      <c r="D4" s="377"/>
    </row>
    <row r="5" spans="1:4" x14ac:dyDescent="0.25">
      <c r="A5" s="375" t="s">
        <v>1912</v>
      </c>
      <c r="B5" s="375" t="s">
        <v>1909</v>
      </c>
      <c r="C5" s="376">
        <v>35</v>
      </c>
      <c r="D5" s="377"/>
    </row>
    <row r="6" spans="1:4" x14ac:dyDescent="0.25">
      <c r="A6" s="378" t="s">
        <v>1913</v>
      </c>
      <c r="B6" s="375" t="s">
        <v>1909</v>
      </c>
      <c r="C6" s="376">
        <v>396</v>
      </c>
      <c r="D6" s="377"/>
    </row>
    <row r="7" spans="1:4" x14ac:dyDescent="0.25">
      <c r="A7" s="375" t="s">
        <v>1914</v>
      </c>
      <c r="B7" s="375" t="s">
        <v>701</v>
      </c>
      <c r="C7" s="376">
        <v>4</v>
      </c>
      <c r="D7" s="377"/>
    </row>
    <row r="8" spans="1:4" x14ac:dyDescent="0.25">
      <c r="A8" s="375" t="s">
        <v>1915</v>
      </c>
      <c r="B8" s="375" t="s">
        <v>701</v>
      </c>
      <c r="C8" s="376">
        <f>410+146</f>
        <v>556</v>
      </c>
      <c r="D8" s="377"/>
    </row>
    <row r="9" spans="1:4" x14ac:dyDescent="0.25">
      <c r="A9" s="375" t="s">
        <v>1916</v>
      </c>
      <c r="B9" s="375" t="s">
        <v>701</v>
      </c>
      <c r="C9" s="376">
        <v>20</v>
      </c>
      <c r="D9" s="377"/>
    </row>
    <row r="10" spans="1:4" x14ac:dyDescent="0.25">
      <c r="A10" s="375" t="s">
        <v>1917</v>
      </c>
      <c r="B10" s="375" t="s">
        <v>701</v>
      </c>
      <c r="C10" s="376">
        <v>33</v>
      </c>
      <c r="D10" s="377"/>
    </row>
    <row r="11" spans="1:4" x14ac:dyDescent="0.25">
      <c r="A11" s="375" t="s">
        <v>1918</v>
      </c>
      <c r="B11" s="375" t="s">
        <v>701</v>
      </c>
      <c r="C11" s="376">
        <v>31</v>
      </c>
      <c r="D11" s="377"/>
    </row>
    <row r="12" spans="1:4" x14ac:dyDescent="0.25">
      <c r="A12" s="375" t="s">
        <v>1919</v>
      </c>
      <c r="B12" s="375" t="s">
        <v>701</v>
      </c>
      <c r="C12" s="376">
        <f>57+782</f>
        <v>839</v>
      </c>
      <c r="D12" s="377"/>
    </row>
    <row r="13" spans="1:4" x14ac:dyDescent="0.25">
      <c r="A13" s="375" t="s">
        <v>1920</v>
      </c>
      <c r="B13" s="375" t="s">
        <v>701</v>
      </c>
      <c r="C13" s="376">
        <f>97+26</f>
        <v>123</v>
      </c>
      <c r="D13" s="379"/>
    </row>
    <row r="14" spans="1:4" x14ac:dyDescent="0.25">
      <c r="A14" s="375" t="s">
        <v>1921</v>
      </c>
      <c r="B14" s="375" t="s">
        <v>701</v>
      </c>
      <c r="C14" s="376">
        <v>242</v>
      </c>
      <c r="D14" s="377"/>
    </row>
    <row r="15" spans="1:4" x14ac:dyDescent="0.25">
      <c r="A15" s="375" t="s">
        <v>1922</v>
      </c>
      <c r="B15" s="375" t="s">
        <v>701</v>
      </c>
      <c r="C15" s="376">
        <v>7</v>
      </c>
      <c r="D15" s="377"/>
    </row>
    <row r="16" spans="1:4" x14ac:dyDescent="0.25">
      <c r="A16" s="375" t="s">
        <v>1923</v>
      </c>
      <c r="B16" s="375" t="s">
        <v>701</v>
      </c>
      <c r="C16" s="376">
        <v>4</v>
      </c>
      <c r="D16" s="377"/>
    </row>
    <row r="17" spans="1:4" x14ac:dyDescent="0.25">
      <c r="A17" s="375" t="s">
        <v>1924</v>
      </c>
      <c r="B17" s="375" t="s">
        <v>701</v>
      </c>
      <c r="C17" s="376">
        <f>837+287</f>
        <v>1124</v>
      </c>
      <c r="D17" s="377"/>
    </row>
    <row r="18" spans="1:4" x14ac:dyDescent="0.25">
      <c r="A18" s="375" t="s">
        <v>1925</v>
      </c>
      <c r="B18" s="375" t="s">
        <v>701</v>
      </c>
      <c r="C18" s="376">
        <v>15</v>
      </c>
      <c r="D18" s="377"/>
    </row>
    <row r="19" spans="1:4" x14ac:dyDescent="0.25">
      <c r="A19" s="375" t="s">
        <v>1926</v>
      </c>
      <c r="B19" s="375" t="s">
        <v>701</v>
      </c>
      <c r="C19" s="376">
        <v>7</v>
      </c>
      <c r="D19" s="377"/>
    </row>
    <row r="20" spans="1:4" x14ac:dyDescent="0.25">
      <c r="A20" s="375" t="s">
        <v>1927</v>
      </c>
      <c r="B20" s="375" t="s">
        <v>701</v>
      </c>
      <c r="C20" s="376">
        <v>16</v>
      </c>
      <c r="D20" s="377"/>
    </row>
    <row r="21" spans="1:4" x14ac:dyDescent="0.25">
      <c r="A21" s="375" t="s">
        <v>1928</v>
      </c>
      <c r="B21" s="375" t="s">
        <v>701</v>
      </c>
      <c r="C21" s="376">
        <f>52+53+4</f>
        <v>109</v>
      </c>
      <c r="D21" s="377"/>
    </row>
    <row r="22" spans="1:4" x14ac:dyDescent="0.25">
      <c r="A22" s="375" t="s">
        <v>1929</v>
      </c>
      <c r="B22" s="375" t="s">
        <v>701</v>
      </c>
      <c r="C22" s="376">
        <v>10</v>
      </c>
      <c r="D22" s="377"/>
    </row>
    <row r="23" spans="1:4" x14ac:dyDescent="0.25">
      <c r="A23" s="375" t="s">
        <v>1930</v>
      </c>
      <c r="B23" s="375" t="s">
        <v>1909</v>
      </c>
      <c r="C23" s="376">
        <f>216+99</f>
        <v>315</v>
      </c>
      <c r="D23" s="377"/>
    </row>
    <row r="24" spans="1:4" x14ac:dyDescent="0.25">
      <c r="A24" s="375" t="s">
        <v>1931</v>
      </c>
      <c r="B24" s="375" t="s">
        <v>1909</v>
      </c>
      <c r="C24" s="376">
        <v>6</v>
      </c>
      <c r="D24" s="377"/>
    </row>
    <row r="25" spans="1:4" x14ac:dyDescent="0.25">
      <c r="A25" s="375" t="s">
        <v>1932</v>
      </c>
      <c r="B25" s="375" t="s">
        <v>1909</v>
      </c>
      <c r="C25" s="376">
        <v>2</v>
      </c>
      <c r="D25" s="377"/>
    </row>
    <row r="26" spans="1:4" x14ac:dyDescent="0.25">
      <c r="A26" s="375" t="s">
        <v>1933</v>
      </c>
      <c r="B26" s="375" t="s">
        <v>1909</v>
      </c>
      <c r="C26" s="376">
        <f>430+198</f>
        <v>628</v>
      </c>
      <c r="D26" s="377"/>
    </row>
    <row r="27" spans="1:4" x14ac:dyDescent="0.25">
      <c r="A27" s="375" t="s">
        <v>1934</v>
      </c>
      <c r="B27" s="375" t="s">
        <v>1909</v>
      </c>
      <c r="C27" s="376">
        <v>8</v>
      </c>
      <c r="D27" s="377"/>
    </row>
    <row r="28" spans="1:4" x14ac:dyDescent="0.25">
      <c r="A28" s="375" t="s">
        <v>1935</v>
      </c>
      <c r="B28" s="375" t="s">
        <v>1909</v>
      </c>
      <c r="C28" s="376">
        <f>373+14</f>
        <v>387</v>
      </c>
      <c r="D28" s="377"/>
    </row>
    <row r="29" spans="1:4" x14ac:dyDescent="0.25">
      <c r="A29" s="375" t="s">
        <v>1936</v>
      </c>
      <c r="B29" s="375" t="s">
        <v>1909</v>
      </c>
      <c r="C29" s="376">
        <v>55</v>
      </c>
      <c r="D29" s="377"/>
    </row>
    <row r="30" spans="1:4" x14ac:dyDescent="0.25">
      <c r="A30" s="375" t="s">
        <v>1937</v>
      </c>
      <c r="B30" s="375" t="s">
        <v>1909</v>
      </c>
      <c r="C30" s="376">
        <v>9</v>
      </c>
      <c r="D30" s="377"/>
    </row>
    <row r="31" spans="1:4" x14ac:dyDescent="0.25">
      <c r="A31" s="375" t="s">
        <v>1938</v>
      </c>
      <c r="B31" s="375" t="s">
        <v>1909</v>
      </c>
      <c r="C31" s="376">
        <v>20</v>
      </c>
      <c r="D31" s="379"/>
    </row>
    <row r="32" spans="1:4" x14ac:dyDescent="0.25">
      <c r="A32" s="375" t="s">
        <v>1939</v>
      </c>
      <c r="B32" s="375" t="s">
        <v>1909</v>
      </c>
      <c r="C32" s="376">
        <v>58</v>
      </c>
      <c r="D32" s="377"/>
    </row>
    <row r="33" spans="1:4" x14ac:dyDescent="0.25">
      <c r="A33" s="375" t="s">
        <v>1940</v>
      </c>
      <c r="B33" s="375" t="s">
        <v>1909</v>
      </c>
      <c r="C33" s="376">
        <f>11+40</f>
        <v>51</v>
      </c>
      <c r="D33" s="377"/>
    </row>
    <row r="34" spans="1:4" x14ac:dyDescent="0.25">
      <c r="A34" s="375" t="s">
        <v>1941</v>
      </c>
      <c r="B34" s="375" t="s">
        <v>1909</v>
      </c>
      <c r="C34" s="376">
        <v>7</v>
      </c>
      <c r="D34" s="377"/>
    </row>
    <row r="35" spans="1:4" x14ac:dyDescent="0.25">
      <c r="A35" s="375" t="s">
        <v>1942</v>
      </c>
      <c r="B35" s="375" t="s">
        <v>1909</v>
      </c>
      <c r="C35" s="376">
        <v>1</v>
      </c>
      <c r="D35" s="377"/>
    </row>
    <row r="36" spans="1:4" x14ac:dyDescent="0.25">
      <c r="A36" s="375" t="s">
        <v>1943</v>
      </c>
      <c r="B36" s="375" t="s">
        <v>1909</v>
      </c>
      <c r="C36" s="376">
        <v>51</v>
      </c>
      <c r="D36" s="377"/>
    </row>
    <row r="37" spans="1:4" x14ac:dyDescent="0.25">
      <c r="A37" s="375" t="s">
        <v>1944</v>
      </c>
      <c r="B37" s="375" t="s">
        <v>1909</v>
      </c>
      <c r="C37" s="376">
        <v>3</v>
      </c>
      <c r="D37" s="377"/>
    </row>
    <row r="38" spans="1:4" x14ac:dyDescent="0.25">
      <c r="A38" s="375" t="s">
        <v>1945</v>
      </c>
      <c r="B38" s="375" t="s">
        <v>1909</v>
      </c>
      <c r="C38" s="376">
        <v>19</v>
      </c>
      <c r="D38" s="377"/>
    </row>
    <row r="39" spans="1:4" x14ac:dyDescent="0.25">
      <c r="A39" s="375" t="s">
        <v>1946</v>
      </c>
      <c r="B39" s="375" t="s">
        <v>1909</v>
      </c>
      <c r="C39" s="376">
        <v>3</v>
      </c>
      <c r="D39" s="380"/>
    </row>
    <row r="40" spans="1:4" x14ac:dyDescent="0.25">
      <c r="A40" s="375" t="s">
        <v>1947</v>
      </c>
      <c r="B40" s="375" t="s">
        <v>1909</v>
      </c>
      <c r="C40" s="376">
        <v>20</v>
      </c>
      <c r="D40" s="377"/>
    </row>
    <row r="41" spans="1:4" x14ac:dyDescent="0.25">
      <c r="A41" s="375" t="s">
        <v>1948</v>
      </c>
      <c r="B41" s="375" t="s">
        <v>1909</v>
      </c>
      <c r="C41" s="376">
        <v>41</v>
      </c>
      <c r="D41" s="377"/>
    </row>
    <row r="42" spans="1:4" x14ac:dyDescent="0.25">
      <c r="A42" s="375" t="s">
        <v>1949</v>
      </c>
      <c r="B42" s="375" t="s">
        <v>701</v>
      </c>
      <c r="C42" s="376">
        <v>1556</v>
      </c>
      <c r="D42" s="377"/>
    </row>
    <row r="43" spans="1:4" x14ac:dyDescent="0.25">
      <c r="A43" s="375" t="s">
        <v>1950</v>
      </c>
      <c r="B43" s="375" t="s">
        <v>701</v>
      </c>
      <c r="C43" s="376">
        <f>2320+2805</f>
        <v>5125</v>
      </c>
      <c r="D43" s="377"/>
    </row>
    <row r="44" spans="1:4" x14ac:dyDescent="0.25">
      <c r="A44" s="375" t="s">
        <v>1951</v>
      </c>
      <c r="B44" s="375" t="s">
        <v>701</v>
      </c>
      <c r="C44" s="376">
        <f>6672+479</f>
        <v>7151</v>
      </c>
      <c r="D44" s="380"/>
    </row>
    <row r="45" spans="1:4" x14ac:dyDescent="0.25">
      <c r="A45" s="375" t="s">
        <v>1952</v>
      </c>
      <c r="B45" s="375" t="s">
        <v>701</v>
      </c>
      <c r="C45" s="376">
        <v>150</v>
      </c>
      <c r="D45" s="377"/>
    </row>
    <row r="46" spans="1:4" x14ac:dyDescent="0.25">
      <c r="A46" s="375" t="s">
        <v>1953</v>
      </c>
      <c r="B46" s="375" t="s">
        <v>701</v>
      </c>
      <c r="C46" s="376">
        <v>1285</v>
      </c>
      <c r="D46" s="377"/>
    </row>
    <row r="47" spans="1:4" x14ac:dyDescent="0.25">
      <c r="A47" s="375" t="s">
        <v>1954</v>
      </c>
      <c r="B47" s="375" t="s">
        <v>701</v>
      </c>
      <c r="C47" s="376">
        <v>650</v>
      </c>
      <c r="D47" s="377"/>
    </row>
    <row r="48" spans="1:4" x14ac:dyDescent="0.25">
      <c r="A48" s="375" t="s">
        <v>1970</v>
      </c>
      <c r="B48" s="375" t="s">
        <v>701</v>
      </c>
      <c r="C48" s="376">
        <v>470</v>
      </c>
      <c r="D48" s="377"/>
    </row>
    <row r="49" spans="1:4" x14ac:dyDescent="0.25">
      <c r="A49" s="375" t="s">
        <v>1955</v>
      </c>
      <c r="B49" s="375" t="s">
        <v>1909</v>
      </c>
      <c r="C49" s="376">
        <v>17</v>
      </c>
      <c r="D49" s="377"/>
    </row>
    <row r="50" spans="1:4" x14ac:dyDescent="0.25">
      <c r="A50" s="375" t="s">
        <v>1956</v>
      </c>
      <c r="B50" s="375" t="s">
        <v>1909</v>
      </c>
      <c r="C50" s="376">
        <v>331</v>
      </c>
      <c r="D50" s="377"/>
    </row>
    <row r="51" spans="1:4" x14ac:dyDescent="0.25">
      <c r="A51" s="375" t="s">
        <v>1957</v>
      </c>
      <c r="B51" s="375" t="s">
        <v>1909</v>
      </c>
      <c r="C51" s="376">
        <v>100</v>
      </c>
      <c r="D51" s="377"/>
    </row>
    <row r="52" spans="1:4" x14ac:dyDescent="0.25">
      <c r="A52" s="375" t="s">
        <v>1958</v>
      </c>
      <c r="B52" s="375" t="s">
        <v>1909</v>
      </c>
      <c r="C52" s="376">
        <v>13</v>
      </c>
      <c r="D52" s="377"/>
    </row>
    <row r="53" spans="1:4" x14ac:dyDescent="0.25">
      <c r="A53" s="375" t="s">
        <v>1959</v>
      </c>
      <c r="B53" s="375" t="s">
        <v>1909</v>
      </c>
      <c r="C53" s="376">
        <v>8</v>
      </c>
      <c r="D53" s="377"/>
    </row>
    <row r="54" spans="1:4" x14ac:dyDescent="0.25">
      <c r="A54" s="375" t="s">
        <v>1960</v>
      </c>
      <c r="B54" s="375" t="s">
        <v>1909</v>
      </c>
      <c r="C54" s="376">
        <v>75</v>
      </c>
      <c r="D54" s="377"/>
    </row>
    <row r="55" spans="1:4" x14ac:dyDescent="0.25">
      <c r="A55" s="375" t="s">
        <v>1961</v>
      </c>
      <c r="B55" s="375" t="s">
        <v>1909</v>
      </c>
      <c r="C55" s="376">
        <v>4</v>
      </c>
      <c r="D55" s="377"/>
    </row>
    <row r="56" spans="1:4" x14ac:dyDescent="0.25">
      <c r="A56" s="375" t="s">
        <v>1962</v>
      </c>
      <c r="B56" s="375" t="s">
        <v>1909</v>
      </c>
      <c r="C56" s="376">
        <f>120+215</f>
        <v>335</v>
      </c>
      <c r="D56" s="377"/>
    </row>
    <row r="57" spans="1:4" x14ac:dyDescent="0.25">
      <c r="A57" s="375" t="s">
        <v>1963</v>
      </c>
      <c r="B57" s="375" t="s">
        <v>1909</v>
      </c>
      <c r="C57" s="376">
        <v>2</v>
      </c>
      <c r="D57" s="377"/>
    </row>
    <row r="58" spans="1:4" x14ac:dyDescent="0.25">
      <c r="A58" s="375" t="s">
        <v>1964</v>
      </c>
      <c r="B58" s="375" t="s">
        <v>1909</v>
      </c>
      <c r="C58" s="376">
        <v>11</v>
      </c>
      <c r="D58" s="377"/>
    </row>
    <row r="59" spans="1:4" x14ac:dyDescent="0.25">
      <c r="A59" s="375" t="s">
        <v>1965</v>
      </c>
      <c r="B59" s="375" t="s">
        <v>1909</v>
      </c>
      <c r="C59" s="376">
        <v>5</v>
      </c>
      <c r="D59" s="377"/>
    </row>
    <row r="60" spans="1:4" x14ac:dyDescent="0.25">
      <c r="A60" s="375" t="s">
        <v>1966</v>
      </c>
      <c r="B60" s="375" t="s">
        <v>1909</v>
      </c>
      <c r="C60" s="376">
        <v>19</v>
      </c>
      <c r="D60" s="377"/>
    </row>
    <row r="61" spans="1:4" x14ac:dyDescent="0.25">
      <c r="A61" s="375" t="s">
        <v>1967</v>
      </c>
      <c r="B61" s="375" t="s">
        <v>12</v>
      </c>
      <c r="C61" s="376">
        <f>3*(18+98+2)</f>
        <v>354</v>
      </c>
      <c r="D61" s="377"/>
    </row>
    <row r="62" spans="1:4" x14ac:dyDescent="0.25">
      <c r="A62" s="375" t="s">
        <v>1968</v>
      </c>
      <c r="B62" s="375" t="s">
        <v>1909</v>
      </c>
      <c r="C62" s="376">
        <v>4</v>
      </c>
      <c r="D62" s="377"/>
    </row>
    <row r="63" spans="1:4" x14ac:dyDescent="0.25">
      <c r="A63" s="375" t="s">
        <v>1969</v>
      </c>
      <c r="B63" s="375" t="s">
        <v>1909</v>
      </c>
      <c r="C63" s="376">
        <v>57</v>
      </c>
      <c r="D63" s="37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B5" sqref="B5"/>
    </sheetView>
  </sheetViews>
  <sheetFormatPr defaultRowHeight="15" x14ac:dyDescent="0.25"/>
  <cols>
    <col min="1" max="1" width="38.375" bestFit="1" customWidth="1"/>
    <col min="3" max="3" width="6.875" style="1" bestFit="1" customWidth="1"/>
  </cols>
  <sheetData>
    <row r="1" spans="1:3" x14ac:dyDescent="0.25">
      <c r="A1" s="399" t="s">
        <v>37</v>
      </c>
      <c r="B1" s="399" t="s">
        <v>1906</v>
      </c>
      <c r="C1" s="399" t="s">
        <v>1907</v>
      </c>
    </row>
    <row r="2" spans="1:3" x14ac:dyDescent="0.25">
      <c r="A2" t="s">
        <v>1971</v>
      </c>
      <c r="B2" t="s">
        <v>1909</v>
      </c>
      <c r="C2" s="1">
        <v>1</v>
      </c>
    </row>
    <row r="3" spans="1:3" x14ac:dyDescent="0.25">
      <c r="A3" t="s">
        <v>1972</v>
      </c>
      <c r="B3" t="s">
        <v>1909</v>
      </c>
      <c r="C3" s="1">
        <v>2</v>
      </c>
    </row>
    <row r="4" spans="1:3" x14ac:dyDescent="0.25">
      <c r="A4" t="s">
        <v>1973</v>
      </c>
      <c r="B4" t="s">
        <v>1909</v>
      </c>
      <c r="C4" s="1">
        <v>6</v>
      </c>
    </row>
    <row r="5" spans="1:3" x14ac:dyDescent="0.25">
      <c r="A5" t="s">
        <v>1974</v>
      </c>
      <c r="B5" t="s">
        <v>1909</v>
      </c>
      <c r="C5" s="1">
        <f>14+51</f>
        <v>65</v>
      </c>
    </row>
    <row r="6" spans="1:3" x14ac:dyDescent="0.25">
      <c r="A6" t="s">
        <v>1914</v>
      </c>
      <c r="B6" t="s">
        <v>701</v>
      </c>
      <c r="C6" s="1">
        <v>2.5</v>
      </c>
    </row>
    <row r="7" spans="1:3" x14ac:dyDescent="0.25">
      <c r="A7" t="s">
        <v>1975</v>
      </c>
      <c r="B7" t="s">
        <v>701</v>
      </c>
      <c r="C7" s="1">
        <v>34.950000000000003</v>
      </c>
    </row>
    <row r="8" spans="1:3" x14ac:dyDescent="0.25">
      <c r="A8" t="s">
        <v>1976</v>
      </c>
      <c r="B8" t="s">
        <v>701</v>
      </c>
      <c r="C8" s="1">
        <f>20.3+25.7</f>
        <v>46</v>
      </c>
    </row>
    <row r="9" spans="1:3" x14ac:dyDescent="0.25">
      <c r="A9" t="s">
        <v>1927</v>
      </c>
      <c r="B9" t="s">
        <v>701</v>
      </c>
      <c r="C9" s="1">
        <v>67.98</v>
      </c>
    </row>
    <row r="10" spans="1:3" x14ac:dyDescent="0.25">
      <c r="A10" t="s">
        <v>1977</v>
      </c>
      <c r="B10" t="s">
        <v>701</v>
      </c>
      <c r="C10" s="1">
        <v>34</v>
      </c>
    </row>
    <row r="11" spans="1:3" x14ac:dyDescent="0.25">
      <c r="A11" t="s">
        <v>1932</v>
      </c>
      <c r="B11" t="s">
        <v>1909</v>
      </c>
      <c r="C11" s="1">
        <v>28</v>
      </c>
    </row>
    <row r="12" spans="1:3" x14ac:dyDescent="0.25">
      <c r="A12" t="s">
        <v>1978</v>
      </c>
      <c r="B12" t="s">
        <v>1909</v>
      </c>
      <c r="C12" s="1">
        <v>154</v>
      </c>
    </row>
    <row r="13" spans="1:3" x14ac:dyDescent="0.25">
      <c r="A13" t="s">
        <v>1979</v>
      </c>
      <c r="B13" t="s">
        <v>1909</v>
      </c>
      <c r="C13" s="1">
        <v>300</v>
      </c>
    </row>
    <row r="14" spans="1:3" x14ac:dyDescent="0.25">
      <c r="A14" t="s">
        <v>1980</v>
      </c>
      <c r="B14" t="s">
        <v>1909</v>
      </c>
      <c r="C14" s="1">
        <v>1</v>
      </c>
    </row>
    <row r="15" spans="1:3" x14ac:dyDescent="0.25">
      <c r="A15" t="s">
        <v>1981</v>
      </c>
      <c r="B15" t="s">
        <v>1909</v>
      </c>
      <c r="C15" s="1">
        <v>24</v>
      </c>
    </row>
    <row r="16" spans="1:3" x14ac:dyDescent="0.25">
      <c r="A16" t="s">
        <v>1982</v>
      </c>
      <c r="B16" t="s">
        <v>1909</v>
      </c>
      <c r="C16" s="1">
        <v>130</v>
      </c>
    </row>
    <row r="17" spans="1:3" x14ac:dyDescent="0.25">
      <c r="A17" t="s">
        <v>1983</v>
      </c>
      <c r="B17" t="s">
        <v>1909</v>
      </c>
      <c r="C17" s="1">
        <v>6</v>
      </c>
    </row>
    <row r="18" spans="1:3" x14ac:dyDescent="0.25">
      <c r="A18" t="s">
        <v>1984</v>
      </c>
      <c r="B18" t="s">
        <v>1909</v>
      </c>
      <c r="C18" s="1">
        <v>1</v>
      </c>
    </row>
    <row r="19" spans="1:3" x14ac:dyDescent="0.25">
      <c r="A19" t="s">
        <v>1985</v>
      </c>
      <c r="B19" t="s">
        <v>701</v>
      </c>
      <c r="C19" s="1">
        <v>6586</v>
      </c>
    </row>
    <row r="20" spans="1:3" x14ac:dyDescent="0.25">
      <c r="A20" t="s">
        <v>1986</v>
      </c>
      <c r="B20" t="s">
        <v>1909</v>
      </c>
      <c r="C20" s="1">
        <v>8</v>
      </c>
    </row>
    <row r="21" spans="1:3" x14ac:dyDescent="0.25">
      <c r="A21" t="s">
        <v>1987</v>
      </c>
      <c r="B21" t="s">
        <v>1909</v>
      </c>
      <c r="C21" s="1">
        <v>1</v>
      </c>
    </row>
    <row r="22" spans="1:3" x14ac:dyDescent="0.25">
      <c r="A22" t="s">
        <v>1988</v>
      </c>
      <c r="B22" t="s">
        <v>1909</v>
      </c>
      <c r="C22" s="1">
        <v>5</v>
      </c>
    </row>
    <row r="23" spans="1:3" x14ac:dyDescent="0.25">
      <c r="A23" t="s">
        <v>1989</v>
      </c>
      <c r="B23" t="s">
        <v>1909</v>
      </c>
      <c r="C23" s="1">
        <v>21</v>
      </c>
    </row>
    <row r="24" spans="1:3" x14ac:dyDescent="0.25">
      <c r="A24" t="s">
        <v>1990</v>
      </c>
      <c r="B24" t="s">
        <v>1909</v>
      </c>
      <c r="C24" s="1">
        <v>13</v>
      </c>
    </row>
    <row r="25" spans="1:3" x14ac:dyDescent="0.25">
      <c r="A25" t="s">
        <v>1991</v>
      </c>
      <c r="B25" t="s">
        <v>1909</v>
      </c>
      <c r="C25" s="1">
        <v>154</v>
      </c>
    </row>
    <row r="26" spans="1:3" x14ac:dyDescent="0.25">
      <c r="A26" t="s">
        <v>1992</v>
      </c>
      <c r="B26" t="s">
        <v>1909</v>
      </c>
      <c r="C26" s="1">
        <v>154</v>
      </c>
    </row>
    <row r="27" spans="1:3" x14ac:dyDescent="0.25">
      <c r="A27" t="s">
        <v>1993</v>
      </c>
      <c r="B27" t="s">
        <v>1909</v>
      </c>
      <c r="C27" s="1">
        <v>1</v>
      </c>
    </row>
    <row r="28" spans="1:3" x14ac:dyDescent="0.25">
      <c r="A28" t="s">
        <v>1994</v>
      </c>
      <c r="B28" t="s">
        <v>1909</v>
      </c>
      <c r="C28" s="1">
        <v>154</v>
      </c>
    </row>
    <row r="29" spans="1:3" x14ac:dyDescent="0.25">
      <c r="A29" t="s">
        <v>1995</v>
      </c>
      <c r="B29" t="s">
        <v>1909</v>
      </c>
      <c r="C29" s="1">
        <v>5</v>
      </c>
    </row>
    <row r="30" spans="1:3" x14ac:dyDescent="0.25">
      <c r="A30" t="s">
        <v>1996</v>
      </c>
      <c r="B30" t="s">
        <v>701</v>
      </c>
      <c r="C30" s="1">
        <v>278.17</v>
      </c>
    </row>
    <row r="31" spans="1:3" x14ac:dyDescent="0.25">
      <c r="A31" t="s">
        <v>1997</v>
      </c>
      <c r="B31" t="s">
        <v>1909</v>
      </c>
      <c r="C31" s="1">
        <v>1</v>
      </c>
    </row>
    <row r="32" spans="1:3" x14ac:dyDescent="0.25">
      <c r="A32" t="s">
        <v>1998</v>
      </c>
      <c r="B32" t="s">
        <v>1909</v>
      </c>
      <c r="C32" s="1">
        <v>1</v>
      </c>
    </row>
    <row r="33" spans="1:3" x14ac:dyDescent="0.25">
      <c r="A33" t="s">
        <v>1999</v>
      </c>
      <c r="B33" t="s">
        <v>701</v>
      </c>
      <c r="C33" s="1">
        <f>3*1.8+15</f>
        <v>20.399999999999999</v>
      </c>
    </row>
    <row r="34" spans="1:3" x14ac:dyDescent="0.25">
      <c r="A34" t="s">
        <v>2000</v>
      </c>
      <c r="B34" t="s">
        <v>701</v>
      </c>
      <c r="C34" s="1">
        <f>3*8.3+342.09+183.3</f>
        <v>550.29</v>
      </c>
    </row>
    <row r="35" spans="1:3" x14ac:dyDescent="0.25">
      <c r="A35" t="s">
        <v>2001</v>
      </c>
      <c r="B35" t="s">
        <v>1909</v>
      </c>
      <c r="C35" s="1">
        <f>23+16</f>
        <v>39</v>
      </c>
    </row>
    <row r="36" spans="1:3" x14ac:dyDescent="0.25">
      <c r="A36" s="1" t="s">
        <v>2002</v>
      </c>
      <c r="B36" t="s">
        <v>1909</v>
      </c>
      <c r="C36" s="1">
        <v>9</v>
      </c>
    </row>
    <row r="37" spans="1:3" x14ac:dyDescent="0.25">
      <c r="A37" s="1" t="s">
        <v>2003</v>
      </c>
      <c r="B37" t="s">
        <v>701</v>
      </c>
      <c r="C37" s="1">
        <f>3*4.4+99</f>
        <v>112.2</v>
      </c>
    </row>
    <row r="38" spans="1:3" x14ac:dyDescent="0.25">
      <c r="A38" t="s">
        <v>2004</v>
      </c>
      <c r="B38" t="s">
        <v>701</v>
      </c>
      <c r="C38" s="1">
        <v>550.29</v>
      </c>
    </row>
    <row r="39" spans="1:3" x14ac:dyDescent="0.25">
      <c r="A39" t="s">
        <v>1969</v>
      </c>
      <c r="B39" t="s">
        <v>1909</v>
      </c>
      <c r="C39" s="1">
        <f>1+53+26</f>
        <v>80</v>
      </c>
    </row>
    <row r="40" spans="1:3" x14ac:dyDescent="0.25">
      <c r="A40" t="s">
        <v>2005</v>
      </c>
      <c r="B40" t="s">
        <v>1909</v>
      </c>
      <c r="C40" s="1">
        <v>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98"/>
  <sheetViews>
    <sheetView showWhiteSpace="0" view="pageLayout" zoomScale="80" zoomScaleNormal="100" zoomScaleSheetLayoutView="86" zoomScalePageLayoutView="80" workbookViewId="0">
      <selection activeCell="D402" sqref="D402"/>
    </sheetView>
  </sheetViews>
  <sheetFormatPr defaultColWidth="9.125" defaultRowHeight="15.75" x14ac:dyDescent="0.25"/>
  <cols>
    <col min="1" max="1" width="8" style="205" customWidth="1"/>
    <col min="2" max="2" width="11.25" style="193" customWidth="1"/>
    <col min="3" max="3" width="10" style="193" bestFit="1" customWidth="1"/>
    <col min="4" max="4" width="58.625" style="193" customWidth="1"/>
    <col min="5" max="5" width="5.375" style="193" bestFit="1" customWidth="1"/>
    <col min="6" max="6" width="10" style="206" customWidth="1"/>
    <col min="7" max="7" width="11.375" style="206" customWidth="1"/>
    <col min="8" max="8" width="19.75" style="206" bestFit="1" customWidth="1"/>
    <col min="9" max="9" width="16.875" style="207" customWidth="1"/>
    <col min="10" max="10" width="12" style="192" customWidth="1"/>
    <col min="11" max="11" width="31.375" style="193" bestFit="1" customWidth="1"/>
    <col min="12" max="16384" width="9.125" style="193"/>
  </cols>
  <sheetData>
    <row r="1" spans="1:10" x14ac:dyDescent="0.25">
      <c r="A1" s="554" t="s">
        <v>60</v>
      </c>
      <c r="B1" s="555"/>
      <c r="C1" s="555"/>
      <c r="D1" s="555"/>
      <c r="E1" s="190"/>
      <c r="F1" s="191" t="s">
        <v>67</v>
      </c>
      <c r="G1" s="191"/>
      <c r="H1" s="556" t="s">
        <v>59</v>
      </c>
      <c r="I1" s="556"/>
    </row>
    <row r="2" spans="1:10" ht="30" customHeight="1" x14ac:dyDescent="0.25">
      <c r="A2" s="557" t="s">
        <v>3059</v>
      </c>
      <c r="B2" s="558"/>
      <c r="C2" s="558"/>
      <c r="D2" s="558"/>
      <c r="E2" s="194"/>
      <c r="F2" s="195">
        <v>0.28349999999999997</v>
      </c>
      <c r="G2" s="196"/>
      <c r="H2" s="559" t="s">
        <v>217</v>
      </c>
      <c r="I2" s="559"/>
    </row>
    <row r="3" spans="1:10" x14ac:dyDescent="0.25">
      <c r="A3" s="552" t="s">
        <v>151</v>
      </c>
      <c r="B3" s="552"/>
      <c r="C3" s="197" t="s">
        <v>827</v>
      </c>
      <c r="D3" s="194"/>
      <c r="E3" s="194"/>
      <c r="F3" s="196"/>
      <c r="G3" s="196"/>
      <c r="H3" s="191" t="s">
        <v>218</v>
      </c>
      <c r="I3" s="196"/>
    </row>
    <row r="4" spans="1:10" ht="36" customHeight="1" x14ac:dyDescent="0.25">
      <c r="A4" s="552" t="s">
        <v>154</v>
      </c>
      <c r="B4" s="552"/>
      <c r="C4" s="553" t="s">
        <v>3060</v>
      </c>
      <c r="D4" s="553"/>
      <c r="E4" s="194"/>
      <c r="F4" s="196"/>
      <c r="G4" s="196"/>
      <c r="H4" s="196" t="s">
        <v>829</v>
      </c>
      <c r="I4" s="196"/>
    </row>
    <row r="5" spans="1:10" x14ac:dyDescent="0.25">
      <c r="A5" s="560" t="s">
        <v>216</v>
      </c>
      <c r="B5" s="560"/>
      <c r="C5" s="560"/>
      <c r="D5" s="560"/>
      <c r="E5" s="560"/>
      <c r="F5" s="560"/>
      <c r="G5" s="560"/>
      <c r="H5" s="560"/>
      <c r="I5" s="560"/>
    </row>
    <row r="6" spans="1:10" s="200" customFormat="1" ht="16.5" customHeight="1" x14ac:dyDescent="0.25">
      <c r="A6" s="198" t="s">
        <v>65</v>
      </c>
      <c r="B6" s="198" t="s">
        <v>46</v>
      </c>
      <c r="C6" s="198" t="s">
        <v>21</v>
      </c>
      <c r="D6" s="198" t="s">
        <v>37</v>
      </c>
      <c r="E6" s="198" t="s">
        <v>26</v>
      </c>
      <c r="F6" s="199" t="s">
        <v>61</v>
      </c>
      <c r="G6" s="199" t="s">
        <v>79</v>
      </c>
      <c r="H6" s="199" t="s">
        <v>64</v>
      </c>
      <c r="I6" s="199" t="s">
        <v>50</v>
      </c>
      <c r="J6" s="383"/>
    </row>
    <row r="7" spans="1:10" s="238" customFormat="1" x14ac:dyDescent="0.25">
      <c r="A7" s="236" t="s">
        <v>4</v>
      </c>
      <c r="B7" s="236"/>
      <c r="C7" s="236"/>
      <c r="D7" s="236" t="s">
        <v>2</v>
      </c>
      <c r="E7" s="236"/>
      <c r="F7" s="237"/>
      <c r="G7" s="237"/>
      <c r="H7" s="237"/>
      <c r="I7" s="237">
        <f>SUM(I8)</f>
        <v>122389.68</v>
      </c>
      <c r="J7" s="383"/>
    </row>
    <row r="8" spans="1:10" x14ac:dyDescent="0.25">
      <c r="A8" s="201" t="s">
        <v>3</v>
      </c>
      <c r="B8" s="201" t="s">
        <v>1259</v>
      </c>
      <c r="C8" s="201" t="s">
        <v>10</v>
      </c>
      <c r="D8" s="201" t="s">
        <v>830</v>
      </c>
      <c r="E8" s="202" t="s">
        <v>168</v>
      </c>
      <c r="F8" s="203">
        <f>Arquitetura!K3</f>
        <v>1</v>
      </c>
      <c r="G8" s="203">
        <v>95356.2</v>
      </c>
      <c r="H8" s="203">
        <f>TRUNC(G8*$F$2+G8,2)</f>
        <v>122389.68</v>
      </c>
      <c r="I8" s="203">
        <f>TRUNC(H8*F8,2)</f>
        <v>122389.68</v>
      </c>
    </row>
    <row r="9" spans="1:10" s="238" customFormat="1" x14ac:dyDescent="0.25">
      <c r="A9" s="236" t="s">
        <v>5</v>
      </c>
      <c r="B9" s="236"/>
      <c r="C9" s="236"/>
      <c r="D9" s="236" t="s">
        <v>362</v>
      </c>
      <c r="E9" s="239"/>
      <c r="F9" s="237"/>
      <c r="G9" s="237"/>
      <c r="H9" s="237"/>
      <c r="I9" s="237">
        <f>SUM(I10)</f>
        <v>3850.5</v>
      </c>
      <c r="J9" s="192"/>
    </row>
    <row r="10" spans="1:10" x14ac:dyDescent="0.25">
      <c r="A10" s="201" t="s">
        <v>74</v>
      </c>
      <c r="B10" s="201" t="s">
        <v>363</v>
      </c>
      <c r="C10" s="201" t="s">
        <v>10</v>
      </c>
      <c r="D10" s="201" t="s">
        <v>364</v>
      </c>
      <c r="E10" s="202" t="s">
        <v>48</v>
      </c>
      <c r="F10" s="203">
        <f>Estrutural!B11</f>
        <v>3</v>
      </c>
      <c r="G10" s="203">
        <v>1000</v>
      </c>
      <c r="H10" s="203">
        <f>TRUNC(G10*$F$2+G10,2)</f>
        <v>1283.5</v>
      </c>
      <c r="I10" s="203">
        <f>TRUNC(H10*F10,2)</f>
        <v>3850.5</v>
      </c>
    </row>
    <row r="11" spans="1:10" s="238" customFormat="1" x14ac:dyDescent="0.25">
      <c r="A11" s="236" t="s">
        <v>6</v>
      </c>
      <c r="B11" s="236"/>
      <c r="C11" s="236"/>
      <c r="D11" s="236" t="s">
        <v>27</v>
      </c>
      <c r="E11" s="239"/>
      <c r="F11" s="237"/>
      <c r="G11" s="237"/>
      <c r="H11" s="237"/>
      <c r="I11" s="237">
        <f>SUM(I12:I24)</f>
        <v>66253.930000000008</v>
      </c>
      <c r="J11" s="192"/>
    </row>
    <row r="12" spans="1:10" ht="31.5" x14ac:dyDescent="0.25">
      <c r="A12" s="201" t="s">
        <v>70</v>
      </c>
      <c r="B12" s="201" t="s">
        <v>51</v>
      </c>
      <c r="C12" s="201" t="s">
        <v>10</v>
      </c>
      <c r="D12" s="201" t="s">
        <v>831</v>
      </c>
      <c r="E12" s="202" t="s">
        <v>24</v>
      </c>
      <c r="F12" s="203">
        <f>Arquitetura!K30</f>
        <v>576.79999999999995</v>
      </c>
      <c r="G12" s="203">
        <v>20.88</v>
      </c>
      <c r="H12" s="203">
        <f t="shared" ref="H12:H24" si="0">TRUNC(G12*$F$2+G12,2)</f>
        <v>26.79</v>
      </c>
      <c r="I12" s="203">
        <f t="shared" ref="I12:I24" si="1">TRUNC(H12*F12,2)</f>
        <v>15452.47</v>
      </c>
    </row>
    <row r="13" spans="1:10" x14ac:dyDescent="0.25">
      <c r="A13" s="201" t="s">
        <v>71</v>
      </c>
      <c r="B13" s="201" t="s">
        <v>832</v>
      </c>
      <c r="C13" s="201" t="s">
        <v>10</v>
      </c>
      <c r="D13" s="201" t="s">
        <v>833</v>
      </c>
      <c r="E13" s="202" t="s">
        <v>24</v>
      </c>
      <c r="F13" s="203">
        <f>Arquitetura!K44</f>
        <v>917.17000000000007</v>
      </c>
      <c r="G13" s="203">
        <v>22.49</v>
      </c>
      <c r="H13" s="203">
        <f t="shared" si="0"/>
        <v>28.86</v>
      </c>
      <c r="I13" s="203">
        <f t="shared" si="1"/>
        <v>26469.52</v>
      </c>
    </row>
    <row r="14" spans="1:10" ht="47.25" x14ac:dyDescent="0.25">
      <c r="A14" s="201" t="s">
        <v>72</v>
      </c>
      <c r="B14" s="201" t="s">
        <v>834</v>
      </c>
      <c r="C14" s="201" t="s">
        <v>36</v>
      </c>
      <c r="D14" s="201" t="s">
        <v>835</v>
      </c>
      <c r="E14" s="202" t="s">
        <v>24</v>
      </c>
      <c r="F14" s="203">
        <f>Arquitetura!K67</f>
        <v>304.10999999999996</v>
      </c>
      <c r="G14" s="203">
        <v>7.78</v>
      </c>
      <c r="H14" s="203">
        <f t="shared" si="0"/>
        <v>9.98</v>
      </c>
      <c r="I14" s="203">
        <f t="shared" si="1"/>
        <v>3035.01</v>
      </c>
    </row>
    <row r="15" spans="1:10" ht="31.5" x14ac:dyDescent="0.25">
      <c r="A15" s="201" t="s">
        <v>241</v>
      </c>
      <c r="B15" s="201" t="s">
        <v>367</v>
      </c>
      <c r="C15" s="201" t="s">
        <v>36</v>
      </c>
      <c r="D15" s="201" t="s">
        <v>368</v>
      </c>
      <c r="E15" s="202" t="s">
        <v>24</v>
      </c>
      <c r="F15" s="203">
        <f>Arquitetura!K152</f>
        <v>204.1099999999999</v>
      </c>
      <c r="G15" s="203">
        <v>6</v>
      </c>
      <c r="H15" s="203">
        <f t="shared" si="0"/>
        <v>7.7</v>
      </c>
      <c r="I15" s="203">
        <f t="shared" si="1"/>
        <v>1571.64</v>
      </c>
    </row>
    <row r="16" spans="1:10" ht="31.5" x14ac:dyDescent="0.25">
      <c r="A16" s="201" t="s">
        <v>243</v>
      </c>
      <c r="B16" s="201" t="s">
        <v>836</v>
      </c>
      <c r="C16" s="201" t="s">
        <v>36</v>
      </c>
      <c r="D16" s="201" t="s">
        <v>837</v>
      </c>
      <c r="E16" s="202" t="s">
        <v>24</v>
      </c>
      <c r="F16" s="203">
        <f>Arquitetura!K170</f>
        <v>35.409999999999997</v>
      </c>
      <c r="G16" s="203">
        <v>17.64</v>
      </c>
      <c r="H16" s="203">
        <f t="shared" si="0"/>
        <v>22.64</v>
      </c>
      <c r="I16" s="203">
        <f t="shared" si="1"/>
        <v>801.68</v>
      </c>
    </row>
    <row r="17" spans="1:10" ht="31.5" x14ac:dyDescent="0.25">
      <c r="A17" s="201" t="s">
        <v>838</v>
      </c>
      <c r="B17" s="201" t="s">
        <v>839</v>
      </c>
      <c r="C17" s="201" t="s">
        <v>36</v>
      </c>
      <c r="D17" s="201" t="s">
        <v>840</v>
      </c>
      <c r="E17" s="202" t="s">
        <v>24</v>
      </c>
      <c r="F17" s="203">
        <f>Arquitetura!K191</f>
        <v>422.88</v>
      </c>
      <c r="G17" s="203">
        <v>4.96</v>
      </c>
      <c r="H17" s="203">
        <f t="shared" si="0"/>
        <v>6.36</v>
      </c>
      <c r="I17" s="203">
        <f t="shared" si="1"/>
        <v>2689.51</v>
      </c>
    </row>
    <row r="18" spans="1:10" ht="31.5" x14ac:dyDescent="0.25">
      <c r="A18" s="201" t="s">
        <v>841</v>
      </c>
      <c r="B18" s="201" t="s">
        <v>369</v>
      </c>
      <c r="C18" s="201" t="s">
        <v>36</v>
      </c>
      <c r="D18" s="201" t="s">
        <v>370</v>
      </c>
      <c r="E18" s="202" t="s">
        <v>24</v>
      </c>
      <c r="F18" s="203">
        <f>Arquitetura!K212</f>
        <v>516.94000000000005</v>
      </c>
      <c r="G18" s="203">
        <v>2.2999999999999998</v>
      </c>
      <c r="H18" s="203">
        <f t="shared" si="0"/>
        <v>2.95</v>
      </c>
      <c r="I18" s="203">
        <f t="shared" si="1"/>
        <v>1524.97</v>
      </c>
    </row>
    <row r="19" spans="1:10" x14ac:dyDescent="0.25">
      <c r="A19" s="201" t="s">
        <v>842</v>
      </c>
      <c r="B19" s="201" t="s">
        <v>843</v>
      </c>
      <c r="C19" s="201" t="s">
        <v>10</v>
      </c>
      <c r="D19" s="201" t="s">
        <v>844</v>
      </c>
      <c r="E19" s="202" t="s">
        <v>24</v>
      </c>
      <c r="F19" s="203">
        <f>Arquitetura!K242</f>
        <v>273.83000000000004</v>
      </c>
      <c r="G19" s="203">
        <v>6.42</v>
      </c>
      <c r="H19" s="203">
        <f t="shared" si="0"/>
        <v>8.24</v>
      </c>
      <c r="I19" s="203">
        <f t="shared" si="1"/>
        <v>2256.35</v>
      </c>
    </row>
    <row r="20" spans="1:10" ht="31.5" x14ac:dyDescent="0.25">
      <c r="A20" s="201" t="s">
        <v>845</v>
      </c>
      <c r="B20" s="201" t="s">
        <v>365</v>
      </c>
      <c r="C20" s="201" t="s">
        <v>36</v>
      </c>
      <c r="D20" s="201" t="s">
        <v>366</v>
      </c>
      <c r="E20" s="202" t="s">
        <v>25</v>
      </c>
      <c r="F20" s="203">
        <f>Arquitetura!K320</f>
        <v>229.95999999999992</v>
      </c>
      <c r="G20" s="203">
        <v>32.17</v>
      </c>
      <c r="H20" s="203">
        <f t="shared" si="0"/>
        <v>41.29</v>
      </c>
      <c r="I20" s="203">
        <f t="shared" si="1"/>
        <v>9495.0400000000009</v>
      </c>
    </row>
    <row r="21" spans="1:10" ht="31.5" x14ac:dyDescent="0.25">
      <c r="A21" s="201" t="s">
        <v>846</v>
      </c>
      <c r="B21" s="201" t="s">
        <v>847</v>
      </c>
      <c r="C21" s="201" t="s">
        <v>36</v>
      </c>
      <c r="D21" s="201" t="s">
        <v>848</v>
      </c>
      <c r="E21" s="202" t="s">
        <v>24</v>
      </c>
      <c r="F21" s="203">
        <f>Arquitetura!K332</f>
        <v>81.739999999999995</v>
      </c>
      <c r="G21" s="203">
        <v>22.44</v>
      </c>
      <c r="H21" s="203">
        <f t="shared" si="0"/>
        <v>28.8</v>
      </c>
      <c r="I21" s="203">
        <f t="shared" si="1"/>
        <v>2354.11</v>
      </c>
    </row>
    <row r="22" spans="1:10" ht="31.5" x14ac:dyDescent="0.25">
      <c r="A22" s="201" t="s">
        <v>849</v>
      </c>
      <c r="B22" s="201" t="s">
        <v>850</v>
      </c>
      <c r="C22" s="201" t="s">
        <v>36</v>
      </c>
      <c r="D22" s="201" t="s">
        <v>851</v>
      </c>
      <c r="E22" s="202" t="s">
        <v>48</v>
      </c>
      <c r="F22" s="203">
        <f>Arquitetura!K349</f>
        <v>42</v>
      </c>
      <c r="G22" s="203">
        <v>8.09</v>
      </c>
      <c r="H22" s="203">
        <f t="shared" si="0"/>
        <v>10.38</v>
      </c>
      <c r="I22" s="203">
        <f t="shared" si="1"/>
        <v>435.96</v>
      </c>
    </row>
    <row r="23" spans="1:10" ht="31.5" x14ac:dyDescent="0.25">
      <c r="A23" s="201" t="s">
        <v>852</v>
      </c>
      <c r="B23" s="201" t="s">
        <v>853</v>
      </c>
      <c r="C23" s="201" t="s">
        <v>36</v>
      </c>
      <c r="D23" s="201" t="s">
        <v>854</v>
      </c>
      <c r="E23" s="202" t="s">
        <v>24</v>
      </c>
      <c r="F23" s="203">
        <f>Arquitetura!K355</f>
        <v>17.66</v>
      </c>
      <c r="G23" s="203">
        <v>2.15</v>
      </c>
      <c r="H23" s="203">
        <f t="shared" si="0"/>
        <v>2.75</v>
      </c>
      <c r="I23" s="203">
        <f t="shared" si="1"/>
        <v>48.56</v>
      </c>
    </row>
    <row r="24" spans="1:10" x14ac:dyDescent="0.25">
      <c r="A24" s="201" t="s">
        <v>855</v>
      </c>
      <c r="B24" s="201" t="s">
        <v>856</v>
      </c>
      <c r="C24" s="201" t="s">
        <v>10</v>
      </c>
      <c r="D24" s="201" t="s">
        <v>857</v>
      </c>
      <c r="E24" s="202" t="s">
        <v>24</v>
      </c>
      <c r="F24" s="203">
        <f>Arquitetura!K361</f>
        <v>4.8499999999999996</v>
      </c>
      <c r="G24" s="203">
        <v>19.14</v>
      </c>
      <c r="H24" s="203">
        <f t="shared" si="0"/>
        <v>24.56</v>
      </c>
      <c r="I24" s="203">
        <f t="shared" si="1"/>
        <v>119.11</v>
      </c>
    </row>
    <row r="25" spans="1:10" s="238" customFormat="1" x14ac:dyDescent="0.25">
      <c r="A25" s="236" t="s">
        <v>7</v>
      </c>
      <c r="B25" s="236"/>
      <c r="C25" s="236"/>
      <c r="D25" s="236" t="s">
        <v>35</v>
      </c>
      <c r="E25" s="239"/>
      <c r="F25" s="237"/>
      <c r="G25" s="237"/>
      <c r="H25" s="237"/>
      <c r="I25" s="237">
        <f>SUM(I26:I34)</f>
        <v>41963.47</v>
      </c>
      <c r="J25" s="192"/>
    </row>
    <row r="26" spans="1:10" x14ac:dyDescent="0.25">
      <c r="A26" s="201" t="s">
        <v>63</v>
      </c>
      <c r="B26" s="201" t="s">
        <v>69</v>
      </c>
      <c r="C26" s="201" t="s">
        <v>36</v>
      </c>
      <c r="D26" s="201" t="s">
        <v>11</v>
      </c>
      <c r="E26" s="202" t="s">
        <v>24</v>
      </c>
      <c r="F26" s="203">
        <f>Arquitetura!K364+Arquitetura!K366</f>
        <v>13.22</v>
      </c>
      <c r="G26" s="203">
        <v>569.71</v>
      </c>
      <c r="H26" s="203">
        <f t="shared" ref="H26:H34" si="2">TRUNC(G26*$F$2+G26,2)</f>
        <v>731.22</v>
      </c>
      <c r="I26" s="203">
        <f t="shared" ref="I26:I34" si="3">TRUNC(H26*F26,2)</f>
        <v>9666.7199999999993</v>
      </c>
    </row>
    <row r="27" spans="1:10" ht="63" x14ac:dyDescent="0.25">
      <c r="A27" s="201" t="s">
        <v>371</v>
      </c>
      <c r="B27" s="201" t="s">
        <v>244</v>
      </c>
      <c r="C27" s="201" t="s">
        <v>36</v>
      </c>
      <c r="D27" s="201" t="s">
        <v>245</v>
      </c>
      <c r="E27" s="202" t="s">
        <v>169</v>
      </c>
      <c r="F27" s="203">
        <f>Arquitetura!K368</f>
        <v>10</v>
      </c>
      <c r="G27" s="203">
        <v>394.53</v>
      </c>
      <c r="H27" s="203">
        <f t="shared" si="2"/>
        <v>506.37</v>
      </c>
      <c r="I27" s="203">
        <f t="shared" si="3"/>
        <v>5063.7</v>
      </c>
    </row>
    <row r="28" spans="1:10" ht="47.25" x14ac:dyDescent="0.25">
      <c r="A28" s="201" t="s">
        <v>372</v>
      </c>
      <c r="B28" s="201" t="s">
        <v>858</v>
      </c>
      <c r="C28" s="201" t="s">
        <v>10</v>
      </c>
      <c r="D28" s="201" t="s">
        <v>859</v>
      </c>
      <c r="E28" s="202" t="s">
        <v>242</v>
      </c>
      <c r="F28" s="203">
        <f>Arquitetura!K370</f>
        <v>10</v>
      </c>
      <c r="G28" s="203">
        <v>573.38</v>
      </c>
      <c r="H28" s="203">
        <f t="shared" si="2"/>
        <v>735.93</v>
      </c>
      <c r="I28" s="203">
        <f t="shared" si="3"/>
        <v>7359.3</v>
      </c>
    </row>
    <row r="29" spans="1:10" ht="31.5" x14ac:dyDescent="0.25">
      <c r="A29" s="201" t="s">
        <v>373</v>
      </c>
      <c r="B29" s="201" t="s">
        <v>47</v>
      </c>
      <c r="C29" s="201" t="s">
        <v>36</v>
      </c>
      <c r="D29" s="201" t="s">
        <v>42</v>
      </c>
      <c r="E29" s="202" t="s">
        <v>24</v>
      </c>
      <c r="F29" s="203">
        <f>Arquitetura!K372</f>
        <v>12</v>
      </c>
      <c r="G29" s="203">
        <v>449.49</v>
      </c>
      <c r="H29" s="203">
        <f t="shared" si="2"/>
        <v>576.91999999999996</v>
      </c>
      <c r="I29" s="203">
        <f t="shared" si="3"/>
        <v>6923.04</v>
      </c>
    </row>
    <row r="30" spans="1:10" ht="47.25" x14ac:dyDescent="0.25">
      <c r="A30" s="201" t="s">
        <v>374</v>
      </c>
      <c r="B30" s="201" t="s">
        <v>375</v>
      </c>
      <c r="C30" s="201" t="s">
        <v>36</v>
      </c>
      <c r="D30" s="201" t="s">
        <v>376</v>
      </c>
      <c r="E30" s="202" t="s">
        <v>24</v>
      </c>
      <c r="F30" s="203">
        <f>Arquitetura!K374</f>
        <v>12</v>
      </c>
      <c r="G30" s="203">
        <v>334.16</v>
      </c>
      <c r="H30" s="203">
        <f t="shared" si="2"/>
        <v>428.89</v>
      </c>
      <c r="I30" s="203">
        <f t="shared" si="3"/>
        <v>5146.68</v>
      </c>
    </row>
    <row r="31" spans="1:10" x14ac:dyDescent="0.25">
      <c r="A31" s="201" t="s">
        <v>377</v>
      </c>
      <c r="B31" s="201" t="s">
        <v>246</v>
      </c>
      <c r="C31" s="201" t="s">
        <v>10</v>
      </c>
      <c r="D31" s="201" t="s">
        <v>247</v>
      </c>
      <c r="E31" s="202" t="s">
        <v>48</v>
      </c>
      <c r="F31" s="203">
        <f>Arquitetura!K376</f>
        <v>1</v>
      </c>
      <c r="G31" s="203">
        <v>1417.48</v>
      </c>
      <c r="H31" s="203">
        <f t="shared" si="2"/>
        <v>1819.33</v>
      </c>
      <c r="I31" s="203">
        <f t="shared" si="3"/>
        <v>1819.33</v>
      </c>
    </row>
    <row r="32" spans="1:10" ht="31.5" x14ac:dyDescent="0.25">
      <c r="A32" s="201" t="s">
        <v>380</v>
      </c>
      <c r="B32" s="201" t="s">
        <v>860</v>
      </c>
      <c r="C32" s="201" t="s">
        <v>10</v>
      </c>
      <c r="D32" s="201" t="s">
        <v>861</v>
      </c>
      <c r="E32" s="202" t="s">
        <v>48</v>
      </c>
      <c r="F32" s="203">
        <f>Arquitetura!K378</f>
        <v>1</v>
      </c>
      <c r="G32" s="203">
        <v>1468.69</v>
      </c>
      <c r="H32" s="203">
        <f t="shared" si="2"/>
        <v>1885.06</v>
      </c>
      <c r="I32" s="203">
        <f t="shared" si="3"/>
        <v>1885.06</v>
      </c>
    </row>
    <row r="33" spans="1:10" x14ac:dyDescent="0.25">
      <c r="A33" s="201" t="s">
        <v>381</v>
      </c>
      <c r="B33" s="201" t="s">
        <v>862</v>
      </c>
      <c r="C33" s="201" t="s">
        <v>36</v>
      </c>
      <c r="D33" s="201" t="s">
        <v>863</v>
      </c>
      <c r="E33" s="202" t="s">
        <v>24</v>
      </c>
      <c r="F33" s="203">
        <f>Arquitetura!K380</f>
        <v>44</v>
      </c>
      <c r="G33" s="203">
        <v>65.459999999999994</v>
      </c>
      <c r="H33" s="203">
        <f t="shared" si="2"/>
        <v>84.01</v>
      </c>
      <c r="I33" s="203">
        <f t="shared" si="3"/>
        <v>3696.44</v>
      </c>
    </row>
    <row r="34" spans="1:10" ht="47.25" x14ac:dyDescent="0.25">
      <c r="A34" s="201" t="s">
        <v>382</v>
      </c>
      <c r="B34" s="201" t="s">
        <v>378</v>
      </c>
      <c r="C34" s="201" t="s">
        <v>36</v>
      </c>
      <c r="D34" s="201" t="s">
        <v>379</v>
      </c>
      <c r="E34" s="202" t="s">
        <v>24</v>
      </c>
      <c r="F34" s="203">
        <f>Arquitetura!K382</f>
        <v>42</v>
      </c>
      <c r="G34" s="203">
        <v>7.48</v>
      </c>
      <c r="H34" s="203">
        <f t="shared" si="2"/>
        <v>9.6</v>
      </c>
      <c r="I34" s="203">
        <f t="shared" si="3"/>
        <v>403.2</v>
      </c>
    </row>
    <row r="35" spans="1:10" s="238" customFormat="1" x14ac:dyDescent="0.25">
      <c r="A35" s="236" t="s">
        <v>8</v>
      </c>
      <c r="B35" s="236"/>
      <c r="C35" s="236"/>
      <c r="D35" s="236" t="s">
        <v>62</v>
      </c>
      <c r="E35" s="239"/>
      <c r="F35" s="237"/>
      <c r="G35" s="237"/>
      <c r="H35" s="237"/>
      <c r="I35" s="237">
        <f>SUM(I36)</f>
        <v>1033.5999999999999</v>
      </c>
      <c r="J35" s="192"/>
    </row>
    <row r="36" spans="1:10" ht="31.5" x14ac:dyDescent="0.25">
      <c r="A36" s="201" t="s">
        <v>170</v>
      </c>
      <c r="B36" s="201" t="s">
        <v>40</v>
      </c>
      <c r="C36" s="201" t="s">
        <v>10</v>
      </c>
      <c r="D36" s="201" t="s">
        <v>45</v>
      </c>
      <c r="E36" s="202" t="s">
        <v>75</v>
      </c>
      <c r="F36" s="203">
        <f>Arquitetura!K386</f>
        <v>40</v>
      </c>
      <c r="G36" s="203">
        <v>20.14</v>
      </c>
      <c r="H36" s="203">
        <f>TRUNC(G36*$F$2+G36,2)</f>
        <v>25.84</v>
      </c>
      <c r="I36" s="203">
        <f>TRUNC(H36*F36,2)</f>
        <v>1033.5999999999999</v>
      </c>
    </row>
    <row r="37" spans="1:10" s="238" customFormat="1" x14ac:dyDescent="0.25">
      <c r="A37" s="236" t="s">
        <v>9</v>
      </c>
      <c r="B37" s="236"/>
      <c r="C37" s="236"/>
      <c r="D37" s="236" t="s">
        <v>383</v>
      </c>
      <c r="E37" s="239"/>
      <c r="F37" s="237"/>
      <c r="G37" s="237"/>
      <c r="H37" s="237"/>
      <c r="I37" s="237">
        <f>SUM(I38:I39)</f>
        <v>22901.949999999997</v>
      </c>
      <c r="J37" s="192"/>
    </row>
    <row r="38" spans="1:10" x14ac:dyDescent="0.25">
      <c r="A38" s="201" t="s">
        <v>41</v>
      </c>
      <c r="B38" s="201" t="s">
        <v>39</v>
      </c>
      <c r="C38" s="201" t="s">
        <v>36</v>
      </c>
      <c r="D38" s="201" t="s">
        <v>52</v>
      </c>
      <c r="E38" s="202" t="s">
        <v>25</v>
      </c>
      <c r="F38" s="203">
        <f>Arquitetura!K400+Estrutural!B9</f>
        <v>548.54999999999995</v>
      </c>
      <c r="G38" s="203">
        <v>17.34</v>
      </c>
      <c r="H38" s="203">
        <f t="shared" ref="H38:H39" si="4">TRUNC(G38*$F$2+G38,2)</f>
        <v>22.25</v>
      </c>
      <c r="I38" s="203">
        <f t="shared" ref="I38:I39" si="5">TRUNC(H38*F38,2)</f>
        <v>12205.23</v>
      </c>
    </row>
    <row r="39" spans="1:10" ht="47.25" x14ac:dyDescent="0.25">
      <c r="A39" s="201" t="s">
        <v>43</v>
      </c>
      <c r="B39" s="201" t="s">
        <v>864</v>
      </c>
      <c r="C39" s="201" t="s">
        <v>36</v>
      </c>
      <c r="D39" s="201" t="s">
        <v>865</v>
      </c>
      <c r="E39" s="202" t="s">
        <v>77</v>
      </c>
      <c r="F39" s="203">
        <f>F38*10</f>
        <v>5485.5</v>
      </c>
      <c r="G39" s="203">
        <v>1.52</v>
      </c>
      <c r="H39" s="203">
        <f t="shared" si="4"/>
        <v>1.95</v>
      </c>
      <c r="I39" s="203">
        <f t="shared" si="5"/>
        <v>10696.72</v>
      </c>
    </row>
    <row r="40" spans="1:10" s="238" customFormat="1" x14ac:dyDescent="0.25">
      <c r="A40" s="240">
        <v>7</v>
      </c>
      <c r="B40" s="236"/>
      <c r="C40" s="236"/>
      <c r="D40" s="236" t="s">
        <v>54</v>
      </c>
      <c r="E40" s="239"/>
      <c r="F40" s="237"/>
      <c r="G40" s="237"/>
      <c r="H40" s="237"/>
      <c r="I40" s="237">
        <f>SUM(I41:I54)</f>
        <v>44357.27</v>
      </c>
      <c r="J40" s="192"/>
    </row>
    <row r="41" spans="1:10" ht="31.5" x14ac:dyDescent="0.25">
      <c r="A41" s="201" t="s">
        <v>29</v>
      </c>
      <c r="B41" s="201" t="s">
        <v>866</v>
      </c>
      <c r="C41" s="201" t="s">
        <v>36</v>
      </c>
      <c r="D41" s="201" t="s">
        <v>867</v>
      </c>
      <c r="E41" s="202" t="s">
        <v>25</v>
      </c>
      <c r="F41" s="203">
        <f>Estrutural!B4</f>
        <v>20.07</v>
      </c>
      <c r="G41" s="203">
        <v>64.599999999999994</v>
      </c>
      <c r="H41" s="203">
        <f t="shared" ref="H41:H54" si="6">TRUNC(G41*$F$2+G41,2)</f>
        <v>82.91</v>
      </c>
      <c r="I41" s="203">
        <f t="shared" ref="I41:I54" si="7">TRUNC(H41*F41,2)</f>
        <v>1664</v>
      </c>
    </row>
    <row r="42" spans="1:10" ht="31.5" x14ac:dyDescent="0.25">
      <c r="A42" s="201" t="s">
        <v>30</v>
      </c>
      <c r="B42" s="201" t="s">
        <v>868</v>
      </c>
      <c r="C42" s="201" t="s">
        <v>36</v>
      </c>
      <c r="D42" s="201" t="s">
        <v>869</v>
      </c>
      <c r="E42" s="202" t="s">
        <v>25</v>
      </c>
      <c r="F42" s="203">
        <f>Estrutural!B5</f>
        <v>32.25</v>
      </c>
      <c r="G42" s="203">
        <v>84.88</v>
      </c>
      <c r="H42" s="203">
        <f t="shared" si="6"/>
        <v>108.94</v>
      </c>
      <c r="I42" s="203">
        <f t="shared" si="7"/>
        <v>3513.31</v>
      </c>
    </row>
    <row r="43" spans="1:10" ht="31.5" x14ac:dyDescent="0.25">
      <c r="A43" s="201" t="s">
        <v>31</v>
      </c>
      <c r="B43" s="201" t="s">
        <v>78</v>
      </c>
      <c r="C43" s="201" t="s">
        <v>36</v>
      </c>
      <c r="D43" s="201" t="s">
        <v>76</v>
      </c>
      <c r="E43" s="202" t="s">
        <v>24</v>
      </c>
      <c r="F43" s="203">
        <f>Estrutural!B6</f>
        <v>106.65</v>
      </c>
      <c r="G43" s="203">
        <v>4.1500000000000004</v>
      </c>
      <c r="H43" s="203">
        <f t="shared" si="6"/>
        <v>5.32</v>
      </c>
      <c r="I43" s="203">
        <f t="shared" si="7"/>
        <v>567.37</v>
      </c>
    </row>
    <row r="44" spans="1:10" ht="31.5" x14ac:dyDescent="0.25">
      <c r="A44" s="201" t="s">
        <v>32</v>
      </c>
      <c r="B44" s="201" t="s">
        <v>386</v>
      </c>
      <c r="C44" s="201" t="s">
        <v>36</v>
      </c>
      <c r="D44" s="201" t="s">
        <v>387</v>
      </c>
      <c r="E44" s="202" t="s">
        <v>24</v>
      </c>
      <c r="F44" s="203">
        <f>Estrutural!B7</f>
        <v>106.65</v>
      </c>
      <c r="G44" s="203">
        <v>20.85</v>
      </c>
      <c r="H44" s="203">
        <f t="shared" si="6"/>
        <v>26.76</v>
      </c>
      <c r="I44" s="203">
        <f t="shared" si="7"/>
        <v>2853.95</v>
      </c>
    </row>
    <row r="45" spans="1:10" ht="31.5" x14ac:dyDescent="0.25">
      <c r="A45" s="201" t="s">
        <v>33</v>
      </c>
      <c r="B45" s="201" t="s">
        <v>384</v>
      </c>
      <c r="C45" s="201" t="s">
        <v>36</v>
      </c>
      <c r="D45" s="201" t="s">
        <v>385</v>
      </c>
      <c r="E45" s="202" t="s">
        <v>25</v>
      </c>
      <c r="F45" s="203">
        <f>Estrutural!B8</f>
        <v>28.52</v>
      </c>
      <c r="G45" s="203">
        <v>19.27</v>
      </c>
      <c r="H45" s="203">
        <f t="shared" si="6"/>
        <v>24.73</v>
      </c>
      <c r="I45" s="203">
        <f t="shared" si="7"/>
        <v>705.29</v>
      </c>
    </row>
    <row r="46" spans="1:10" ht="31.5" x14ac:dyDescent="0.25">
      <c r="A46" s="201" t="s">
        <v>34</v>
      </c>
      <c r="B46" s="201" t="s">
        <v>73</v>
      </c>
      <c r="C46" s="201" t="s">
        <v>36</v>
      </c>
      <c r="D46" s="201" t="s">
        <v>13</v>
      </c>
      <c r="E46" s="202" t="s">
        <v>24</v>
      </c>
      <c r="F46" s="203">
        <f>Estrutural!B10</f>
        <v>179</v>
      </c>
      <c r="G46" s="203">
        <v>9.5399999999999991</v>
      </c>
      <c r="H46" s="203">
        <f t="shared" si="6"/>
        <v>12.24</v>
      </c>
      <c r="I46" s="203">
        <f t="shared" si="7"/>
        <v>2190.96</v>
      </c>
    </row>
    <row r="47" spans="1:10" ht="47.25" x14ac:dyDescent="0.25">
      <c r="A47" s="201" t="s">
        <v>1260</v>
      </c>
      <c r="B47" s="201" t="s">
        <v>870</v>
      </c>
      <c r="C47" s="201" t="s">
        <v>36</v>
      </c>
      <c r="D47" s="201" t="s">
        <v>871</v>
      </c>
      <c r="E47" s="202" t="s">
        <v>24</v>
      </c>
      <c r="F47" s="203">
        <f>Estrutural!B13</f>
        <v>30.2</v>
      </c>
      <c r="G47" s="203">
        <v>58.46</v>
      </c>
      <c r="H47" s="203">
        <f t="shared" si="6"/>
        <v>75.03</v>
      </c>
      <c r="I47" s="203">
        <f t="shared" si="7"/>
        <v>2265.9</v>
      </c>
    </row>
    <row r="48" spans="1:10" ht="47.25" x14ac:dyDescent="0.25">
      <c r="A48" s="201" t="s">
        <v>1261</v>
      </c>
      <c r="B48" s="201" t="s">
        <v>388</v>
      </c>
      <c r="C48" s="201" t="s">
        <v>36</v>
      </c>
      <c r="D48" s="201" t="s">
        <v>389</v>
      </c>
      <c r="E48" s="202" t="s">
        <v>24</v>
      </c>
      <c r="F48" s="203">
        <f>Estrutural!B14</f>
        <v>179</v>
      </c>
      <c r="G48" s="203">
        <v>37.81</v>
      </c>
      <c r="H48" s="203">
        <f t="shared" si="6"/>
        <v>48.52</v>
      </c>
      <c r="I48" s="203">
        <f t="shared" si="7"/>
        <v>8685.08</v>
      </c>
    </row>
    <row r="49" spans="1:10" ht="47.25" x14ac:dyDescent="0.25">
      <c r="A49" s="201" t="s">
        <v>1262</v>
      </c>
      <c r="B49" s="201" t="s">
        <v>872</v>
      </c>
      <c r="C49" s="201" t="s">
        <v>10</v>
      </c>
      <c r="D49" s="201" t="s">
        <v>873</v>
      </c>
      <c r="E49" s="202" t="s">
        <v>874</v>
      </c>
      <c r="F49" s="203">
        <f>Estrutural!B15</f>
        <v>23.8</v>
      </c>
      <c r="G49" s="203">
        <v>421.72</v>
      </c>
      <c r="H49" s="203">
        <f t="shared" si="6"/>
        <v>541.27</v>
      </c>
      <c r="I49" s="203">
        <f t="shared" si="7"/>
        <v>12882.22</v>
      </c>
    </row>
    <row r="50" spans="1:10" ht="31.5" x14ac:dyDescent="0.25">
      <c r="A50" s="201" t="s">
        <v>1263</v>
      </c>
      <c r="B50" s="201" t="s">
        <v>393</v>
      </c>
      <c r="C50" s="201" t="s">
        <v>36</v>
      </c>
      <c r="D50" s="201" t="s">
        <v>394</v>
      </c>
      <c r="E50" s="202" t="s">
        <v>22</v>
      </c>
      <c r="F50" s="203">
        <f>Estrutural!B16</f>
        <v>156</v>
      </c>
      <c r="G50" s="203">
        <v>11.01</v>
      </c>
      <c r="H50" s="203">
        <f t="shared" si="6"/>
        <v>14.13</v>
      </c>
      <c r="I50" s="203">
        <f t="shared" si="7"/>
        <v>2204.2800000000002</v>
      </c>
    </row>
    <row r="51" spans="1:10" ht="31.5" x14ac:dyDescent="0.25">
      <c r="A51" s="201" t="s">
        <v>1264</v>
      </c>
      <c r="B51" s="201" t="s">
        <v>396</v>
      </c>
      <c r="C51" s="201" t="s">
        <v>36</v>
      </c>
      <c r="D51" s="201" t="s">
        <v>397</v>
      </c>
      <c r="E51" s="202" t="s">
        <v>22</v>
      </c>
      <c r="F51" s="203">
        <f>Estrutural!B17</f>
        <v>4</v>
      </c>
      <c r="G51" s="203">
        <v>9.56</v>
      </c>
      <c r="H51" s="203">
        <f t="shared" si="6"/>
        <v>12.27</v>
      </c>
      <c r="I51" s="203">
        <f t="shared" si="7"/>
        <v>49.08</v>
      </c>
    </row>
    <row r="52" spans="1:10" ht="31.5" x14ac:dyDescent="0.25">
      <c r="A52" s="201" t="s">
        <v>1265</v>
      </c>
      <c r="B52" s="201" t="s">
        <v>400</v>
      </c>
      <c r="C52" s="201" t="s">
        <v>36</v>
      </c>
      <c r="D52" s="201" t="s">
        <v>401</v>
      </c>
      <c r="E52" s="202" t="s">
        <v>22</v>
      </c>
      <c r="F52" s="203">
        <f>Estrutural!B18</f>
        <v>529</v>
      </c>
      <c r="G52" s="203">
        <v>7.48</v>
      </c>
      <c r="H52" s="203">
        <f t="shared" si="6"/>
        <v>9.6</v>
      </c>
      <c r="I52" s="203">
        <f t="shared" si="7"/>
        <v>5078.3999999999996</v>
      </c>
    </row>
    <row r="53" spans="1:10" ht="31.5" x14ac:dyDescent="0.25">
      <c r="A53" s="201" t="s">
        <v>1266</v>
      </c>
      <c r="B53" s="201" t="s">
        <v>402</v>
      </c>
      <c r="C53" s="201" t="s">
        <v>36</v>
      </c>
      <c r="D53" s="201" t="s">
        <v>403</v>
      </c>
      <c r="E53" s="202" t="s">
        <v>22</v>
      </c>
      <c r="F53" s="203">
        <f>Estrutural!B19</f>
        <v>133</v>
      </c>
      <c r="G53" s="203">
        <v>6.66</v>
      </c>
      <c r="H53" s="203">
        <f t="shared" si="6"/>
        <v>8.5399999999999991</v>
      </c>
      <c r="I53" s="203">
        <f t="shared" si="7"/>
        <v>1135.82</v>
      </c>
    </row>
    <row r="54" spans="1:10" ht="31.5" x14ac:dyDescent="0.25">
      <c r="A54" s="201" t="s">
        <v>1267</v>
      </c>
      <c r="B54" s="201" t="s">
        <v>404</v>
      </c>
      <c r="C54" s="201" t="s">
        <v>36</v>
      </c>
      <c r="D54" s="201" t="s">
        <v>405</v>
      </c>
      <c r="E54" s="202" t="s">
        <v>22</v>
      </c>
      <c r="F54" s="203">
        <f>Estrutural!B20</f>
        <v>71</v>
      </c>
      <c r="G54" s="203">
        <v>6.17</v>
      </c>
      <c r="H54" s="203">
        <f t="shared" si="6"/>
        <v>7.91</v>
      </c>
      <c r="I54" s="203">
        <f t="shared" si="7"/>
        <v>561.61</v>
      </c>
    </row>
    <row r="55" spans="1:10" s="238" customFormat="1" x14ac:dyDescent="0.25">
      <c r="A55" s="240">
        <v>8</v>
      </c>
      <c r="B55" s="236"/>
      <c r="C55" s="236"/>
      <c r="D55" s="236" t="s">
        <v>406</v>
      </c>
      <c r="E55" s="239"/>
      <c r="F55" s="237"/>
      <c r="G55" s="237"/>
      <c r="H55" s="237"/>
      <c r="I55" s="237">
        <f>SUM(I56:I67)</f>
        <v>65868.44</v>
      </c>
      <c r="J55" s="383"/>
    </row>
    <row r="56" spans="1:10" ht="31.5" x14ac:dyDescent="0.25">
      <c r="A56" s="201" t="s">
        <v>15</v>
      </c>
      <c r="B56" s="201" t="s">
        <v>407</v>
      </c>
      <c r="C56" s="201" t="s">
        <v>36</v>
      </c>
      <c r="D56" s="201" t="s">
        <v>408</v>
      </c>
      <c r="E56" s="202" t="s">
        <v>24</v>
      </c>
      <c r="F56" s="203">
        <f>Estrutural!B23</f>
        <v>101.8</v>
      </c>
      <c r="G56" s="203">
        <v>50.03</v>
      </c>
      <c r="H56" s="203">
        <f t="shared" ref="H56:H67" si="8">TRUNC(G56*$F$2+G56,2)</f>
        <v>64.209999999999994</v>
      </c>
      <c r="I56" s="203">
        <f t="shared" ref="I56:I67" si="9">TRUNC(H56*F56,2)</f>
        <v>6536.57</v>
      </c>
    </row>
    <row r="57" spans="1:10" ht="31.5" x14ac:dyDescent="0.25">
      <c r="A57" s="201" t="s">
        <v>16</v>
      </c>
      <c r="B57" s="201" t="s">
        <v>409</v>
      </c>
      <c r="C57" s="201" t="s">
        <v>36</v>
      </c>
      <c r="D57" s="201" t="s">
        <v>410</v>
      </c>
      <c r="E57" s="202" t="s">
        <v>24</v>
      </c>
      <c r="F57" s="203">
        <f>Estrutural!B24</f>
        <v>194.4</v>
      </c>
      <c r="G57" s="203">
        <v>38.79</v>
      </c>
      <c r="H57" s="203">
        <f t="shared" si="8"/>
        <v>49.78</v>
      </c>
      <c r="I57" s="203">
        <f t="shared" si="9"/>
        <v>9677.23</v>
      </c>
    </row>
    <row r="58" spans="1:10" ht="47.25" x14ac:dyDescent="0.25">
      <c r="A58" s="201" t="s">
        <v>17</v>
      </c>
      <c r="B58" s="201" t="s">
        <v>390</v>
      </c>
      <c r="C58" s="201" t="s">
        <v>10</v>
      </c>
      <c r="D58" s="201" t="s">
        <v>391</v>
      </c>
      <c r="E58" s="202" t="s">
        <v>25</v>
      </c>
      <c r="F58" s="203">
        <f>Estrutural!B25</f>
        <v>23.799999999999997</v>
      </c>
      <c r="G58" s="203">
        <v>378.44</v>
      </c>
      <c r="H58" s="203">
        <f t="shared" si="8"/>
        <v>485.72</v>
      </c>
      <c r="I58" s="203">
        <f t="shared" si="9"/>
        <v>11560.13</v>
      </c>
    </row>
    <row r="59" spans="1:10" ht="63" x14ac:dyDescent="0.25">
      <c r="A59" s="201" t="s">
        <v>18</v>
      </c>
      <c r="B59" s="201" t="s">
        <v>412</v>
      </c>
      <c r="C59" s="201" t="s">
        <v>36</v>
      </c>
      <c r="D59" s="201" t="s">
        <v>413</v>
      </c>
      <c r="E59" s="202" t="s">
        <v>22</v>
      </c>
      <c r="F59" s="203">
        <f>Estrutural!B26</f>
        <v>259</v>
      </c>
      <c r="G59" s="203">
        <v>11.07</v>
      </c>
      <c r="H59" s="203">
        <f t="shared" si="8"/>
        <v>14.2</v>
      </c>
      <c r="I59" s="203">
        <f t="shared" si="9"/>
        <v>3677.8</v>
      </c>
    </row>
    <row r="60" spans="1:10" ht="63" x14ac:dyDescent="0.25">
      <c r="A60" s="201" t="s">
        <v>19</v>
      </c>
      <c r="B60" s="201" t="s">
        <v>415</v>
      </c>
      <c r="C60" s="201" t="s">
        <v>36</v>
      </c>
      <c r="D60" s="201" t="s">
        <v>416</v>
      </c>
      <c r="E60" s="202" t="s">
        <v>22</v>
      </c>
      <c r="F60" s="203">
        <f>Estrutural!B27</f>
        <v>82</v>
      </c>
      <c r="G60" s="203">
        <v>9.6</v>
      </c>
      <c r="H60" s="203">
        <f t="shared" si="8"/>
        <v>12.32</v>
      </c>
      <c r="I60" s="203">
        <f t="shared" si="9"/>
        <v>1010.24</v>
      </c>
    </row>
    <row r="61" spans="1:10" ht="63" x14ac:dyDescent="0.25">
      <c r="A61" s="201" t="s">
        <v>20</v>
      </c>
      <c r="B61" s="201" t="s">
        <v>418</v>
      </c>
      <c r="C61" s="201" t="s">
        <v>36</v>
      </c>
      <c r="D61" s="201" t="s">
        <v>419</v>
      </c>
      <c r="E61" s="202" t="s">
        <v>22</v>
      </c>
      <c r="F61" s="203">
        <f>Estrutural!B28</f>
        <v>136</v>
      </c>
      <c r="G61" s="203">
        <v>9.17</v>
      </c>
      <c r="H61" s="203">
        <f t="shared" si="8"/>
        <v>11.76</v>
      </c>
      <c r="I61" s="203">
        <f t="shared" si="9"/>
        <v>1599.36</v>
      </c>
    </row>
    <row r="62" spans="1:10" ht="63" x14ac:dyDescent="0.25">
      <c r="A62" s="201" t="s">
        <v>248</v>
      </c>
      <c r="B62" s="201" t="s">
        <v>421</v>
      </c>
      <c r="C62" s="201" t="s">
        <v>36</v>
      </c>
      <c r="D62" s="201" t="s">
        <v>422</v>
      </c>
      <c r="E62" s="202" t="s">
        <v>22</v>
      </c>
      <c r="F62" s="203">
        <f>Estrutural!B29</f>
        <v>384</v>
      </c>
      <c r="G62" s="203">
        <v>7.43</v>
      </c>
      <c r="H62" s="203">
        <f t="shared" si="8"/>
        <v>9.5299999999999994</v>
      </c>
      <c r="I62" s="203">
        <f t="shared" si="9"/>
        <v>3659.52</v>
      </c>
    </row>
    <row r="63" spans="1:10" ht="63" x14ac:dyDescent="0.25">
      <c r="A63" s="201" t="s">
        <v>392</v>
      </c>
      <c r="B63" s="201" t="s">
        <v>423</v>
      </c>
      <c r="C63" s="201" t="s">
        <v>36</v>
      </c>
      <c r="D63" s="201" t="s">
        <v>424</v>
      </c>
      <c r="E63" s="202" t="s">
        <v>22</v>
      </c>
      <c r="F63" s="203">
        <f>Estrutural!B30</f>
        <v>149</v>
      </c>
      <c r="G63" s="203">
        <v>6.56</v>
      </c>
      <c r="H63" s="203">
        <f t="shared" si="8"/>
        <v>8.41</v>
      </c>
      <c r="I63" s="203">
        <f t="shared" si="9"/>
        <v>1253.0899999999999</v>
      </c>
    </row>
    <row r="64" spans="1:10" ht="63" x14ac:dyDescent="0.25">
      <c r="A64" s="201" t="s">
        <v>395</v>
      </c>
      <c r="B64" s="201" t="s">
        <v>425</v>
      </c>
      <c r="C64" s="201" t="s">
        <v>36</v>
      </c>
      <c r="D64" s="201" t="s">
        <v>426</v>
      </c>
      <c r="E64" s="202" t="s">
        <v>22</v>
      </c>
      <c r="F64" s="203">
        <f>Estrutural!B31</f>
        <v>1106</v>
      </c>
      <c r="G64" s="203">
        <v>6.02</v>
      </c>
      <c r="H64" s="203">
        <f t="shared" si="8"/>
        <v>7.72</v>
      </c>
      <c r="I64" s="203">
        <f t="shared" si="9"/>
        <v>8538.32</v>
      </c>
    </row>
    <row r="65" spans="1:10" ht="47.25" x14ac:dyDescent="0.25">
      <c r="A65" s="201" t="s">
        <v>398</v>
      </c>
      <c r="B65" s="201" t="s">
        <v>876</v>
      </c>
      <c r="C65" s="201" t="s">
        <v>10</v>
      </c>
      <c r="D65" s="201" t="s">
        <v>877</v>
      </c>
      <c r="E65" s="202" t="s">
        <v>24</v>
      </c>
      <c r="F65" s="203">
        <f>Estrutural!B33</f>
        <v>128.07345000000001</v>
      </c>
      <c r="G65" s="203">
        <v>79.790000000000006</v>
      </c>
      <c r="H65" s="203">
        <f t="shared" si="8"/>
        <v>102.41</v>
      </c>
      <c r="I65" s="203">
        <f t="shared" si="9"/>
        <v>13116</v>
      </c>
    </row>
    <row r="66" spans="1:10" ht="31.5" x14ac:dyDescent="0.25">
      <c r="A66" s="201" t="s">
        <v>399</v>
      </c>
      <c r="B66" s="201" t="s">
        <v>427</v>
      </c>
      <c r="C66" s="201" t="s">
        <v>36</v>
      </c>
      <c r="D66" s="201" t="s">
        <v>428</v>
      </c>
      <c r="E66" s="202" t="s">
        <v>24</v>
      </c>
      <c r="F66" s="203">
        <f>Estrutural!B34</f>
        <v>153.68</v>
      </c>
      <c r="G66" s="203">
        <v>9.58</v>
      </c>
      <c r="H66" s="203">
        <f t="shared" si="8"/>
        <v>12.29</v>
      </c>
      <c r="I66" s="203">
        <f t="shared" si="9"/>
        <v>1888.72</v>
      </c>
    </row>
    <row r="67" spans="1:10" ht="47.25" x14ac:dyDescent="0.25">
      <c r="A67" s="201" t="s">
        <v>875</v>
      </c>
      <c r="B67" s="201" t="s">
        <v>390</v>
      </c>
      <c r="C67" s="201" t="s">
        <v>10</v>
      </c>
      <c r="D67" s="201" t="s">
        <v>391</v>
      </c>
      <c r="E67" s="202" t="s">
        <v>25</v>
      </c>
      <c r="F67" s="203">
        <f>Estrutural!B35</f>
        <v>6.9</v>
      </c>
      <c r="G67" s="203">
        <v>378.44</v>
      </c>
      <c r="H67" s="203">
        <f t="shared" si="8"/>
        <v>485.72</v>
      </c>
      <c r="I67" s="203">
        <f t="shared" si="9"/>
        <v>3351.46</v>
      </c>
    </row>
    <row r="68" spans="1:10" s="238" customFormat="1" x14ac:dyDescent="0.25">
      <c r="A68" s="240">
        <v>9</v>
      </c>
      <c r="B68" s="236"/>
      <c r="C68" s="236"/>
      <c r="D68" s="236" t="s">
        <v>429</v>
      </c>
      <c r="E68" s="239"/>
      <c r="F68" s="237"/>
      <c r="G68" s="237"/>
      <c r="H68" s="237"/>
      <c r="I68" s="237">
        <f>SUM(I69:I75)</f>
        <v>74392.040000000008</v>
      </c>
      <c r="J68" s="192"/>
    </row>
    <row r="69" spans="1:10" ht="63" x14ac:dyDescent="0.25">
      <c r="A69" s="201" t="s">
        <v>80</v>
      </c>
      <c r="B69" s="201" t="s">
        <v>249</v>
      </c>
      <c r="C69" s="201" t="s">
        <v>36</v>
      </c>
      <c r="D69" s="201" t="s">
        <v>250</v>
      </c>
      <c r="E69" s="202" t="s">
        <v>24</v>
      </c>
      <c r="F69" s="203">
        <f>Arquitetura!K461</f>
        <v>449.86000000000007</v>
      </c>
      <c r="G69" s="203">
        <v>60.23</v>
      </c>
      <c r="H69" s="203">
        <f t="shared" ref="H69:H75" si="10">TRUNC(G69*$F$2+G69,2)</f>
        <v>77.3</v>
      </c>
      <c r="I69" s="203">
        <f t="shared" ref="I69:I75" si="11">TRUNC(H69*F69,2)</f>
        <v>34774.17</v>
      </c>
    </row>
    <row r="70" spans="1:10" ht="47.25" x14ac:dyDescent="0.25">
      <c r="A70" s="201" t="s">
        <v>0</v>
      </c>
      <c r="B70" s="201" t="s">
        <v>878</v>
      </c>
      <c r="C70" s="201" t="s">
        <v>36</v>
      </c>
      <c r="D70" s="201" t="s">
        <v>879</v>
      </c>
      <c r="E70" s="202" t="s">
        <v>24</v>
      </c>
      <c r="F70" s="203">
        <f>Arquitetura!K473</f>
        <v>210.92</v>
      </c>
      <c r="G70" s="203">
        <v>87</v>
      </c>
      <c r="H70" s="203">
        <f t="shared" si="10"/>
        <v>111.66</v>
      </c>
      <c r="I70" s="203">
        <f t="shared" si="11"/>
        <v>23551.32</v>
      </c>
    </row>
    <row r="71" spans="1:10" ht="47.25" x14ac:dyDescent="0.25">
      <c r="A71" s="201" t="s">
        <v>220</v>
      </c>
      <c r="B71" s="201" t="s">
        <v>880</v>
      </c>
      <c r="C71" s="201" t="s">
        <v>10</v>
      </c>
      <c r="D71" s="201" t="s">
        <v>881</v>
      </c>
      <c r="E71" s="202" t="s">
        <v>24</v>
      </c>
      <c r="F71" s="203">
        <f>Arquitetura!K478</f>
        <v>26.86</v>
      </c>
      <c r="G71" s="203">
        <v>421.86</v>
      </c>
      <c r="H71" s="203">
        <f t="shared" si="10"/>
        <v>541.45000000000005</v>
      </c>
      <c r="I71" s="203">
        <f t="shared" si="11"/>
        <v>14543.34</v>
      </c>
    </row>
    <row r="72" spans="1:10" ht="31.5" x14ac:dyDescent="0.25">
      <c r="A72" s="201" t="s">
        <v>411</v>
      </c>
      <c r="B72" s="201" t="s">
        <v>430</v>
      </c>
      <c r="C72" s="201" t="s">
        <v>36</v>
      </c>
      <c r="D72" s="201" t="s">
        <v>431</v>
      </c>
      <c r="E72" s="202" t="s">
        <v>12</v>
      </c>
      <c r="F72" s="203">
        <f>Arquitetura!K481</f>
        <v>5.8</v>
      </c>
      <c r="G72" s="203">
        <v>24.58</v>
      </c>
      <c r="H72" s="203">
        <f t="shared" si="10"/>
        <v>31.54</v>
      </c>
      <c r="I72" s="203">
        <f t="shared" si="11"/>
        <v>182.93</v>
      </c>
    </row>
    <row r="73" spans="1:10" ht="31.5" x14ac:dyDescent="0.25">
      <c r="A73" s="201" t="s">
        <v>414</v>
      </c>
      <c r="B73" s="201" t="s">
        <v>432</v>
      </c>
      <c r="C73" s="201" t="s">
        <v>36</v>
      </c>
      <c r="D73" s="201" t="s">
        <v>433</v>
      </c>
      <c r="E73" s="202" t="s">
        <v>12</v>
      </c>
      <c r="F73" s="203">
        <f>Arquitetura!K484</f>
        <v>5.8</v>
      </c>
      <c r="G73" s="203">
        <v>22.3</v>
      </c>
      <c r="H73" s="203">
        <f t="shared" si="10"/>
        <v>28.62</v>
      </c>
      <c r="I73" s="203">
        <f t="shared" si="11"/>
        <v>165.99</v>
      </c>
    </row>
    <row r="74" spans="1:10" ht="31.5" x14ac:dyDescent="0.25">
      <c r="A74" s="201" t="s">
        <v>417</v>
      </c>
      <c r="B74" s="201" t="s">
        <v>884</v>
      </c>
      <c r="C74" s="201" t="s">
        <v>36</v>
      </c>
      <c r="D74" s="201" t="s">
        <v>885</v>
      </c>
      <c r="E74" s="202" t="s">
        <v>12</v>
      </c>
      <c r="F74" s="203">
        <f>Arquitetura!K488</f>
        <v>17.600000000000001</v>
      </c>
      <c r="G74" s="203">
        <v>24.19</v>
      </c>
      <c r="H74" s="203">
        <f t="shared" si="10"/>
        <v>31.04</v>
      </c>
      <c r="I74" s="203">
        <f t="shared" si="11"/>
        <v>546.29999999999995</v>
      </c>
    </row>
    <row r="75" spans="1:10" ht="31.5" x14ac:dyDescent="0.25">
      <c r="A75" s="201" t="s">
        <v>420</v>
      </c>
      <c r="B75" s="201" t="s">
        <v>434</v>
      </c>
      <c r="C75" s="201" t="s">
        <v>36</v>
      </c>
      <c r="D75" s="201" t="s">
        <v>435</v>
      </c>
      <c r="E75" s="202" t="s">
        <v>12</v>
      </c>
      <c r="F75" s="203">
        <f>Arquitetura!K491</f>
        <v>33</v>
      </c>
      <c r="G75" s="203">
        <v>14.83</v>
      </c>
      <c r="H75" s="203">
        <f t="shared" si="10"/>
        <v>19.03</v>
      </c>
      <c r="I75" s="203">
        <f t="shared" si="11"/>
        <v>627.99</v>
      </c>
    </row>
    <row r="76" spans="1:10" s="238" customFormat="1" x14ac:dyDescent="0.25">
      <c r="A76" s="240">
        <v>10</v>
      </c>
      <c r="B76" s="236"/>
      <c r="C76" s="236"/>
      <c r="D76" s="236" t="s">
        <v>436</v>
      </c>
      <c r="E76" s="239"/>
      <c r="F76" s="237"/>
      <c r="G76" s="237"/>
      <c r="H76" s="237"/>
      <c r="I76" s="237">
        <f>SUM(I77:I84)</f>
        <v>109120.81999999999</v>
      </c>
      <c r="J76" s="192"/>
    </row>
    <row r="77" spans="1:10" ht="78.75" x14ac:dyDescent="0.25">
      <c r="A77" s="201" t="s">
        <v>56</v>
      </c>
      <c r="B77" s="201" t="s">
        <v>887</v>
      </c>
      <c r="C77" s="201" t="s">
        <v>36</v>
      </c>
      <c r="D77" s="201" t="s">
        <v>888</v>
      </c>
      <c r="E77" s="202" t="s">
        <v>48</v>
      </c>
      <c r="F77" s="203">
        <f>Arquitetura!K529</f>
        <v>49</v>
      </c>
      <c r="G77" s="203">
        <v>706.53</v>
      </c>
      <c r="H77" s="203">
        <f t="shared" ref="H77:H84" si="12">TRUNC(G77*$F$2+G77,2)</f>
        <v>906.83</v>
      </c>
      <c r="I77" s="203">
        <f t="shared" ref="I77:I84" si="13">TRUNC(H77*F77,2)</f>
        <v>44434.67</v>
      </c>
    </row>
    <row r="78" spans="1:10" ht="47.25" x14ac:dyDescent="0.25">
      <c r="A78" s="201" t="s">
        <v>57</v>
      </c>
      <c r="B78" s="201" t="s">
        <v>283</v>
      </c>
      <c r="C78" s="201" t="s">
        <v>36</v>
      </c>
      <c r="D78" s="201" t="s">
        <v>284</v>
      </c>
      <c r="E78" s="202" t="s">
        <v>24</v>
      </c>
      <c r="F78" s="203">
        <f>Arquitetura!K545</f>
        <v>25.580000000000002</v>
      </c>
      <c r="G78" s="203">
        <v>654.62</v>
      </c>
      <c r="H78" s="203">
        <f t="shared" si="12"/>
        <v>840.2</v>
      </c>
      <c r="I78" s="203">
        <f t="shared" si="13"/>
        <v>21492.31</v>
      </c>
    </row>
    <row r="79" spans="1:10" ht="47.25" x14ac:dyDescent="0.25">
      <c r="A79" s="201" t="s">
        <v>58</v>
      </c>
      <c r="B79" s="201" t="s">
        <v>890</v>
      </c>
      <c r="C79" s="201" t="s">
        <v>36</v>
      </c>
      <c r="D79" s="201" t="s">
        <v>891</v>
      </c>
      <c r="E79" s="202" t="s">
        <v>24</v>
      </c>
      <c r="F79" s="203">
        <f>Arquitetura!K550</f>
        <v>3.7800000000000002</v>
      </c>
      <c r="G79" s="203">
        <v>889.43</v>
      </c>
      <c r="H79" s="203">
        <f t="shared" si="12"/>
        <v>1141.58</v>
      </c>
      <c r="I79" s="203">
        <f t="shared" si="13"/>
        <v>4315.17</v>
      </c>
    </row>
    <row r="80" spans="1:10" ht="47.25" x14ac:dyDescent="0.25">
      <c r="A80" s="201" t="s">
        <v>342</v>
      </c>
      <c r="B80" s="201" t="s">
        <v>893</v>
      </c>
      <c r="C80" s="201" t="s">
        <v>36</v>
      </c>
      <c r="D80" s="201" t="s">
        <v>894</v>
      </c>
      <c r="E80" s="202" t="s">
        <v>24</v>
      </c>
      <c r="F80" s="203">
        <f>Arquitetura!K554</f>
        <v>1.68</v>
      </c>
      <c r="G80" s="203">
        <v>589.02</v>
      </c>
      <c r="H80" s="203">
        <f t="shared" si="12"/>
        <v>756</v>
      </c>
      <c r="I80" s="203">
        <f t="shared" si="13"/>
        <v>1270.08</v>
      </c>
    </row>
    <row r="81" spans="1:10" ht="31.5" x14ac:dyDescent="0.25">
      <c r="A81" s="201" t="s">
        <v>882</v>
      </c>
      <c r="B81" s="201" t="s">
        <v>896</v>
      </c>
      <c r="C81" s="201" t="s">
        <v>10</v>
      </c>
      <c r="D81" s="201" t="s">
        <v>897</v>
      </c>
      <c r="E81" s="202" t="s">
        <v>48</v>
      </c>
      <c r="F81" s="203">
        <f>Arquitetura!K564</f>
        <v>5</v>
      </c>
      <c r="G81" s="203">
        <v>3949.76</v>
      </c>
      <c r="H81" s="203">
        <f t="shared" si="12"/>
        <v>5069.51</v>
      </c>
      <c r="I81" s="203">
        <f t="shared" si="13"/>
        <v>25347.55</v>
      </c>
    </row>
    <row r="82" spans="1:10" ht="31.5" x14ac:dyDescent="0.25">
      <c r="A82" s="201" t="s">
        <v>883</v>
      </c>
      <c r="B82" s="201" t="s">
        <v>899</v>
      </c>
      <c r="C82" s="201" t="s">
        <v>10</v>
      </c>
      <c r="D82" s="201" t="s">
        <v>900</v>
      </c>
      <c r="E82" s="202" t="s">
        <v>48</v>
      </c>
      <c r="F82" s="203">
        <f>Arquitetura!K567</f>
        <v>1</v>
      </c>
      <c r="G82" s="203">
        <v>3763.37</v>
      </c>
      <c r="H82" s="203">
        <f t="shared" si="12"/>
        <v>4830.28</v>
      </c>
      <c r="I82" s="203">
        <f t="shared" si="13"/>
        <v>4830.28</v>
      </c>
    </row>
    <row r="83" spans="1:10" ht="31.5" x14ac:dyDescent="0.25">
      <c r="A83" s="201" t="s">
        <v>886</v>
      </c>
      <c r="B83" s="201" t="s">
        <v>902</v>
      </c>
      <c r="C83" s="201" t="s">
        <v>36</v>
      </c>
      <c r="D83" s="201" t="s">
        <v>903</v>
      </c>
      <c r="E83" s="202" t="s">
        <v>24</v>
      </c>
      <c r="F83" s="203">
        <f>Arquitetura!K574</f>
        <v>8.19</v>
      </c>
      <c r="G83" s="203">
        <v>532.66999999999996</v>
      </c>
      <c r="H83" s="203">
        <f t="shared" si="12"/>
        <v>683.68</v>
      </c>
      <c r="I83" s="203">
        <f t="shared" si="13"/>
        <v>5599.33</v>
      </c>
    </row>
    <row r="84" spans="1:10" ht="31.5" x14ac:dyDescent="0.25">
      <c r="A84" s="201" t="s">
        <v>1268</v>
      </c>
      <c r="B84" s="201" t="s">
        <v>905</v>
      </c>
      <c r="C84" s="201" t="s">
        <v>36</v>
      </c>
      <c r="D84" s="201" t="s">
        <v>906</v>
      </c>
      <c r="E84" s="202" t="s">
        <v>24</v>
      </c>
      <c r="F84" s="203">
        <f>Arquitetura!K577</f>
        <v>3.45</v>
      </c>
      <c r="G84" s="203">
        <v>413.6</v>
      </c>
      <c r="H84" s="203">
        <f t="shared" si="12"/>
        <v>530.85</v>
      </c>
      <c r="I84" s="203">
        <f t="shared" si="13"/>
        <v>1831.43</v>
      </c>
    </row>
    <row r="85" spans="1:10" s="238" customFormat="1" x14ac:dyDescent="0.25">
      <c r="A85" s="240">
        <v>11</v>
      </c>
      <c r="B85" s="236"/>
      <c r="C85" s="236"/>
      <c r="D85" s="236" t="s">
        <v>219</v>
      </c>
      <c r="E85" s="239"/>
      <c r="F85" s="237"/>
      <c r="G85" s="237"/>
      <c r="H85" s="237"/>
      <c r="I85" s="237">
        <f>SUM(I86:I96)</f>
        <v>54974.959999999992</v>
      </c>
      <c r="J85" s="192"/>
    </row>
    <row r="86" spans="1:10" ht="63" x14ac:dyDescent="0.25">
      <c r="A86" s="201" t="s">
        <v>49</v>
      </c>
      <c r="B86" s="201" t="s">
        <v>907</v>
      </c>
      <c r="C86" s="201" t="s">
        <v>36</v>
      </c>
      <c r="D86" s="201" t="s">
        <v>908</v>
      </c>
      <c r="E86" s="202" t="s">
        <v>24</v>
      </c>
      <c r="F86" s="203">
        <v>92.55</v>
      </c>
      <c r="G86" s="203">
        <v>10.46</v>
      </c>
      <c r="H86" s="203">
        <f t="shared" ref="H86:H96" si="14">TRUNC(G86*$F$2+G86,2)</f>
        <v>13.42</v>
      </c>
      <c r="I86" s="203">
        <f t="shared" ref="I86:I96" si="15">TRUNC(H86*F86,2)</f>
        <v>1242.02</v>
      </c>
    </row>
    <row r="87" spans="1:10" ht="63" x14ac:dyDescent="0.25">
      <c r="A87" s="201" t="s">
        <v>437</v>
      </c>
      <c r="B87" s="201" t="s">
        <v>909</v>
      </c>
      <c r="C87" s="201" t="s">
        <v>36</v>
      </c>
      <c r="D87" s="201" t="s">
        <v>910</v>
      </c>
      <c r="E87" s="202" t="s">
        <v>24</v>
      </c>
      <c r="F87" s="203">
        <v>92.55</v>
      </c>
      <c r="G87" s="203">
        <v>33.97</v>
      </c>
      <c r="H87" s="203">
        <f t="shared" si="14"/>
        <v>43.6</v>
      </c>
      <c r="I87" s="203">
        <f t="shared" si="15"/>
        <v>4035.18</v>
      </c>
    </row>
    <row r="88" spans="1:10" ht="31.5" x14ac:dyDescent="0.25">
      <c r="A88" s="201" t="s">
        <v>889</v>
      </c>
      <c r="B88" s="201" t="s">
        <v>251</v>
      </c>
      <c r="C88" s="201" t="s">
        <v>10</v>
      </c>
      <c r="D88" s="201" t="s">
        <v>222</v>
      </c>
      <c r="E88" s="202" t="s">
        <v>22</v>
      </c>
      <c r="F88" s="203">
        <f>Metálica!E36</f>
        <v>1019.4507575000001</v>
      </c>
      <c r="G88" s="203">
        <v>8</v>
      </c>
      <c r="H88" s="203">
        <f t="shared" si="14"/>
        <v>10.26</v>
      </c>
      <c r="I88" s="203">
        <f t="shared" si="15"/>
        <v>10459.56</v>
      </c>
    </row>
    <row r="89" spans="1:10" x14ac:dyDescent="0.25">
      <c r="A89" s="201" t="s">
        <v>892</v>
      </c>
      <c r="B89" s="201" t="s">
        <v>221</v>
      </c>
      <c r="C89" s="201" t="s">
        <v>10</v>
      </c>
      <c r="D89" s="201" t="s">
        <v>229</v>
      </c>
      <c r="E89" s="202" t="s">
        <v>22</v>
      </c>
      <c r="F89" s="203">
        <f>F88</f>
        <v>1019.4507575000001</v>
      </c>
      <c r="G89" s="203">
        <v>2.4500000000000002</v>
      </c>
      <c r="H89" s="203">
        <f t="shared" si="14"/>
        <v>3.14</v>
      </c>
      <c r="I89" s="203">
        <f t="shared" si="15"/>
        <v>3201.07</v>
      </c>
    </row>
    <row r="90" spans="1:10" ht="47.25" x14ac:dyDescent="0.25">
      <c r="A90" s="201" t="s">
        <v>895</v>
      </c>
      <c r="B90" s="201" t="s">
        <v>44</v>
      </c>
      <c r="C90" s="201" t="s">
        <v>36</v>
      </c>
      <c r="D90" s="201" t="s">
        <v>68</v>
      </c>
      <c r="E90" s="202" t="s">
        <v>24</v>
      </c>
      <c r="F90" s="203">
        <f>Metálica!E37</f>
        <v>96.81</v>
      </c>
      <c r="G90" s="203">
        <v>14.54</v>
      </c>
      <c r="H90" s="203">
        <f t="shared" si="14"/>
        <v>18.66</v>
      </c>
      <c r="I90" s="203">
        <f t="shared" si="15"/>
        <v>1806.47</v>
      </c>
    </row>
    <row r="91" spans="1:10" ht="31.5" x14ac:dyDescent="0.25">
      <c r="A91" s="201" t="s">
        <v>898</v>
      </c>
      <c r="B91" s="201" t="s">
        <v>440</v>
      </c>
      <c r="C91" s="201" t="s">
        <v>36</v>
      </c>
      <c r="D91" s="201" t="s">
        <v>348</v>
      </c>
      <c r="E91" s="202" t="s">
        <v>22</v>
      </c>
      <c r="F91" s="203">
        <f>Metálica!E38</f>
        <v>14.678560511999997</v>
      </c>
      <c r="G91" s="203">
        <v>4.8499999999999996</v>
      </c>
      <c r="H91" s="203">
        <f t="shared" si="14"/>
        <v>6.22</v>
      </c>
      <c r="I91" s="203">
        <f t="shared" si="15"/>
        <v>91.3</v>
      </c>
    </row>
    <row r="92" spans="1:10" ht="31.5" x14ac:dyDescent="0.25">
      <c r="A92" s="201" t="s">
        <v>901</v>
      </c>
      <c r="B92" s="201" t="s">
        <v>441</v>
      </c>
      <c r="C92" s="201" t="s">
        <v>36</v>
      </c>
      <c r="D92" s="201" t="s">
        <v>349</v>
      </c>
      <c r="E92" s="202" t="s">
        <v>22</v>
      </c>
      <c r="F92" s="203">
        <f>Metálica!E39</f>
        <v>4.6240425000000007</v>
      </c>
      <c r="G92" s="203">
        <v>4.92</v>
      </c>
      <c r="H92" s="203">
        <f t="shared" si="14"/>
        <v>6.31</v>
      </c>
      <c r="I92" s="203">
        <f t="shared" si="15"/>
        <v>29.17</v>
      </c>
    </row>
    <row r="93" spans="1:10" ht="31.5" x14ac:dyDescent="0.25">
      <c r="A93" s="201" t="s">
        <v>904</v>
      </c>
      <c r="B93" s="201" t="s">
        <v>911</v>
      </c>
      <c r="C93" s="201" t="s">
        <v>36</v>
      </c>
      <c r="D93" s="201" t="s">
        <v>912</v>
      </c>
      <c r="E93" s="202" t="s">
        <v>12</v>
      </c>
      <c r="F93" s="203">
        <f>Arquitetura!K581</f>
        <v>150</v>
      </c>
      <c r="G93" s="203">
        <v>41.5</v>
      </c>
      <c r="H93" s="203">
        <f t="shared" si="14"/>
        <v>53.26</v>
      </c>
      <c r="I93" s="203">
        <f t="shared" si="15"/>
        <v>7989</v>
      </c>
    </row>
    <row r="94" spans="1:10" ht="31.5" x14ac:dyDescent="0.25">
      <c r="A94" s="201" t="s">
        <v>1269</v>
      </c>
      <c r="B94" s="201" t="s">
        <v>913</v>
      </c>
      <c r="C94" s="201" t="s">
        <v>10</v>
      </c>
      <c r="D94" s="201" t="s">
        <v>914</v>
      </c>
      <c r="E94" s="202" t="s">
        <v>12</v>
      </c>
      <c r="F94" s="203">
        <f>Arquitetura!K584</f>
        <v>70.7</v>
      </c>
      <c r="G94" s="203">
        <v>45.4</v>
      </c>
      <c r="H94" s="203">
        <f t="shared" si="14"/>
        <v>58.27</v>
      </c>
      <c r="I94" s="203">
        <f t="shared" si="15"/>
        <v>4119.68</v>
      </c>
    </row>
    <row r="95" spans="1:10" ht="47.25" x14ac:dyDescent="0.25">
      <c r="A95" s="201" t="s">
        <v>1270</v>
      </c>
      <c r="B95" s="201" t="s">
        <v>915</v>
      </c>
      <c r="C95" s="201" t="s">
        <v>36</v>
      </c>
      <c r="D95" s="201" t="s">
        <v>916</v>
      </c>
      <c r="E95" s="202" t="s">
        <v>12</v>
      </c>
      <c r="F95" s="203">
        <f>Arquitetura!K587</f>
        <v>253</v>
      </c>
      <c r="G95" s="203">
        <v>47.06</v>
      </c>
      <c r="H95" s="203">
        <f t="shared" si="14"/>
        <v>60.4</v>
      </c>
      <c r="I95" s="203">
        <f t="shared" si="15"/>
        <v>15281.2</v>
      </c>
    </row>
    <row r="96" spans="1:10" ht="31.5" x14ac:dyDescent="0.25">
      <c r="A96" s="201" t="s">
        <v>1271</v>
      </c>
      <c r="B96" s="201" t="s">
        <v>438</v>
      </c>
      <c r="C96" s="201" t="s">
        <v>36</v>
      </c>
      <c r="D96" s="201" t="s">
        <v>439</v>
      </c>
      <c r="E96" s="202" t="s">
        <v>12</v>
      </c>
      <c r="F96" s="203">
        <f>Arquitetura!K590</f>
        <v>215.05</v>
      </c>
      <c r="G96" s="203">
        <v>24.35</v>
      </c>
      <c r="H96" s="203">
        <f t="shared" si="14"/>
        <v>31.25</v>
      </c>
      <c r="I96" s="203">
        <f t="shared" si="15"/>
        <v>6720.31</v>
      </c>
    </row>
    <row r="97" spans="1:10" s="238" customFormat="1" x14ac:dyDescent="0.25">
      <c r="A97" s="240">
        <v>12</v>
      </c>
      <c r="B97" s="236"/>
      <c r="C97" s="236"/>
      <c r="D97" s="236" t="s">
        <v>252</v>
      </c>
      <c r="E97" s="239"/>
      <c r="F97" s="237"/>
      <c r="G97" s="237"/>
      <c r="H97" s="237"/>
      <c r="I97" s="237">
        <f>SUM(I98)</f>
        <v>35073.839999999997</v>
      </c>
      <c r="J97" s="192"/>
    </row>
    <row r="98" spans="1:10" ht="31.5" x14ac:dyDescent="0.25">
      <c r="A98" s="201" t="s">
        <v>38</v>
      </c>
      <c r="B98" s="201" t="s">
        <v>917</v>
      </c>
      <c r="C98" s="201" t="s">
        <v>36</v>
      </c>
      <c r="D98" s="201" t="s">
        <v>918</v>
      </c>
      <c r="E98" s="202" t="s">
        <v>24</v>
      </c>
      <c r="F98" s="203">
        <f>Arquitetura!K606</f>
        <v>2027.39</v>
      </c>
      <c r="G98" s="203">
        <v>13.48</v>
      </c>
      <c r="H98" s="203">
        <f>TRUNC(G98*$F$2+G98,2)</f>
        <v>17.3</v>
      </c>
      <c r="I98" s="203">
        <f>TRUNC(H98*F98,2)</f>
        <v>35073.839999999997</v>
      </c>
    </row>
    <row r="99" spans="1:10" s="238" customFormat="1" x14ac:dyDescent="0.25">
      <c r="A99" s="240">
        <v>13</v>
      </c>
      <c r="B99" s="236"/>
      <c r="C99" s="236"/>
      <c r="D99" s="236" t="s">
        <v>55</v>
      </c>
      <c r="E99" s="239"/>
      <c r="F99" s="237"/>
      <c r="G99" s="237"/>
      <c r="H99" s="237"/>
      <c r="I99" s="237">
        <f>SUM(I100:I103)</f>
        <v>107947.73999999999</v>
      </c>
      <c r="J99" s="192"/>
    </row>
    <row r="100" spans="1:10" ht="63" x14ac:dyDescent="0.25">
      <c r="A100" s="201" t="s">
        <v>223</v>
      </c>
      <c r="B100" s="201" t="s">
        <v>442</v>
      </c>
      <c r="C100" s="201" t="s">
        <v>36</v>
      </c>
      <c r="D100" s="201" t="s">
        <v>443</v>
      </c>
      <c r="E100" s="202" t="s">
        <v>24</v>
      </c>
      <c r="F100" s="203">
        <f>Arquitetura!K674</f>
        <v>1636.6499999999996</v>
      </c>
      <c r="G100" s="203">
        <v>4.55</v>
      </c>
      <c r="H100" s="203">
        <f t="shared" ref="H100:H103" si="16">TRUNC(G100*$F$2+G100,2)</f>
        <v>5.83</v>
      </c>
      <c r="I100" s="203">
        <f t="shared" ref="I100:I103" si="17">TRUNC(H100*F100,2)</f>
        <v>9541.66</v>
      </c>
    </row>
    <row r="101" spans="1:10" ht="78.75" x14ac:dyDescent="0.25">
      <c r="A101" s="201" t="s">
        <v>224</v>
      </c>
      <c r="B101" s="201" t="s">
        <v>53</v>
      </c>
      <c r="C101" s="201" t="s">
        <v>36</v>
      </c>
      <c r="D101" s="201" t="s">
        <v>1</v>
      </c>
      <c r="E101" s="202" t="s">
        <v>24</v>
      </c>
      <c r="F101" s="203">
        <f>Arquitetura!K757</f>
        <v>1871.44</v>
      </c>
      <c r="G101" s="203">
        <v>23.99</v>
      </c>
      <c r="H101" s="203">
        <f t="shared" si="16"/>
        <v>30.79</v>
      </c>
      <c r="I101" s="203">
        <f t="shared" si="17"/>
        <v>57621.63</v>
      </c>
    </row>
    <row r="102" spans="1:10" ht="78.75" x14ac:dyDescent="0.25">
      <c r="A102" s="201" t="s">
        <v>225</v>
      </c>
      <c r="B102" s="201" t="s">
        <v>919</v>
      </c>
      <c r="C102" s="201" t="s">
        <v>36</v>
      </c>
      <c r="D102" s="201" t="s">
        <v>920</v>
      </c>
      <c r="E102" s="202" t="s">
        <v>24</v>
      </c>
      <c r="F102" s="203">
        <f>Arquitetura!K788</f>
        <v>465.07999999999993</v>
      </c>
      <c r="G102" s="203">
        <v>50.85</v>
      </c>
      <c r="H102" s="203">
        <f t="shared" si="16"/>
        <v>65.260000000000005</v>
      </c>
      <c r="I102" s="203">
        <f t="shared" si="17"/>
        <v>30351.119999999999</v>
      </c>
    </row>
    <row r="103" spans="1:10" ht="63" x14ac:dyDescent="0.25">
      <c r="A103" s="201" t="s">
        <v>1272</v>
      </c>
      <c r="B103" s="201" t="s">
        <v>921</v>
      </c>
      <c r="C103" s="201" t="s">
        <v>36</v>
      </c>
      <c r="D103" s="201" t="s">
        <v>922</v>
      </c>
      <c r="E103" s="202" t="s">
        <v>24</v>
      </c>
      <c r="F103" s="203">
        <f>Arquitetura!K792</f>
        <v>64.02</v>
      </c>
      <c r="G103" s="203">
        <v>126.98</v>
      </c>
      <c r="H103" s="203">
        <f t="shared" si="16"/>
        <v>162.97</v>
      </c>
      <c r="I103" s="203">
        <f t="shared" si="17"/>
        <v>10433.33</v>
      </c>
    </row>
    <row r="104" spans="1:10" s="238" customFormat="1" x14ac:dyDescent="0.25">
      <c r="A104" s="240">
        <v>14</v>
      </c>
      <c r="B104" s="236"/>
      <c r="C104" s="236"/>
      <c r="D104" s="236" t="s">
        <v>444</v>
      </c>
      <c r="E104" s="239"/>
      <c r="F104" s="237"/>
      <c r="G104" s="237"/>
      <c r="H104" s="237"/>
      <c r="I104" s="237">
        <f>SUM(I105)</f>
        <v>8484.75</v>
      </c>
      <c r="J104" s="192"/>
    </row>
    <row r="105" spans="1:10" ht="31.5" x14ac:dyDescent="0.25">
      <c r="A105" s="201" t="s">
        <v>226</v>
      </c>
      <c r="B105" s="201" t="s">
        <v>445</v>
      </c>
      <c r="C105" s="201" t="s">
        <v>36</v>
      </c>
      <c r="D105" s="201" t="s">
        <v>446</v>
      </c>
      <c r="E105" s="202" t="s">
        <v>24</v>
      </c>
      <c r="F105" s="203">
        <f>Arquitetura!K805</f>
        <v>113.63000000000001</v>
      </c>
      <c r="G105" s="203">
        <v>58.18</v>
      </c>
      <c r="H105" s="203">
        <f>TRUNC(G105*$F$2+G105,2)</f>
        <v>74.67</v>
      </c>
      <c r="I105" s="203">
        <f>TRUNC(H105*F105,2)</f>
        <v>8484.75</v>
      </c>
    </row>
    <row r="106" spans="1:10" s="238" customFormat="1" x14ac:dyDescent="0.25">
      <c r="A106" s="240">
        <v>15</v>
      </c>
      <c r="B106" s="236"/>
      <c r="C106" s="236"/>
      <c r="D106" s="236" t="s">
        <v>28</v>
      </c>
      <c r="E106" s="239"/>
      <c r="F106" s="237"/>
      <c r="G106" s="237"/>
      <c r="H106" s="237"/>
      <c r="I106" s="237">
        <f>SUM(I107:I116)</f>
        <v>141405.87</v>
      </c>
      <c r="J106" s="192"/>
    </row>
    <row r="107" spans="1:10" ht="31.5" x14ac:dyDescent="0.25">
      <c r="A107" s="201" t="s">
        <v>281</v>
      </c>
      <c r="B107" s="201" t="s">
        <v>649</v>
      </c>
      <c r="C107" s="201" t="s">
        <v>36</v>
      </c>
      <c r="D107" s="201" t="s">
        <v>650</v>
      </c>
      <c r="E107" s="202" t="s">
        <v>24</v>
      </c>
      <c r="F107" s="203">
        <f>Arquitetura!K905</f>
        <v>4173.32</v>
      </c>
      <c r="G107" s="203">
        <v>7.32</v>
      </c>
      <c r="H107" s="203">
        <f t="shared" ref="H107:H116" si="18">TRUNC(G107*$F$2+G107,2)</f>
        <v>9.39</v>
      </c>
      <c r="I107" s="203">
        <f t="shared" ref="I107:I116" si="19">TRUNC(H107*F107,2)</f>
        <v>39187.47</v>
      </c>
    </row>
    <row r="108" spans="1:10" ht="31.5" x14ac:dyDescent="0.25">
      <c r="A108" s="201" t="s">
        <v>282</v>
      </c>
      <c r="B108" s="201" t="s">
        <v>255</v>
      </c>
      <c r="C108" s="201" t="s">
        <v>36</v>
      </c>
      <c r="D108" s="201" t="s">
        <v>256</v>
      </c>
      <c r="E108" s="202" t="s">
        <v>24</v>
      </c>
      <c r="F108" s="203">
        <f>Arquitetura!K1005</f>
        <v>4173.32</v>
      </c>
      <c r="G108" s="203">
        <v>7.66</v>
      </c>
      <c r="H108" s="203">
        <f t="shared" si="18"/>
        <v>9.83</v>
      </c>
      <c r="I108" s="203">
        <f t="shared" si="19"/>
        <v>41023.730000000003</v>
      </c>
    </row>
    <row r="109" spans="1:10" ht="31.5" x14ac:dyDescent="0.25">
      <c r="A109" s="201" t="s">
        <v>1273</v>
      </c>
      <c r="B109" s="201" t="s">
        <v>923</v>
      </c>
      <c r="C109" s="201" t="s">
        <v>36</v>
      </c>
      <c r="D109" s="201" t="s">
        <v>924</v>
      </c>
      <c r="E109" s="202" t="s">
        <v>24</v>
      </c>
      <c r="F109" s="203">
        <f>Arquitetura!K1019</f>
        <v>151.54000000000002</v>
      </c>
      <c r="G109" s="203">
        <v>18.28</v>
      </c>
      <c r="H109" s="203">
        <f t="shared" si="18"/>
        <v>23.46</v>
      </c>
      <c r="I109" s="203">
        <f t="shared" si="19"/>
        <v>3555.12</v>
      </c>
    </row>
    <row r="110" spans="1:10" ht="31.5" x14ac:dyDescent="0.25">
      <c r="A110" s="201" t="s">
        <v>1274</v>
      </c>
      <c r="B110" s="201" t="s">
        <v>925</v>
      </c>
      <c r="C110" s="201" t="s">
        <v>36</v>
      </c>
      <c r="D110" s="201" t="s">
        <v>926</v>
      </c>
      <c r="E110" s="202" t="s">
        <v>24</v>
      </c>
      <c r="F110" s="203">
        <f>Arquitetura!K1117</f>
        <v>1543.9600000000012</v>
      </c>
      <c r="G110" s="203">
        <v>8.56</v>
      </c>
      <c r="H110" s="203">
        <f t="shared" si="18"/>
        <v>10.98</v>
      </c>
      <c r="I110" s="203">
        <f t="shared" si="19"/>
        <v>16952.68</v>
      </c>
    </row>
    <row r="111" spans="1:10" ht="31.5" x14ac:dyDescent="0.25">
      <c r="A111" s="201" t="s">
        <v>1275</v>
      </c>
      <c r="B111" s="201" t="s">
        <v>23</v>
      </c>
      <c r="C111" s="201" t="s">
        <v>36</v>
      </c>
      <c r="D111" s="201" t="s">
        <v>66</v>
      </c>
      <c r="E111" s="202" t="s">
        <v>24</v>
      </c>
      <c r="F111" s="203">
        <f>Arquitetura!K1134</f>
        <v>1536.99</v>
      </c>
      <c r="G111" s="203">
        <v>1.6</v>
      </c>
      <c r="H111" s="203">
        <f t="shared" si="18"/>
        <v>2.0499999999999998</v>
      </c>
      <c r="I111" s="203">
        <f t="shared" si="19"/>
        <v>3150.82</v>
      </c>
    </row>
    <row r="112" spans="1:10" ht="31.5" x14ac:dyDescent="0.25">
      <c r="A112" s="201" t="s">
        <v>1276</v>
      </c>
      <c r="B112" s="201" t="s">
        <v>927</v>
      </c>
      <c r="C112" s="201" t="s">
        <v>36</v>
      </c>
      <c r="D112" s="201" t="s">
        <v>928</v>
      </c>
      <c r="E112" s="202" t="s">
        <v>24</v>
      </c>
      <c r="F112" s="203">
        <f>Arquitetura!K1151</f>
        <v>1536.99</v>
      </c>
      <c r="G112" s="203">
        <v>10.06</v>
      </c>
      <c r="H112" s="203">
        <f t="shared" si="18"/>
        <v>12.91</v>
      </c>
      <c r="I112" s="203">
        <f t="shared" si="19"/>
        <v>19842.54</v>
      </c>
    </row>
    <row r="113" spans="1:10" x14ac:dyDescent="0.25">
      <c r="A113" s="201" t="s">
        <v>1277</v>
      </c>
      <c r="B113" s="201" t="s">
        <v>929</v>
      </c>
      <c r="C113" s="201" t="s">
        <v>36</v>
      </c>
      <c r="D113" s="201" t="s">
        <v>930</v>
      </c>
      <c r="E113" s="202" t="s">
        <v>24</v>
      </c>
      <c r="F113" s="203">
        <f>Arquitetura!K1184</f>
        <v>399.41999999999985</v>
      </c>
      <c r="G113" s="203">
        <v>13.81</v>
      </c>
      <c r="H113" s="203">
        <f t="shared" si="18"/>
        <v>17.72</v>
      </c>
      <c r="I113" s="203">
        <f t="shared" si="19"/>
        <v>7077.72</v>
      </c>
    </row>
    <row r="114" spans="1:10" ht="47.25" x14ac:dyDescent="0.25">
      <c r="A114" s="201" t="s">
        <v>1278</v>
      </c>
      <c r="B114" s="201" t="s">
        <v>44</v>
      </c>
      <c r="C114" s="201" t="s">
        <v>36</v>
      </c>
      <c r="D114" s="201" t="s">
        <v>68</v>
      </c>
      <c r="E114" s="202" t="s">
        <v>24</v>
      </c>
      <c r="F114" s="203">
        <f>Arquitetura!K1220</f>
        <v>473.05000000000013</v>
      </c>
      <c r="G114" s="203">
        <v>14.54</v>
      </c>
      <c r="H114" s="203">
        <f t="shared" si="18"/>
        <v>18.66</v>
      </c>
      <c r="I114" s="203">
        <f t="shared" si="19"/>
        <v>8827.11</v>
      </c>
    </row>
    <row r="115" spans="1:10" ht="31.5" x14ac:dyDescent="0.25">
      <c r="A115" s="201" t="s">
        <v>1279</v>
      </c>
      <c r="B115" s="201" t="s">
        <v>931</v>
      </c>
      <c r="C115" s="201" t="s">
        <v>36</v>
      </c>
      <c r="D115" s="201" t="s">
        <v>932</v>
      </c>
      <c r="E115" s="202" t="s">
        <v>12</v>
      </c>
      <c r="F115" s="203">
        <f>Arquitetura!K1223</f>
        <v>120.93</v>
      </c>
      <c r="G115" s="203">
        <v>9.36</v>
      </c>
      <c r="H115" s="203">
        <f t="shared" si="18"/>
        <v>12.01</v>
      </c>
      <c r="I115" s="203">
        <f t="shared" si="19"/>
        <v>1452.36</v>
      </c>
    </row>
    <row r="116" spans="1:10" ht="31.5" x14ac:dyDescent="0.25">
      <c r="A116" s="201" t="s">
        <v>1280</v>
      </c>
      <c r="B116" s="201" t="s">
        <v>253</v>
      </c>
      <c r="C116" s="201" t="s">
        <v>36</v>
      </c>
      <c r="D116" s="201" t="s">
        <v>254</v>
      </c>
      <c r="E116" s="202" t="s">
        <v>24</v>
      </c>
      <c r="F116" s="203">
        <f>Arquitetura!K1226</f>
        <v>16</v>
      </c>
      <c r="G116" s="203">
        <v>16.38</v>
      </c>
      <c r="H116" s="203">
        <f t="shared" si="18"/>
        <v>21.02</v>
      </c>
      <c r="I116" s="203">
        <f t="shared" si="19"/>
        <v>336.32</v>
      </c>
    </row>
    <row r="117" spans="1:10" s="238" customFormat="1" x14ac:dyDescent="0.25">
      <c r="A117" s="240">
        <v>16</v>
      </c>
      <c r="B117" s="236"/>
      <c r="C117" s="236"/>
      <c r="D117" s="236" t="s">
        <v>447</v>
      </c>
      <c r="E117" s="239"/>
      <c r="F117" s="237"/>
      <c r="G117" s="237"/>
      <c r="H117" s="237"/>
      <c r="I117" s="237">
        <f>SUM(I118:I121)</f>
        <v>144927.91999999998</v>
      </c>
      <c r="J117" s="192"/>
    </row>
    <row r="118" spans="1:10" ht="47.25" x14ac:dyDescent="0.25">
      <c r="A118" s="201" t="s">
        <v>285</v>
      </c>
      <c r="B118" s="201" t="s">
        <v>933</v>
      </c>
      <c r="C118" s="201" t="s">
        <v>36</v>
      </c>
      <c r="D118" s="201" t="s">
        <v>934</v>
      </c>
      <c r="E118" s="202" t="s">
        <v>24</v>
      </c>
      <c r="F118" s="203">
        <f>Arquitetura!K1230</f>
        <v>126.48</v>
      </c>
      <c r="G118" s="203">
        <v>64.59</v>
      </c>
      <c r="H118" s="203">
        <f t="shared" ref="H118:H121" si="20">TRUNC(G118*$F$2+G118,2)</f>
        <v>82.9</v>
      </c>
      <c r="I118" s="203">
        <f t="shared" ref="I118:I121" si="21">TRUNC(H118*F118,2)</f>
        <v>10485.19</v>
      </c>
    </row>
    <row r="119" spans="1:10" ht="63" x14ac:dyDescent="0.25">
      <c r="A119" s="201" t="s">
        <v>288</v>
      </c>
      <c r="B119" s="201" t="s">
        <v>935</v>
      </c>
      <c r="C119" s="201" t="s">
        <v>36</v>
      </c>
      <c r="D119" s="201" t="s">
        <v>936</v>
      </c>
      <c r="E119" s="202" t="s">
        <v>24</v>
      </c>
      <c r="F119" s="203">
        <f>Arquitetura!K1236</f>
        <v>21.11</v>
      </c>
      <c r="G119" s="203">
        <v>28.55</v>
      </c>
      <c r="H119" s="203">
        <f t="shared" si="20"/>
        <v>36.64</v>
      </c>
      <c r="I119" s="203">
        <f t="shared" si="21"/>
        <v>773.47</v>
      </c>
    </row>
    <row r="120" spans="1:10" ht="31.5" x14ac:dyDescent="0.25">
      <c r="A120" s="201" t="s">
        <v>291</v>
      </c>
      <c r="B120" s="201" t="s">
        <v>448</v>
      </c>
      <c r="C120" s="201" t="s">
        <v>36</v>
      </c>
      <c r="D120" s="201" t="s">
        <v>449</v>
      </c>
      <c r="E120" s="202" t="s">
        <v>24</v>
      </c>
      <c r="F120" s="203">
        <f>Arquitetura!K1302</f>
        <v>910.56</v>
      </c>
      <c r="G120" s="203">
        <v>95.34</v>
      </c>
      <c r="H120" s="203">
        <f t="shared" si="20"/>
        <v>122.36</v>
      </c>
      <c r="I120" s="203">
        <f t="shared" si="21"/>
        <v>111416.12</v>
      </c>
    </row>
    <row r="121" spans="1:10" x14ac:dyDescent="0.25">
      <c r="A121" s="201" t="s">
        <v>292</v>
      </c>
      <c r="B121" s="201" t="s">
        <v>450</v>
      </c>
      <c r="C121" s="201" t="s">
        <v>10</v>
      </c>
      <c r="D121" s="201" t="s">
        <v>451</v>
      </c>
      <c r="E121" s="202" t="s">
        <v>12</v>
      </c>
      <c r="F121" s="203">
        <f>Arquitetura!K1360</f>
        <v>783.01000000000022</v>
      </c>
      <c r="G121" s="203">
        <v>22.15</v>
      </c>
      <c r="H121" s="203">
        <f t="shared" si="20"/>
        <v>28.42</v>
      </c>
      <c r="I121" s="203">
        <f t="shared" si="21"/>
        <v>22253.14</v>
      </c>
    </row>
    <row r="122" spans="1:10" s="238" customFormat="1" x14ac:dyDescent="0.25">
      <c r="A122" s="240">
        <v>17</v>
      </c>
      <c r="B122" s="236"/>
      <c r="C122" s="236"/>
      <c r="D122" s="236" t="s">
        <v>351</v>
      </c>
      <c r="E122" s="239"/>
      <c r="F122" s="237"/>
      <c r="G122" s="237"/>
      <c r="H122" s="237"/>
      <c r="I122" s="237">
        <f>SUM(I123:I127)</f>
        <v>31156.940000000002</v>
      </c>
      <c r="J122" s="192"/>
    </row>
    <row r="123" spans="1:10" ht="78.75" x14ac:dyDescent="0.25">
      <c r="A123" s="201" t="s">
        <v>296</v>
      </c>
      <c r="B123" s="201" t="s">
        <v>937</v>
      </c>
      <c r="C123" s="201" t="s">
        <v>36</v>
      </c>
      <c r="D123" s="201" t="s">
        <v>938</v>
      </c>
      <c r="E123" s="202" t="s">
        <v>48</v>
      </c>
      <c r="F123" s="203">
        <f>Arquitetura!K1376</f>
        <v>16</v>
      </c>
      <c r="G123" s="203">
        <v>500.02</v>
      </c>
      <c r="H123" s="203">
        <f t="shared" ref="H123:H127" si="22">TRUNC(G123*$F$2+G123,2)</f>
        <v>641.77</v>
      </c>
      <c r="I123" s="203">
        <f t="shared" ref="I123:I127" si="23">TRUNC(H123*F123,2)</f>
        <v>10268.32</v>
      </c>
    </row>
    <row r="124" spans="1:10" ht="94.5" x14ac:dyDescent="0.25">
      <c r="A124" s="201" t="s">
        <v>297</v>
      </c>
      <c r="B124" s="201" t="s">
        <v>452</v>
      </c>
      <c r="C124" s="201" t="s">
        <v>36</v>
      </c>
      <c r="D124" s="201" t="s">
        <v>453</v>
      </c>
      <c r="E124" s="202" t="s">
        <v>48</v>
      </c>
      <c r="F124" s="203">
        <f>Arquitetura!K1382</f>
        <v>2</v>
      </c>
      <c r="G124" s="203">
        <v>861.39</v>
      </c>
      <c r="H124" s="203">
        <f t="shared" si="22"/>
        <v>1105.5899999999999</v>
      </c>
      <c r="I124" s="203">
        <f t="shared" si="23"/>
        <v>2211.1799999999998</v>
      </c>
    </row>
    <row r="125" spans="1:10" ht="63" x14ac:dyDescent="0.25">
      <c r="A125" s="201" t="s">
        <v>298</v>
      </c>
      <c r="B125" s="201" t="s">
        <v>939</v>
      </c>
      <c r="C125" s="201" t="s">
        <v>36</v>
      </c>
      <c r="D125" s="201" t="s">
        <v>940</v>
      </c>
      <c r="E125" s="202" t="s">
        <v>48</v>
      </c>
      <c r="F125" s="203">
        <f>Arquitetura!K1390</f>
        <v>3</v>
      </c>
      <c r="G125" s="203">
        <v>203.29</v>
      </c>
      <c r="H125" s="203">
        <f t="shared" si="22"/>
        <v>260.92</v>
      </c>
      <c r="I125" s="203">
        <f t="shared" si="23"/>
        <v>782.76</v>
      </c>
    </row>
    <row r="126" spans="1:10" ht="78.75" x14ac:dyDescent="0.25">
      <c r="A126" s="201" t="s">
        <v>343</v>
      </c>
      <c r="B126" s="201" t="s">
        <v>286</v>
      </c>
      <c r="C126" s="201" t="s">
        <v>36</v>
      </c>
      <c r="D126" s="201" t="s">
        <v>287</v>
      </c>
      <c r="E126" s="202" t="s">
        <v>48</v>
      </c>
      <c r="F126" s="203">
        <f>Arquitetura!K1404</f>
        <v>12</v>
      </c>
      <c r="G126" s="203">
        <v>534.24</v>
      </c>
      <c r="H126" s="203">
        <f t="shared" si="22"/>
        <v>685.69</v>
      </c>
      <c r="I126" s="203">
        <f t="shared" si="23"/>
        <v>8228.2800000000007</v>
      </c>
    </row>
    <row r="127" spans="1:10" ht="63" x14ac:dyDescent="0.25">
      <c r="A127" s="201" t="s">
        <v>344</v>
      </c>
      <c r="B127" s="201" t="s">
        <v>289</v>
      </c>
      <c r="C127" s="201" t="s">
        <v>36</v>
      </c>
      <c r="D127" s="201" t="s">
        <v>290</v>
      </c>
      <c r="E127" s="202" t="s">
        <v>48</v>
      </c>
      <c r="F127" s="203">
        <f>Arquitetura!K1417</f>
        <v>20</v>
      </c>
      <c r="G127" s="203">
        <v>376.57</v>
      </c>
      <c r="H127" s="203">
        <f t="shared" si="22"/>
        <v>483.32</v>
      </c>
      <c r="I127" s="203">
        <f t="shared" si="23"/>
        <v>9666.4</v>
      </c>
    </row>
    <row r="128" spans="1:10" s="238" customFormat="1" x14ac:dyDescent="0.25">
      <c r="A128" s="240">
        <v>18</v>
      </c>
      <c r="B128" s="236"/>
      <c r="C128" s="236"/>
      <c r="D128" s="236" t="s">
        <v>301</v>
      </c>
      <c r="E128" s="239"/>
      <c r="F128" s="237"/>
      <c r="G128" s="237"/>
      <c r="H128" s="237"/>
      <c r="I128" s="237">
        <f>SUM(I129:I201)</f>
        <v>47298.969999999994</v>
      </c>
      <c r="J128" s="192"/>
    </row>
    <row r="129" spans="1:9" ht="63" x14ac:dyDescent="0.25">
      <c r="A129" s="201" t="s">
        <v>302</v>
      </c>
      <c r="B129" s="201" t="s">
        <v>941</v>
      </c>
      <c r="C129" s="201" t="s">
        <v>36</v>
      </c>
      <c r="D129" s="201" t="s">
        <v>942</v>
      </c>
      <c r="E129" s="202" t="s">
        <v>48</v>
      </c>
      <c r="F129" s="203">
        <f>Hidraulico!C6</f>
        <v>1</v>
      </c>
      <c r="G129" s="203">
        <v>246.87</v>
      </c>
      <c r="H129" s="203">
        <f t="shared" ref="H129:H193" si="24">TRUNC(G129*$F$2+G129,2)</f>
        <v>316.85000000000002</v>
      </c>
      <c r="I129" s="203">
        <f t="shared" ref="I129:I193" si="25">TRUNC(H129*F129,2)</f>
        <v>316.85000000000002</v>
      </c>
    </row>
    <row r="130" spans="1:9" ht="63" x14ac:dyDescent="0.25">
      <c r="A130" s="201" t="s">
        <v>305</v>
      </c>
      <c r="B130" s="201" t="s">
        <v>943</v>
      </c>
      <c r="C130" s="201" t="s">
        <v>36</v>
      </c>
      <c r="D130" s="201" t="s">
        <v>944</v>
      </c>
      <c r="E130" s="202" t="s">
        <v>48</v>
      </c>
      <c r="F130" s="203">
        <f>Hidraulico!C7</f>
        <v>1</v>
      </c>
      <c r="G130" s="203">
        <v>113.53</v>
      </c>
      <c r="H130" s="203">
        <f t="shared" si="24"/>
        <v>145.71</v>
      </c>
      <c r="I130" s="203">
        <f t="shared" si="25"/>
        <v>145.71</v>
      </c>
    </row>
    <row r="131" spans="1:9" ht="47.25" x14ac:dyDescent="0.25">
      <c r="A131" s="201" t="s">
        <v>306</v>
      </c>
      <c r="B131" s="201" t="s">
        <v>303</v>
      </c>
      <c r="C131" s="201" t="s">
        <v>36</v>
      </c>
      <c r="D131" s="201" t="s">
        <v>304</v>
      </c>
      <c r="E131" s="202" t="s">
        <v>48</v>
      </c>
      <c r="F131" s="203">
        <f>Hidraulico!C8</f>
        <v>21</v>
      </c>
      <c r="G131" s="203">
        <v>35.78</v>
      </c>
      <c r="H131" s="203">
        <f t="shared" si="24"/>
        <v>45.92</v>
      </c>
      <c r="I131" s="203">
        <f t="shared" si="25"/>
        <v>964.32</v>
      </c>
    </row>
    <row r="132" spans="1:9" ht="31.5" x14ac:dyDescent="0.25">
      <c r="A132" s="201" t="s">
        <v>309</v>
      </c>
      <c r="B132" s="201" t="s">
        <v>945</v>
      </c>
      <c r="C132" s="201" t="s">
        <v>36</v>
      </c>
      <c r="D132" s="201" t="s">
        <v>946</v>
      </c>
      <c r="E132" s="202" t="s">
        <v>48</v>
      </c>
      <c r="F132" s="203">
        <f>Hidraulico!C9</f>
        <v>1</v>
      </c>
      <c r="G132" s="203">
        <v>358.76</v>
      </c>
      <c r="H132" s="203">
        <f t="shared" si="24"/>
        <v>460.46</v>
      </c>
      <c r="I132" s="203">
        <f t="shared" si="25"/>
        <v>460.46</v>
      </c>
    </row>
    <row r="133" spans="1:9" ht="47.25" x14ac:dyDescent="0.25">
      <c r="A133" s="201" t="s">
        <v>312</v>
      </c>
      <c r="B133" s="201" t="s">
        <v>307</v>
      </c>
      <c r="C133" s="201" t="s">
        <v>36</v>
      </c>
      <c r="D133" s="201" t="s">
        <v>308</v>
      </c>
      <c r="E133" s="202" t="s">
        <v>48</v>
      </c>
      <c r="F133" s="203">
        <f>Hidraulico!C12</f>
        <v>42</v>
      </c>
      <c r="G133" s="203">
        <v>4.79</v>
      </c>
      <c r="H133" s="203">
        <f t="shared" si="24"/>
        <v>6.14</v>
      </c>
      <c r="I133" s="203">
        <f t="shared" si="25"/>
        <v>257.88</v>
      </c>
    </row>
    <row r="134" spans="1:9" ht="78.75" x14ac:dyDescent="0.25">
      <c r="A134" s="201" t="s">
        <v>313</v>
      </c>
      <c r="B134" s="201" t="s">
        <v>947</v>
      </c>
      <c r="C134" s="201" t="s">
        <v>36</v>
      </c>
      <c r="D134" s="201" t="s">
        <v>948</v>
      </c>
      <c r="E134" s="202" t="s">
        <v>48</v>
      </c>
      <c r="F134" s="203">
        <f>Hidraulico!C13</f>
        <v>2</v>
      </c>
      <c r="G134" s="203">
        <v>56.52</v>
      </c>
      <c r="H134" s="203">
        <f t="shared" si="24"/>
        <v>72.540000000000006</v>
      </c>
      <c r="I134" s="203">
        <f t="shared" si="25"/>
        <v>145.08000000000001</v>
      </c>
    </row>
    <row r="135" spans="1:9" x14ac:dyDescent="0.25">
      <c r="A135" s="201" t="s">
        <v>1281</v>
      </c>
      <c r="B135" s="201" t="s">
        <v>460</v>
      </c>
      <c r="C135" s="201" t="s">
        <v>10</v>
      </c>
      <c r="D135" s="201" t="s">
        <v>461</v>
      </c>
      <c r="E135" s="202" t="s">
        <v>48</v>
      </c>
      <c r="F135" s="203">
        <f>Hidraulico!C14</f>
        <v>4</v>
      </c>
      <c r="G135" s="203">
        <v>4.4000000000000004</v>
      </c>
      <c r="H135" s="203">
        <f t="shared" si="24"/>
        <v>5.64</v>
      </c>
      <c r="I135" s="203">
        <f t="shared" si="25"/>
        <v>22.56</v>
      </c>
    </row>
    <row r="136" spans="1:9" x14ac:dyDescent="0.25">
      <c r="A136" s="201" t="s">
        <v>1282</v>
      </c>
      <c r="B136" s="201" t="s">
        <v>949</v>
      </c>
      <c r="C136" s="201" t="s">
        <v>10</v>
      </c>
      <c r="D136" s="201" t="s">
        <v>950</v>
      </c>
      <c r="E136" s="202" t="s">
        <v>48</v>
      </c>
      <c r="F136" s="203">
        <f>Hidraulico!C15</f>
        <v>5</v>
      </c>
      <c r="G136" s="203">
        <v>11.54</v>
      </c>
      <c r="H136" s="203">
        <f t="shared" si="24"/>
        <v>14.81</v>
      </c>
      <c r="I136" s="203">
        <f t="shared" si="25"/>
        <v>74.05</v>
      </c>
    </row>
    <row r="137" spans="1:9" x14ac:dyDescent="0.25">
      <c r="A137" s="201" t="s">
        <v>1283</v>
      </c>
      <c r="B137" s="201" t="s">
        <v>951</v>
      </c>
      <c r="C137" s="201" t="s">
        <v>10</v>
      </c>
      <c r="D137" s="201" t="s">
        <v>952</v>
      </c>
      <c r="E137" s="202" t="s">
        <v>48</v>
      </c>
      <c r="F137" s="203">
        <f>Hidraulico!C16</f>
        <v>1</v>
      </c>
      <c r="G137" s="203">
        <v>7.79</v>
      </c>
      <c r="H137" s="203">
        <f t="shared" si="24"/>
        <v>9.99</v>
      </c>
      <c r="I137" s="203">
        <f t="shared" si="25"/>
        <v>9.99</v>
      </c>
    </row>
    <row r="138" spans="1:9" x14ac:dyDescent="0.25">
      <c r="A138" s="201" t="s">
        <v>1284</v>
      </c>
      <c r="B138" s="201" t="s">
        <v>457</v>
      </c>
      <c r="C138" s="201" t="s">
        <v>10</v>
      </c>
      <c r="D138" s="201" t="s">
        <v>458</v>
      </c>
      <c r="E138" s="202" t="s">
        <v>48</v>
      </c>
      <c r="F138" s="203">
        <f>Hidraulico!C17</f>
        <v>2</v>
      </c>
      <c r="G138" s="203">
        <v>14.51</v>
      </c>
      <c r="H138" s="203">
        <f t="shared" si="24"/>
        <v>18.62</v>
      </c>
      <c r="I138" s="203">
        <f t="shared" si="25"/>
        <v>37.24</v>
      </c>
    </row>
    <row r="139" spans="1:9" x14ac:dyDescent="0.25">
      <c r="A139" s="201" t="s">
        <v>1285</v>
      </c>
      <c r="B139" s="201" t="s">
        <v>953</v>
      </c>
      <c r="C139" s="201" t="s">
        <v>10</v>
      </c>
      <c r="D139" s="201" t="s">
        <v>954</v>
      </c>
      <c r="E139" s="202" t="s">
        <v>48</v>
      </c>
      <c r="F139" s="203">
        <f>Hidraulico!C18</f>
        <v>1</v>
      </c>
      <c r="G139" s="203">
        <v>17.82</v>
      </c>
      <c r="H139" s="203">
        <f t="shared" si="24"/>
        <v>22.87</v>
      </c>
      <c r="I139" s="203">
        <f t="shared" si="25"/>
        <v>22.87</v>
      </c>
    </row>
    <row r="140" spans="1:9" x14ac:dyDescent="0.25">
      <c r="A140" s="201" t="s">
        <v>1286</v>
      </c>
      <c r="B140" s="201" t="s">
        <v>454</v>
      </c>
      <c r="C140" s="201" t="s">
        <v>10</v>
      </c>
      <c r="D140" s="201" t="s">
        <v>455</v>
      </c>
      <c r="E140" s="202" t="s">
        <v>48</v>
      </c>
      <c r="F140" s="203">
        <f>Hidraulico!C19</f>
        <v>2</v>
      </c>
      <c r="G140" s="203">
        <v>13.57</v>
      </c>
      <c r="H140" s="203">
        <f t="shared" si="24"/>
        <v>17.41</v>
      </c>
      <c r="I140" s="203">
        <f t="shared" si="25"/>
        <v>34.82</v>
      </c>
    </row>
    <row r="141" spans="1:9" x14ac:dyDescent="0.25">
      <c r="A141" s="201" t="s">
        <v>1287</v>
      </c>
      <c r="B141" s="201" t="s">
        <v>651</v>
      </c>
      <c r="C141" s="201" t="s">
        <v>10</v>
      </c>
      <c r="D141" s="201" t="s">
        <v>652</v>
      </c>
      <c r="E141" s="202" t="s">
        <v>48</v>
      </c>
      <c r="F141" s="203">
        <f>Hidraulico!C20</f>
        <v>8</v>
      </c>
      <c r="G141" s="203">
        <v>11.48</v>
      </c>
      <c r="H141" s="203">
        <f t="shared" si="24"/>
        <v>14.73</v>
      </c>
      <c r="I141" s="203">
        <f t="shared" si="25"/>
        <v>117.84</v>
      </c>
    </row>
    <row r="142" spans="1:9" ht="47.25" x14ac:dyDescent="0.25">
      <c r="A142" s="201" t="s">
        <v>1288</v>
      </c>
      <c r="B142" s="201" t="s">
        <v>473</v>
      </c>
      <c r="C142" s="201" t="s">
        <v>36</v>
      </c>
      <c r="D142" s="201" t="s">
        <v>474</v>
      </c>
      <c r="E142" s="202" t="s">
        <v>48</v>
      </c>
      <c r="F142" s="203">
        <f>Hidraulico!C21</f>
        <v>1</v>
      </c>
      <c r="G142" s="203">
        <v>9.4499999999999993</v>
      </c>
      <c r="H142" s="203">
        <f t="shared" si="24"/>
        <v>12.12</v>
      </c>
      <c r="I142" s="203">
        <f t="shared" si="25"/>
        <v>12.12</v>
      </c>
    </row>
    <row r="143" spans="1:9" ht="47.25" x14ac:dyDescent="0.25">
      <c r="A143" s="201" t="s">
        <v>1289</v>
      </c>
      <c r="B143" s="201" t="s">
        <v>463</v>
      </c>
      <c r="C143" s="201" t="s">
        <v>36</v>
      </c>
      <c r="D143" s="201" t="s">
        <v>464</v>
      </c>
      <c r="E143" s="202" t="s">
        <v>48</v>
      </c>
      <c r="F143" s="203">
        <f>Hidraulico!C22</f>
        <v>13</v>
      </c>
      <c r="G143" s="203">
        <v>6.58</v>
      </c>
      <c r="H143" s="203">
        <f t="shared" si="24"/>
        <v>8.44</v>
      </c>
      <c r="I143" s="203">
        <f t="shared" si="25"/>
        <v>109.72</v>
      </c>
    </row>
    <row r="144" spans="1:9" ht="31.5" x14ac:dyDescent="0.25">
      <c r="A144" s="201" t="s">
        <v>1290</v>
      </c>
      <c r="B144" s="201" t="s">
        <v>466</v>
      </c>
      <c r="C144" s="201" t="s">
        <v>36</v>
      </c>
      <c r="D144" s="201" t="s">
        <v>467</v>
      </c>
      <c r="E144" s="202" t="s">
        <v>48</v>
      </c>
      <c r="F144" s="203">
        <f>Hidraulico!C23</f>
        <v>2</v>
      </c>
      <c r="G144" s="203">
        <v>10.23</v>
      </c>
      <c r="H144" s="203">
        <f t="shared" si="24"/>
        <v>13.13</v>
      </c>
      <c r="I144" s="203">
        <f t="shared" si="25"/>
        <v>26.26</v>
      </c>
    </row>
    <row r="145" spans="1:9" ht="31.5" x14ac:dyDescent="0.25">
      <c r="A145" s="201" t="s">
        <v>1291</v>
      </c>
      <c r="B145" s="201" t="s">
        <v>955</v>
      </c>
      <c r="C145" s="201" t="s">
        <v>36</v>
      </c>
      <c r="D145" s="201" t="s">
        <v>956</v>
      </c>
      <c r="E145" s="202" t="s">
        <v>48</v>
      </c>
      <c r="F145" s="203">
        <f>Hidraulico!C24</f>
        <v>7</v>
      </c>
      <c r="G145" s="203">
        <v>24.27</v>
      </c>
      <c r="H145" s="203">
        <f t="shared" si="24"/>
        <v>31.15</v>
      </c>
      <c r="I145" s="203">
        <f t="shared" si="25"/>
        <v>218.05</v>
      </c>
    </row>
    <row r="146" spans="1:9" ht="31.5" x14ac:dyDescent="0.25">
      <c r="A146" s="201" t="s">
        <v>1292</v>
      </c>
      <c r="B146" s="201" t="s">
        <v>469</v>
      </c>
      <c r="C146" s="201" t="s">
        <v>36</v>
      </c>
      <c r="D146" s="201" t="s">
        <v>470</v>
      </c>
      <c r="E146" s="202" t="s">
        <v>48</v>
      </c>
      <c r="F146" s="203">
        <f>Hidraulico!C25</f>
        <v>1</v>
      </c>
      <c r="G146" s="203">
        <v>9.32</v>
      </c>
      <c r="H146" s="203">
        <f t="shared" si="24"/>
        <v>11.96</v>
      </c>
      <c r="I146" s="203">
        <f t="shared" si="25"/>
        <v>11.96</v>
      </c>
    </row>
    <row r="147" spans="1:9" ht="31.5" x14ac:dyDescent="0.25">
      <c r="A147" s="201" t="s">
        <v>1293</v>
      </c>
      <c r="B147" s="201" t="s">
        <v>310</v>
      </c>
      <c r="C147" s="201" t="s">
        <v>36</v>
      </c>
      <c r="D147" s="201" t="s">
        <v>311</v>
      </c>
      <c r="E147" s="202" t="s">
        <v>48</v>
      </c>
      <c r="F147" s="203">
        <f>Hidraulico!C26</f>
        <v>103</v>
      </c>
      <c r="G147" s="203">
        <v>3.19</v>
      </c>
      <c r="H147" s="203">
        <f t="shared" si="24"/>
        <v>4.09</v>
      </c>
      <c r="I147" s="203">
        <f t="shared" si="25"/>
        <v>421.27</v>
      </c>
    </row>
    <row r="148" spans="1:9" ht="31.5" x14ac:dyDescent="0.25">
      <c r="A148" s="201" t="s">
        <v>1294</v>
      </c>
      <c r="B148" s="201" t="s">
        <v>957</v>
      </c>
      <c r="C148" s="201" t="s">
        <v>36</v>
      </c>
      <c r="D148" s="201" t="s">
        <v>958</v>
      </c>
      <c r="E148" s="202" t="s">
        <v>48</v>
      </c>
      <c r="F148" s="203">
        <f>Hidraulico!C27</f>
        <v>4</v>
      </c>
      <c r="G148" s="203">
        <v>24.92</v>
      </c>
      <c r="H148" s="203">
        <f t="shared" si="24"/>
        <v>31.98</v>
      </c>
      <c r="I148" s="203">
        <f t="shared" si="25"/>
        <v>127.92</v>
      </c>
    </row>
    <row r="149" spans="1:9" ht="31.5" x14ac:dyDescent="0.25">
      <c r="A149" s="201" t="s">
        <v>1295</v>
      </c>
      <c r="B149" s="201" t="s">
        <v>959</v>
      </c>
      <c r="C149" s="201" t="s">
        <v>10</v>
      </c>
      <c r="D149" s="201" t="s">
        <v>960</v>
      </c>
      <c r="E149" s="202" t="s">
        <v>48</v>
      </c>
      <c r="F149" s="203">
        <f>Hidraulico!C28</f>
        <v>2</v>
      </c>
      <c r="G149" s="203">
        <v>8.8800000000000008</v>
      </c>
      <c r="H149" s="203">
        <f t="shared" si="24"/>
        <v>11.39</v>
      </c>
      <c r="I149" s="203">
        <f t="shared" si="25"/>
        <v>22.78</v>
      </c>
    </row>
    <row r="150" spans="1:9" ht="31.5" x14ac:dyDescent="0.25">
      <c r="A150" s="201" t="s">
        <v>1296</v>
      </c>
      <c r="B150" s="201" t="s">
        <v>314</v>
      </c>
      <c r="C150" s="201" t="s">
        <v>36</v>
      </c>
      <c r="D150" s="201" t="s">
        <v>315</v>
      </c>
      <c r="E150" s="202" t="s">
        <v>12</v>
      </c>
      <c r="F150" s="203">
        <f>Hidraulico!C29</f>
        <v>200</v>
      </c>
      <c r="G150" s="203">
        <v>15.09</v>
      </c>
      <c r="H150" s="203">
        <f t="shared" si="24"/>
        <v>19.36</v>
      </c>
      <c r="I150" s="203">
        <f t="shared" si="25"/>
        <v>3872</v>
      </c>
    </row>
    <row r="151" spans="1:9" ht="31.5" x14ac:dyDescent="0.25">
      <c r="A151" s="201" t="s">
        <v>1297</v>
      </c>
      <c r="B151" s="201" t="s">
        <v>482</v>
      </c>
      <c r="C151" s="201" t="s">
        <v>36</v>
      </c>
      <c r="D151" s="201" t="s">
        <v>483</v>
      </c>
      <c r="E151" s="202" t="s">
        <v>12</v>
      </c>
      <c r="F151" s="203">
        <f>Hidraulico!C30</f>
        <v>15</v>
      </c>
      <c r="G151" s="203">
        <v>12.72</v>
      </c>
      <c r="H151" s="203">
        <f t="shared" si="24"/>
        <v>16.32</v>
      </c>
      <c r="I151" s="203">
        <f t="shared" si="25"/>
        <v>244.8</v>
      </c>
    </row>
    <row r="152" spans="1:9" ht="31.5" x14ac:dyDescent="0.25">
      <c r="A152" s="201" t="s">
        <v>1298</v>
      </c>
      <c r="B152" s="201" t="s">
        <v>961</v>
      </c>
      <c r="C152" s="201" t="s">
        <v>36</v>
      </c>
      <c r="D152" s="201" t="s">
        <v>962</v>
      </c>
      <c r="E152" s="202" t="s">
        <v>12</v>
      </c>
      <c r="F152" s="203">
        <f>Hidraulico!C31</f>
        <v>105</v>
      </c>
      <c r="G152" s="203">
        <v>19.489999999999998</v>
      </c>
      <c r="H152" s="203">
        <f t="shared" si="24"/>
        <v>25.01</v>
      </c>
      <c r="I152" s="203">
        <f t="shared" si="25"/>
        <v>2626.05</v>
      </c>
    </row>
    <row r="153" spans="1:9" ht="31.5" x14ac:dyDescent="0.25">
      <c r="A153" s="201" t="s">
        <v>1299</v>
      </c>
      <c r="B153" s="201" t="s">
        <v>963</v>
      </c>
      <c r="C153" s="201" t="s">
        <v>36</v>
      </c>
      <c r="D153" s="201" t="s">
        <v>787</v>
      </c>
      <c r="E153" s="202" t="s">
        <v>12</v>
      </c>
      <c r="F153" s="203">
        <f>Hidraulico!C32</f>
        <v>48</v>
      </c>
      <c r="G153" s="203">
        <v>7.16</v>
      </c>
      <c r="H153" s="203">
        <f t="shared" si="24"/>
        <v>9.18</v>
      </c>
      <c r="I153" s="203">
        <f t="shared" si="25"/>
        <v>440.64</v>
      </c>
    </row>
    <row r="154" spans="1:9" ht="31.5" x14ac:dyDescent="0.25">
      <c r="A154" s="201" t="s">
        <v>1300</v>
      </c>
      <c r="B154" s="201" t="s">
        <v>479</v>
      </c>
      <c r="C154" s="201" t="s">
        <v>36</v>
      </c>
      <c r="D154" s="201" t="s">
        <v>480</v>
      </c>
      <c r="E154" s="202" t="s">
        <v>12</v>
      </c>
      <c r="F154" s="203">
        <f>Hidraulico!C33</f>
        <v>13</v>
      </c>
      <c r="G154" s="203">
        <v>10.28</v>
      </c>
      <c r="H154" s="203">
        <f t="shared" si="24"/>
        <v>13.19</v>
      </c>
      <c r="I154" s="203">
        <f t="shared" si="25"/>
        <v>171.47</v>
      </c>
    </row>
    <row r="155" spans="1:9" ht="47.25" x14ac:dyDescent="0.25">
      <c r="A155" s="201" t="s">
        <v>1301</v>
      </c>
      <c r="B155" s="201" t="s">
        <v>485</v>
      </c>
      <c r="C155" s="201" t="s">
        <v>36</v>
      </c>
      <c r="D155" s="201" t="s">
        <v>486</v>
      </c>
      <c r="E155" s="202" t="s">
        <v>48</v>
      </c>
      <c r="F155" s="203">
        <f>Hidraulico!C34</f>
        <v>3</v>
      </c>
      <c r="G155" s="203">
        <v>9</v>
      </c>
      <c r="H155" s="203">
        <f t="shared" si="24"/>
        <v>11.55</v>
      </c>
      <c r="I155" s="203">
        <f t="shared" si="25"/>
        <v>34.65</v>
      </c>
    </row>
    <row r="156" spans="1:9" ht="47.25" x14ac:dyDescent="0.25">
      <c r="A156" s="201" t="s">
        <v>1302</v>
      </c>
      <c r="B156" s="201" t="s">
        <v>488</v>
      </c>
      <c r="C156" s="201" t="s">
        <v>36</v>
      </c>
      <c r="D156" s="201" t="s">
        <v>489</v>
      </c>
      <c r="E156" s="202" t="s">
        <v>48</v>
      </c>
      <c r="F156" s="203">
        <f>Hidraulico!C35</f>
        <v>4</v>
      </c>
      <c r="G156" s="203">
        <v>14.06</v>
      </c>
      <c r="H156" s="203">
        <f t="shared" si="24"/>
        <v>18.04</v>
      </c>
      <c r="I156" s="203">
        <f t="shared" si="25"/>
        <v>72.16</v>
      </c>
    </row>
    <row r="157" spans="1:9" ht="47.25" x14ac:dyDescent="0.25">
      <c r="A157" s="201" t="s">
        <v>1303</v>
      </c>
      <c r="B157" s="201" t="s">
        <v>964</v>
      </c>
      <c r="C157" s="201" t="s">
        <v>36</v>
      </c>
      <c r="D157" s="201" t="s">
        <v>965</v>
      </c>
      <c r="E157" s="202" t="s">
        <v>48</v>
      </c>
      <c r="F157" s="203">
        <f>Hidraulico!C36</f>
        <v>4</v>
      </c>
      <c r="G157" s="203">
        <v>11.65</v>
      </c>
      <c r="H157" s="203">
        <f t="shared" si="24"/>
        <v>14.95</v>
      </c>
      <c r="I157" s="203">
        <f t="shared" si="25"/>
        <v>59.8</v>
      </c>
    </row>
    <row r="158" spans="1:9" ht="47.25" x14ac:dyDescent="0.25">
      <c r="A158" s="201" t="s">
        <v>1304</v>
      </c>
      <c r="B158" s="201" t="s">
        <v>491</v>
      </c>
      <c r="C158" s="201" t="s">
        <v>36</v>
      </c>
      <c r="D158" s="201" t="s">
        <v>492</v>
      </c>
      <c r="E158" s="202" t="s">
        <v>48</v>
      </c>
      <c r="F158" s="203">
        <f>Hidraulico!C37</f>
        <v>1</v>
      </c>
      <c r="G158" s="203">
        <v>17.79</v>
      </c>
      <c r="H158" s="203">
        <f t="shared" si="24"/>
        <v>22.83</v>
      </c>
      <c r="I158" s="203">
        <f t="shared" si="25"/>
        <v>22.83</v>
      </c>
    </row>
    <row r="159" spans="1:9" ht="47.25" x14ac:dyDescent="0.25">
      <c r="A159" s="201" t="s">
        <v>1305</v>
      </c>
      <c r="B159" s="201" t="s">
        <v>316</v>
      </c>
      <c r="C159" s="201" t="s">
        <v>36</v>
      </c>
      <c r="D159" s="201" t="s">
        <v>317</v>
      </c>
      <c r="E159" s="202" t="s">
        <v>48</v>
      </c>
      <c r="F159" s="203">
        <f>Hidraulico!C38</f>
        <v>39</v>
      </c>
      <c r="G159" s="203">
        <v>5.92</v>
      </c>
      <c r="H159" s="203">
        <f t="shared" si="24"/>
        <v>7.59</v>
      </c>
      <c r="I159" s="203">
        <f t="shared" si="25"/>
        <v>296.01</v>
      </c>
    </row>
    <row r="160" spans="1:9" ht="31.5" x14ac:dyDescent="0.25">
      <c r="A160" s="201" t="s">
        <v>1306</v>
      </c>
      <c r="B160" s="201" t="s">
        <v>966</v>
      </c>
      <c r="C160" s="201" t="s">
        <v>36</v>
      </c>
      <c r="D160" s="201" t="s">
        <v>967</v>
      </c>
      <c r="E160" s="202" t="s">
        <v>48</v>
      </c>
      <c r="F160" s="203">
        <f>Hidraulico!C39</f>
        <v>5</v>
      </c>
      <c r="G160" s="203">
        <v>29.02</v>
      </c>
      <c r="H160" s="203">
        <f t="shared" si="24"/>
        <v>37.24</v>
      </c>
      <c r="I160" s="203">
        <f t="shared" si="25"/>
        <v>186.2</v>
      </c>
    </row>
    <row r="161" spans="1:9" ht="47.25" x14ac:dyDescent="0.25">
      <c r="A161" s="201" t="s">
        <v>1307</v>
      </c>
      <c r="B161" s="201" t="s">
        <v>968</v>
      </c>
      <c r="C161" s="201" t="s">
        <v>36</v>
      </c>
      <c r="D161" s="201" t="s">
        <v>969</v>
      </c>
      <c r="E161" s="202" t="s">
        <v>48</v>
      </c>
      <c r="F161" s="203">
        <f>Hidraulico!C40</f>
        <v>6</v>
      </c>
      <c r="G161" s="203">
        <v>8.52</v>
      </c>
      <c r="H161" s="203">
        <f t="shared" si="24"/>
        <v>10.93</v>
      </c>
      <c r="I161" s="203">
        <f t="shared" si="25"/>
        <v>65.58</v>
      </c>
    </row>
    <row r="162" spans="1:9" ht="47.25" x14ac:dyDescent="0.25">
      <c r="A162" s="201" t="s">
        <v>1308</v>
      </c>
      <c r="B162" s="201" t="s">
        <v>318</v>
      </c>
      <c r="C162" s="201" t="s">
        <v>36</v>
      </c>
      <c r="D162" s="201" t="s">
        <v>319</v>
      </c>
      <c r="E162" s="202" t="s">
        <v>48</v>
      </c>
      <c r="F162" s="203">
        <f>Hidraulico!C43</f>
        <v>51</v>
      </c>
      <c r="G162" s="203">
        <v>9.92</v>
      </c>
      <c r="H162" s="203">
        <f t="shared" si="24"/>
        <v>12.73</v>
      </c>
      <c r="I162" s="203">
        <f t="shared" si="25"/>
        <v>649.23</v>
      </c>
    </row>
    <row r="163" spans="1:9" x14ac:dyDescent="0.25">
      <c r="A163" s="201" t="s">
        <v>1309</v>
      </c>
      <c r="B163" s="201" t="s">
        <v>970</v>
      </c>
      <c r="C163" s="201" t="s">
        <v>10</v>
      </c>
      <c r="D163" s="201" t="s">
        <v>971</v>
      </c>
      <c r="E163" s="202" t="s">
        <v>48</v>
      </c>
      <c r="F163" s="203">
        <f>Hidraulico!C44</f>
        <v>6</v>
      </c>
      <c r="G163" s="203">
        <v>6.12</v>
      </c>
      <c r="H163" s="203">
        <f t="shared" si="24"/>
        <v>7.85</v>
      </c>
      <c r="I163" s="203">
        <f t="shared" si="25"/>
        <v>47.1</v>
      </c>
    </row>
    <row r="164" spans="1:9" ht="47.25" x14ac:dyDescent="0.25">
      <c r="A164" s="201" t="s">
        <v>1310</v>
      </c>
      <c r="B164" s="201" t="s">
        <v>972</v>
      </c>
      <c r="C164" s="201" t="s">
        <v>36</v>
      </c>
      <c r="D164" s="201" t="s">
        <v>973</v>
      </c>
      <c r="E164" s="202" t="s">
        <v>48</v>
      </c>
      <c r="F164" s="203">
        <f>Hidraulico!C45</f>
        <v>6</v>
      </c>
      <c r="G164" s="203">
        <v>7.17</v>
      </c>
      <c r="H164" s="203">
        <f t="shared" si="24"/>
        <v>9.1999999999999993</v>
      </c>
      <c r="I164" s="203">
        <f t="shared" si="25"/>
        <v>55.2</v>
      </c>
    </row>
    <row r="165" spans="1:9" ht="31.5" x14ac:dyDescent="0.25">
      <c r="A165" s="201" t="s">
        <v>1311</v>
      </c>
      <c r="B165" s="201" t="s">
        <v>974</v>
      </c>
      <c r="C165" s="201" t="s">
        <v>36</v>
      </c>
      <c r="D165" s="201" t="s">
        <v>975</v>
      </c>
      <c r="E165" s="202" t="s">
        <v>12</v>
      </c>
      <c r="F165" s="203">
        <f>Hidraulico!C47</f>
        <v>116.8</v>
      </c>
      <c r="G165" s="203">
        <v>9.07</v>
      </c>
      <c r="H165" s="203">
        <f t="shared" si="24"/>
        <v>11.64</v>
      </c>
      <c r="I165" s="203">
        <f t="shared" si="25"/>
        <v>1359.55</v>
      </c>
    </row>
    <row r="166" spans="1:9" ht="47.25" x14ac:dyDescent="0.25">
      <c r="A166" s="201" t="s">
        <v>1312</v>
      </c>
      <c r="B166" s="201" t="s">
        <v>976</v>
      </c>
      <c r="C166" s="201" t="s">
        <v>36</v>
      </c>
      <c r="D166" s="201" t="s">
        <v>977</v>
      </c>
      <c r="E166" s="202" t="s">
        <v>12</v>
      </c>
      <c r="F166" s="203">
        <f>Hidraulico!C48</f>
        <v>7.4</v>
      </c>
      <c r="G166" s="203">
        <v>9.77</v>
      </c>
      <c r="H166" s="203">
        <f t="shared" si="24"/>
        <v>12.53</v>
      </c>
      <c r="I166" s="203">
        <f t="shared" si="25"/>
        <v>92.72</v>
      </c>
    </row>
    <row r="167" spans="1:9" ht="47.25" x14ac:dyDescent="0.25">
      <c r="A167" s="201" t="s">
        <v>1313</v>
      </c>
      <c r="B167" s="201" t="s">
        <v>978</v>
      </c>
      <c r="C167" s="201" t="s">
        <v>36</v>
      </c>
      <c r="D167" s="201" t="s">
        <v>979</v>
      </c>
      <c r="E167" s="202" t="s">
        <v>12</v>
      </c>
      <c r="F167" s="203">
        <f>Hidraulico!C49</f>
        <v>30.3</v>
      </c>
      <c r="G167" s="203">
        <v>18.29</v>
      </c>
      <c r="H167" s="203">
        <f t="shared" si="24"/>
        <v>23.47</v>
      </c>
      <c r="I167" s="203">
        <f t="shared" si="25"/>
        <v>711.14</v>
      </c>
    </row>
    <row r="168" spans="1:9" ht="31.5" x14ac:dyDescent="0.25">
      <c r="A168" s="201" t="s">
        <v>1314</v>
      </c>
      <c r="B168" s="201" t="s">
        <v>980</v>
      </c>
      <c r="C168" s="201" t="s">
        <v>36</v>
      </c>
      <c r="D168" s="201" t="s">
        <v>981</v>
      </c>
      <c r="E168" s="202" t="s">
        <v>12</v>
      </c>
      <c r="F168" s="203">
        <f>Hidraulico!C50</f>
        <v>31.9</v>
      </c>
      <c r="G168" s="203">
        <v>17.14</v>
      </c>
      <c r="H168" s="203">
        <f t="shared" si="24"/>
        <v>21.99</v>
      </c>
      <c r="I168" s="203">
        <f t="shared" si="25"/>
        <v>701.48</v>
      </c>
    </row>
    <row r="169" spans="1:9" x14ac:dyDescent="0.25">
      <c r="A169" s="201"/>
      <c r="B169" s="201"/>
      <c r="C169" s="201"/>
      <c r="D169" s="204" t="s">
        <v>1833</v>
      </c>
      <c r="E169" s="202"/>
      <c r="F169" s="203"/>
      <c r="G169" s="203"/>
      <c r="H169" s="203"/>
      <c r="I169" s="203"/>
    </row>
    <row r="170" spans="1:9" x14ac:dyDescent="0.25">
      <c r="A170" s="201" t="s">
        <v>1315</v>
      </c>
      <c r="B170" s="201" t="s">
        <v>982</v>
      </c>
      <c r="C170" s="201" t="s">
        <v>10</v>
      </c>
      <c r="D170" s="201" t="s">
        <v>983</v>
      </c>
      <c r="E170" s="202" t="s">
        <v>48</v>
      </c>
      <c r="F170" s="203">
        <f>Sanitário!C5</f>
        <v>2</v>
      </c>
      <c r="G170" s="203">
        <v>423.95</v>
      </c>
      <c r="H170" s="203">
        <f t="shared" si="24"/>
        <v>544.13</v>
      </c>
      <c r="I170" s="203">
        <f t="shared" si="25"/>
        <v>1088.26</v>
      </c>
    </row>
    <row r="171" spans="1:9" ht="31.5" x14ac:dyDescent="0.25">
      <c r="A171" s="201" t="s">
        <v>1316</v>
      </c>
      <c r="B171" s="201" t="s">
        <v>817</v>
      </c>
      <c r="C171" s="201" t="s">
        <v>36</v>
      </c>
      <c r="D171" s="201" t="s">
        <v>984</v>
      </c>
      <c r="E171" s="202" t="s">
        <v>48</v>
      </c>
      <c r="F171" s="203">
        <f>Sanitário!C6</f>
        <v>15</v>
      </c>
      <c r="G171" s="203">
        <v>173.32</v>
      </c>
      <c r="H171" s="203">
        <f t="shared" si="24"/>
        <v>222.45</v>
      </c>
      <c r="I171" s="203">
        <f t="shared" si="25"/>
        <v>3336.75</v>
      </c>
    </row>
    <row r="172" spans="1:9" ht="31.5" x14ac:dyDescent="0.25">
      <c r="A172" s="201" t="s">
        <v>1317</v>
      </c>
      <c r="B172" s="201" t="s">
        <v>985</v>
      </c>
      <c r="C172" s="201" t="s">
        <v>36</v>
      </c>
      <c r="D172" s="201" t="s">
        <v>986</v>
      </c>
      <c r="E172" s="202" t="s">
        <v>48</v>
      </c>
      <c r="F172" s="203">
        <f>Sanitário!C7</f>
        <v>2</v>
      </c>
      <c r="G172" s="203">
        <v>334.25</v>
      </c>
      <c r="H172" s="203">
        <f t="shared" si="24"/>
        <v>429</v>
      </c>
      <c r="I172" s="203">
        <f t="shared" si="25"/>
        <v>858</v>
      </c>
    </row>
    <row r="173" spans="1:9" ht="31.5" x14ac:dyDescent="0.25">
      <c r="A173" s="201" t="s">
        <v>1318</v>
      </c>
      <c r="B173" s="201" t="s">
        <v>320</v>
      </c>
      <c r="C173" s="201" t="s">
        <v>10</v>
      </c>
      <c r="D173" s="201" t="s">
        <v>321</v>
      </c>
      <c r="E173" s="202" t="s">
        <v>48</v>
      </c>
      <c r="F173" s="203">
        <f>Sanitário!C9</f>
        <v>16</v>
      </c>
      <c r="G173" s="203">
        <v>38.81</v>
      </c>
      <c r="H173" s="203">
        <f t="shared" si="24"/>
        <v>49.81</v>
      </c>
      <c r="I173" s="203">
        <f t="shared" si="25"/>
        <v>796.96</v>
      </c>
    </row>
    <row r="174" spans="1:9" ht="47.25" x14ac:dyDescent="0.25">
      <c r="A174" s="201" t="s">
        <v>1319</v>
      </c>
      <c r="B174" s="201" t="s">
        <v>653</v>
      </c>
      <c r="C174" s="201" t="s">
        <v>10</v>
      </c>
      <c r="D174" s="201" t="s">
        <v>654</v>
      </c>
      <c r="E174" s="202" t="s">
        <v>48</v>
      </c>
      <c r="F174" s="203">
        <f>Sanitário!C11</f>
        <v>16</v>
      </c>
      <c r="G174" s="203">
        <v>30.56</v>
      </c>
      <c r="H174" s="203">
        <f t="shared" si="24"/>
        <v>39.22</v>
      </c>
      <c r="I174" s="203">
        <f t="shared" si="25"/>
        <v>627.52</v>
      </c>
    </row>
    <row r="175" spans="1:9" x14ac:dyDescent="0.25">
      <c r="A175" s="201" t="s">
        <v>1320</v>
      </c>
      <c r="B175" s="201" t="s">
        <v>655</v>
      </c>
      <c r="C175" s="201" t="s">
        <v>10</v>
      </c>
      <c r="D175" s="201" t="s">
        <v>656</v>
      </c>
      <c r="E175" s="202" t="s">
        <v>48</v>
      </c>
      <c r="F175" s="203">
        <f>Sanitário!C12</f>
        <v>17</v>
      </c>
      <c r="G175" s="203">
        <v>12.26</v>
      </c>
      <c r="H175" s="203">
        <f t="shared" si="24"/>
        <v>15.73</v>
      </c>
      <c r="I175" s="203">
        <f t="shared" si="25"/>
        <v>267.41000000000003</v>
      </c>
    </row>
    <row r="176" spans="1:9" ht="47.25" x14ac:dyDescent="0.25">
      <c r="A176" s="201" t="s">
        <v>1321</v>
      </c>
      <c r="B176" s="201" t="s">
        <v>499</v>
      </c>
      <c r="C176" s="201" t="s">
        <v>10</v>
      </c>
      <c r="D176" s="201" t="s">
        <v>500</v>
      </c>
      <c r="E176" s="202" t="s">
        <v>48</v>
      </c>
      <c r="F176" s="203">
        <f>Sanitário!C13</f>
        <v>18</v>
      </c>
      <c r="G176" s="203">
        <v>10.81</v>
      </c>
      <c r="H176" s="203">
        <f t="shared" si="24"/>
        <v>13.87</v>
      </c>
      <c r="I176" s="203">
        <f t="shared" si="25"/>
        <v>249.66</v>
      </c>
    </row>
    <row r="177" spans="1:9" ht="63" x14ac:dyDescent="0.25">
      <c r="A177" s="201" t="s">
        <v>1322</v>
      </c>
      <c r="B177" s="201" t="s">
        <v>322</v>
      </c>
      <c r="C177" s="201" t="s">
        <v>36</v>
      </c>
      <c r="D177" s="201" t="s">
        <v>323</v>
      </c>
      <c r="E177" s="202" t="s">
        <v>48</v>
      </c>
      <c r="F177" s="203">
        <f>Sanitário!C14</f>
        <v>14</v>
      </c>
      <c r="G177" s="203">
        <v>24.8</v>
      </c>
      <c r="H177" s="203">
        <f t="shared" si="24"/>
        <v>31.83</v>
      </c>
      <c r="I177" s="203">
        <f t="shared" si="25"/>
        <v>445.62</v>
      </c>
    </row>
    <row r="178" spans="1:9" ht="47.25" x14ac:dyDescent="0.25">
      <c r="A178" s="201" t="s">
        <v>1323</v>
      </c>
      <c r="B178" s="201" t="s">
        <v>503</v>
      </c>
      <c r="C178" s="201" t="s">
        <v>36</v>
      </c>
      <c r="D178" s="201" t="s">
        <v>504</v>
      </c>
      <c r="E178" s="202" t="s">
        <v>48</v>
      </c>
      <c r="F178" s="203">
        <f>Sanitário!C15</f>
        <v>16</v>
      </c>
      <c r="G178" s="203">
        <v>12.13</v>
      </c>
      <c r="H178" s="203">
        <f t="shared" si="24"/>
        <v>15.56</v>
      </c>
      <c r="I178" s="203">
        <f t="shared" si="25"/>
        <v>248.96</v>
      </c>
    </row>
    <row r="179" spans="1:9" ht="47.25" x14ac:dyDescent="0.25">
      <c r="A179" s="201" t="s">
        <v>1324</v>
      </c>
      <c r="B179" s="201" t="s">
        <v>324</v>
      </c>
      <c r="C179" s="201" t="s">
        <v>36</v>
      </c>
      <c r="D179" s="201" t="s">
        <v>325</v>
      </c>
      <c r="E179" s="202" t="s">
        <v>48</v>
      </c>
      <c r="F179" s="203">
        <f>Sanitário!C16</f>
        <v>16</v>
      </c>
      <c r="G179" s="203">
        <v>7.31</v>
      </c>
      <c r="H179" s="203">
        <f t="shared" si="24"/>
        <v>9.3800000000000008</v>
      </c>
      <c r="I179" s="203">
        <f t="shared" si="25"/>
        <v>150.08000000000001</v>
      </c>
    </row>
    <row r="180" spans="1:9" ht="47.25" x14ac:dyDescent="0.25">
      <c r="A180" s="201" t="s">
        <v>1325</v>
      </c>
      <c r="B180" s="201" t="s">
        <v>326</v>
      </c>
      <c r="C180" s="201" t="s">
        <v>36</v>
      </c>
      <c r="D180" s="201" t="s">
        <v>327</v>
      </c>
      <c r="E180" s="202" t="s">
        <v>48</v>
      </c>
      <c r="F180" s="203">
        <f>Sanitário!C17</f>
        <v>1</v>
      </c>
      <c r="G180" s="203">
        <v>7.72</v>
      </c>
      <c r="H180" s="203">
        <f t="shared" si="24"/>
        <v>9.9</v>
      </c>
      <c r="I180" s="203">
        <f t="shared" si="25"/>
        <v>9.9</v>
      </c>
    </row>
    <row r="181" spans="1:9" ht="47.25" x14ac:dyDescent="0.25">
      <c r="A181" s="201" t="s">
        <v>1326</v>
      </c>
      <c r="B181" s="201" t="s">
        <v>328</v>
      </c>
      <c r="C181" s="201" t="s">
        <v>36</v>
      </c>
      <c r="D181" s="201" t="s">
        <v>329</v>
      </c>
      <c r="E181" s="202" t="s">
        <v>48</v>
      </c>
      <c r="F181" s="203">
        <f>Sanitário!C18</f>
        <v>1</v>
      </c>
      <c r="G181" s="203">
        <v>6.24</v>
      </c>
      <c r="H181" s="203">
        <f t="shared" si="24"/>
        <v>8</v>
      </c>
      <c r="I181" s="203">
        <f t="shared" si="25"/>
        <v>8</v>
      </c>
    </row>
    <row r="182" spans="1:9" ht="47.25" x14ac:dyDescent="0.25">
      <c r="A182" s="201" t="s">
        <v>1327</v>
      </c>
      <c r="B182" s="201" t="s">
        <v>330</v>
      </c>
      <c r="C182" s="201" t="s">
        <v>36</v>
      </c>
      <c r="D182" s="201" t="s">
        <v>331</v>
      </c>
      <c r="E182" s="202" t="s">
        <v>48</v>
      </c>
      <c r="F182" s="203">
        <f>Sanitário!C19</f>
        <v>37</v>
      </c>
      <c r="G182" s="203">
        <v>7.19</v>
      </c>
      <c r="H182" s="203">
        <f t="shared" si="24"/>
        <v>9.2200000000000006</v>
      </c>
      <c r="I182" s="203">
        <f t="shared" si="25"/>
        <v>341.14</v>
      </c>
    </row>
    <row r="183" spans="1:9" ht="31.5" x14ac:dyDescent="0.25">
      <c r="A183" s="201" t="s">
        <v>1328</v>
      </c>
      <c r="B183" s="201" t="s">
        <v>509</v>
      </c>
      <c r="C183" s="201" t="s">
        <v>10</v>
      </c>
      <c r="D183" s="201" t="s">
        <v>510</v>
      </c>
      <c r="E183" s="202" t="s">
        <v>48</v>
      </c>
      <c r="F183" s="203">
        <f>Sanitário!C20</f>
        <v>16</v>
      </c>
      <c r="G183" s="203">
        <v>7.45</v>
      </c>
      <c r="H183" s="203">
        <f t="shared" si="24"/>
        <v>9.56</v>
      </c>
      <c r="I183" s="203">
        <f t="shared" si="25"/>
        <v>152.96</v>
      </c>
    </row>
    <row r="184" spans="1:9" x14ac:dyDescent="0.25">
      <c r="A184" s="201" t="s">
        <v>1329</v>
      </c>
      <c r="B184" s="201" t="s">
        <v>512</v>
      </c>
      <c r="C184" s="201" t="s">
        <v>10</v>
      </c>
      <c r="D184" s="201" t="s">
        <v>513</v>
      </c>
      <c r="E184" s="202" t="s">
        <v>48</v>
      </c>
      <c r="F184" s="203">
        <f>Sanitário!C21</f>
        <v>12</v>
      </c>
      <c r="G184" s="203">
        <v>33.57</v>
      </c>
      <c r="H184" s="203">
        <f t="shared" si="24"/>
        <v>43.08</v>
      </c>
      <c r="I184" s="203">
        <f t="shared" si="25"/>
        <v>516.96</v>
      </c>
    </row>
    <row r="185" spans="1:9" ht="47.25" x14ac:dyDescent="0.25">
      <c r="A185" s="201" t="s">
        <v>1330</v>
      </c>
      <c r="B185" s="201" t="s">
        <v>515</v>
      </c>
      <c r="C185" s="201" t="s">
        <v>36</v>
      </c>
      <c r="D185" s="201" t="s">
        <v>516</v>
      </c>
      <c r="E185" s="202" t="s">
        <v>48</v>
      </c>
      <c r="F185" s="203">
        <f>Sanitário!C22</f>
        <v>9</v>
      </c>
      <c r="G185" s="203">
        <v>30.92</v>
      </c>
      <c r="H185" s="203">
        <f t="shared" si="24"/>
        <v>39.68</v>
      </c>
      <c r="I185" s="203">
        <f t="shared" si="25"/>
        <v>357.12</v>
      </c>
    </row>
    <row r="186" spans="1:9" ht="47.25" x14ac:dyDescent="0.25">
      <c r="A186" s="201" t="s">
        <v>1331</v>
      </c>
      <c r="B186" s="201" t="s">
        <v>518</v>
      </c>
      <c r="C186" s="201" t="s">
        <v>36</v>
      </c>
      <c r="D186" s="201" t="s">
        <v>519</v>
      </c>
      <c r="E186" s="202" t="s">
        <v>48</v>
      </c>
      <c r="F186" s="203">
        <f>Sanitário!C23</f>
        <v>2</v>
      </c>
      <c r="G186" s="203">
        <v>13.76</v>
      </c>
      <c r="H186" s="203">
        <f t="shared" si="24"/>
        <v>17.66</v>
      </c>
      <c r="I186" s="203">
        <f t="shared" si="25"/>
        <v>35.32</v>
      </c>
    </row>
    <row r="187" spans="1:9" ht="47.25" x14ac:dyDescent="0.25">
      <c r="A187" s="201" t="s">
        <v>1332</v>
      </c>
      <c r="B187" s="201" t="s">
        <v>521</v>
      </c>
      <c r="C187" s="201" t="s">
        <v>36</v>
      </c>
      <c r="D187" s="201" t="s">
        <v>522</v>
      </c>
      <c r="E187" s="202" t="s">
        <v>48</v>
      </c>
      <c r="F187" s="203">
        <f>Sanitário!C24</f>
        <v>2</v>
      </c>
      <c r="G187" s="203">
        <v>8.35</v>
      </c>
      <c r="H187" s="203">
        <f t="shared" si="24"/>
        <v>10.71</v>
      </c>
      <c r="I187" s="203">
        <f t="shared" si="25"/>
        <v>21.42</v>
      </c>
    </row>
    <row r="188" spans="1:9" ht="47.25" x14ac:dyDescent="0.25">
      <c r="A188" s="201" t="s">
        <v>1333</v>
      </c>
      <c r="B188" s="201" t="s">
        <v>332</v>
      </c>
      <c r="C188" s="201" t="s">
        <v>36</v>
      </c>
      <c r="D188" s="201" t="s">
        <v>333</v>
      </c>
      <c r="E188" s="202" t="s">
        <v>48</v>
      </c>
      <c r="F188" s="203">
        <f>Sanitário!C25</f>
        <v>41</v>
      </c>
      <c r="G188" s="203">
        <v>12.69</v>
      </c>
      <c r="H188" s="203">
        <f t="shared" si="24"/>
        <v>16.28</v>
      </c>
      <c r="I188" s="203">
        <f t="shared" si="25"/>
        <v>667.48</v>
      </c>
    </row>
    <row r="189" spans="1:9" ht="47.25" x14ac:dyDescent="0.25">
      <c r="A189" s="201" t="s">
        <v>1334</v>
      </c>
      <c r="B189" s="201" t="s">
        <v>523</v>
      </c>
      <c r="C189" s="201" t="s">
        <v>36</v>
      </c>
      <c r="D189" s="201" t="s">
        <v>524</v>
      </c>
      <c r="E189" s="202" t="s">
        <v>48</v>
      </c>
      <c r="F189" s="203">
        <f>Sanitário!C26</f>
        <v>38</v>
      </c>
      <c r="G189" s="203">
        <v>6.04</v>
      </c>
      <c r="H189" s="203">
        <f t="shared" si="24"/>
        <v>7.75</v>
      </c>
      <c r="I189" s="203">
        <f t="shared" si="25"/>
        <v>294.5</v>
      </c>
    </row>
    <row r="190" spans="1:9" ht="47.25" x14ac:dyDescent="0.25">
      <c r="A190" s="201" t="s">
        <v>1335</v>
      </c>
      <c r="B190" s="201" t="s">
        <v>987</v>
      </c>
      <c r="C190" s="201" t="s">
        <v>36</v>
      </c>
      <c r="D190" s="201" t="s">
        <v>988</v>
      </c>
      <c r="E190" s="202" t="s">
        <v>48</v>
      </c>
      <c r="F190" s="203">
        <f>Sanitário!C27</f>
        <v>7</v>
      </c>
      <c r="G190" s="203">
        <v>5.92</v>
      </c>
      <c r="H190" s="203">
        <f t="shared" si="24"/>
        <v>7.59</v>
      </c>
      <c r="I190" s="203">
        <f t="shared" si="25"/>
        <v>53.13</v>
      </c>
    </row>
    <row r="191" spans="1:9" ht="31.5" x14ac:dyDescent="0.25">
      <c r="A191" s="201" t="s">
        <v>1336</v>
      </c>
      <c r="B191" s="201" t="s">
        <v>525</v>
      </c>
      <c r="C191" s="201" t="s">
        <v>10</v>
      </c>
      <c r="D191" s="201" t="s">
        <v>526</v>
      </c>
      <c r="E191" s="202" t="s">
        <v>48</v>
      </c>
      <c r="F191" s="203">
        <f>Sanitário!C28</f>
        <v>16</v>
      </c>
      <c r="G191" s="203">
        <v>7.43</v>
      </c>
      <c r="H191" s="203">
        <f t="shared" si="24"/>
        <v>9.5299999999999994</v>
      </c>
      <c r="I191" s="203">
        <f t="shared" si="25"/>
        <v>152.47999999999999</v>
      </c>
    </row>
    <row r="192" spans="1:9" ht="47.25" x14ac:dyDescent="0.25">
      <c r="A192" s="201" t="s">
        <v>1337</v>
      </c>
      <c r="B192" s="201" t="s">
        <v>334</v>
      </c>
      <c r="C192" s="201" t="s">
        <v>36</v>
      </c>
      <c r="D192" s="201" t="s">
        <v>335</v>
      </c>
      <c r="E192" s="202" t="s">
        <v>12</v>
      </c>
      <c r="F192" s="203">
        <f>Sanitário!C29</f>
        <v>183</v>
      </c>
      <c r="G192" s="203">
        <v>36.39</v>
      </c>
      <c r="H192" s="203">
        <f t="shared" si="24"/>
        <v>46.7</v>
      </c>
      <c r="I192" s="203">
        <f t="shared" si="25"/>
        <v>8546.1</v>
      </c>
    </row>
    <row r="193" spans="1:10" ht="47.25" x14ac:dyDescent="0.25">
      <c r="A193" s="201" t="s">
        <v>1338</v>
      </c>
      <c r="B193" s="201" t="s">
        <v>336</v>
      </c>
      <c r="C193" s="201" t="s">
        <v>36</v>
      </c>
      <c r="D193" s="201" t="s">
        <v>337</v>
      </c>
      <c r="E193" s="202" t="s">
        <v>12</v>
      </c>
      <c r="F193" s="203">
        <f>Sanitário!C30</f>
        <v>130</v>
      </c>
      <c r="G193" s="203">
        <v>18.75</v>
      </c>
      <c r="H193" s="203">
        <f t="shared" si="24"/>
        <v>24.06</v>
      </c>
      <c r="I193" s="203">
        <f t="shared" si="25"/>
        <v>3127.8</v>
      </c>
    </row>
    <row r="194" spans="1:10" ht="47.25" x14ac:dyDescent="0.25">
      <c r="A194" s="201" t="s">
        <v>1339</v>
      </c>
      <c r="B194" s="201" t="s">
        <v>338</v>
      </c>
      <c r="C194" s="201" t="s">
        <v>36</v>
      </c>
      <c r="D194" s="201" t="s">
        <v>339</v>
      </c>
      <c r="E194" s="202" t="s">
        <v>12</v>
      </c>
      <c r="F194" s="203">
        <f>Sanitário!C31</f>
        <v>57</v>
      </c>
      <c r="G194" s="203">
        <v>12.76</v>
      </c>
      <c r="H194" s="203">
        <f t="shared" ref="H194:H201" si="26">TRUNC(G194*$F$2+G194,2)</f>
        <v>16.37</v>
      </c>
      <c r="I194" s="203">
        <f t="shared" ref="I194:I201" si="27">TRUNC(H194*F194,2)</f>
        <v>933.09</v>
      </c>
    </row>
    <row r="195" spans="1:10" ht="47.25" x14ac:dyDescent="0.25">
      <c r="A195" s="201" t="s">
        <v>1340</v>
      </c>
      <c r="B195" s="201" t="s">
        <v>340</v>
      </c>
      <c r="C195" s="201" t="s">
        <v>36</v>
      </c>
      <c r="D195" s="201" t="s">
        <v>341</v>
      </c>
      <c r="E195" s="202" t="s">
        <v>48</v>
      </c>
      <c r="F195" s="203">
        <f>Sanitário!C32</f>
        <v>20</v>
      </c>
      <c r="G195" s="203">
        <v>12.94</v>
      </c>
      <c r="H195" s="203">
        <f t="shared" si="26"/>
        <v>16.600000000000001</v>
      </c>
      <c r="I195" s="203">
        <f t="shared" si="27"/>
        <v>332</v>
      </c>
    </row>
    <row r="196" spans="1:10" ht="31.5" x14ac:dyDescent="0.25">
      <c r="A196" s="201" t="s">
        <v>1341</v>
      </c>
      <c r="B196" s="201" t="s">
        <v>989</v>
      </c>
      <c r="C196" s="201" t="s">
        <v>10</v>
      </c>
      <c r="D196" s="201" t="s">
        <v>990</v>
      </c>
      <c r="E196" s="202" t="s">
        <v>48</v>
      </c>
      <c r="F196" s="203">
        <f>Sanitário!C33</f>
        <v>2</v>
      </c>
      <c r="G196" s="203">
        <v>28.35</v>
      </c>
      <c r="H196" s="203">
        <f t="shared" si="26"/>
        <v>36.380000000000003</v>
      </c>
      <c r="I196" s="203">
        <f t="shared" si="27"/>
        <v>72.760000000000005</v>
      </c>
    </row>
    <row r="197" spans="1:10" ht="31.5" x14ac:dyDescent="0.25">
      <c r="A197" s="201" t="s">
        <v>1342</v>
      </c>
      <c r="B197" s="201" t="s">
        <v>974</v>
      </c>
      <c r="C197" s="201" t="s">
        <v>36</v>
      </c>
      <c r="D197" s="201" t="s">
        <v>975</v>
      </c>
      <c r="E197" s="202" t="s">
        <v>12</v>
      </c>
      <c r="F197" s="203">
        <f>Sanitário!C35</f>
        <v>5.2</v>
      </c>
      <c r="G197" s="203">
        <v>9.07</v>
      </c>
      <c r="H197" s="203">
        <f t="shared" si="26"/>
        <v>11.64</v>
      </c>
      <c r="I197" s="203">
        <f t="shared" si="27"/>
        <v>60.52</v>
      </c>
    </row>
    <row r="198" spans="1:10" ht="47.25" x14ac:dyDescent="0.25">
      <c r="A198" s="201" t="s">
        <v>1343</v>
      </c>
      <c r="B198" s="201" t="s">
        <v>976</v>
      </c>
      <c r="C198" s="201" t="s">
        <v>36</v>
      </c>
      <c r="D198" s="201" t="s">
        <v>977</v>
      </c>
      <c r="E198" s="202" t="s">
        <v>12</v>
      </c>
      <c r="F198" s="203">
        <f>Sanitário!C36</f>
        <v>53.4</v>
      </c>
      <c r="G198" s="203">
        <v>9.77</v>
      </c>
      <c r="H198" s="203">
        <f t="shared" si="26"/>
        <v>12.53</v>
      </c>
      <c r="I198" s="203">
        <f t="shared" si="27"/>
        <v>669.1</v>
      </c>
    </row>
    <row r="199" spans="1:10" ht="47.25" x14ac:dyDescent="0.25">
      <c r="A199" s="201" t="s">
        <v>1344</v>
      </c>
      <c r="B199" s="201" t="s">
        <v>978</v>
      </c>
      <c r="C199" s="201" t="s">
        <v>36</v>
      </c>
      <c r="D199" s="201" t="s">
        <v>979</v>
      </c>
      <c r="E199" s="202" t="s">
        <v>12</v>
      </c>
      <c r="F199" s="203">
        <f>Sanitário!C37</f>
        <v>76.599999999999994</v>
      </c>
      <c r="G199" s="203">
        <v>18.29</v>
      </c>
      <c r="H199" s="203">
        <f t="shared" si="26"/>
        <v>23.47</v>
      </c>
      <c r="I199" s="203">
        <f t="shared" si="27"/>
        <v>1797.8</v>
      </c>
    </row>
    <row r="200" spans="1:10" ht="31.5" x14ac:dyDescent="0.25">
      <c r="A200" s="201" t="s">
        <v>1345</v>
      </c>
      <c r="B200" s="201" t="s">
        <v>980</v>
      </c>
      <c r="C200" s="201" t="s">
        <v>36</v>
      </c>
      <c r="D200" s="201" t="s">
        <v>981</v>
      </c>
      <c r="E200" s="202" t="s">
        <v>12</v>
      </c>
      <c r="F200" s="203">
        <f>Sanitário!C38</f>
        <v>52</v>
      </c>
      <c r="G200" s="203">
        <v>17.14</v>
      </c>
      <c r="H200" s="203">
        <f t="shared" si="26"/>
        <v>21.99</v>
      </c>
      <c r="I200" s="203">
        <f t="shared" si="27"/>
        <v>1143.48</v>
      </c>
    </row>
    <row r="201" spans="1:10" ht="31.5" x14ac:dyDescent="0.25">
      <c r="A201" s="201" t="s">
        <v>1346</v>
      </c>
      <c r="B201" s="201" t="s">
        <v>991</v>
      </c>
      <c r="C201" s="201" t="s">
        <v>36</v>
      </c>
      <c r="D201" s="201" t="s">
        <v>992</v>
      </c>
      <c r="E201" s="202" t="s">
        <v>12</v>
      </c>
      <c r="F201" s="203">
        <f>Sanitário!C39</f>
        <v>183</v>
      </c>
      <c r="G201" s="203">
        <v>19.88</v>
      </c>
      <c r="H201" s="203">
        <f t="shared" si="26"/>
        <v>25.51</v>
      </c>
      <c r="I201" s="203">
        <f t="shared" si="27"/>
        <v>4668.33</v>
      </c>
    </row>
    <row r="202" spans="1:10" s="238" customFormat="1" x14ac:dyDescent="0.25">
      <c r="A202" s="240">
        <v>19</v>
      </c>
      <c r="B202" s="236"/>
      <c r="C202" s="236"/>
      <c r="D202" s="236" t="s">
        <v>993</v>
      </c>
      <c r="E202" s="239"/>
      <c r="F202" s="237"/>
      <c r="G202" s="237"/>
      <c r="H202" s="237"/>
      <c r="I202" s="237">
        <f>SUM(I203:I236)</f>
        <v>86268.300000000017</v>
      </c>
      <c r="J202" s="192"/>
    </row>
    <row r="203" spans="1:10" ht="31.5" x14ac:dyDescent="0.25">
      <c r="A203" s="201" t="s">
        <v>345</v>
      </c>
      <c r="B203" s="201" t="s">
        <v>994</v>
      </c>
      <c r="C203" s="201" t="s">
        <v>10</v>
      </c>
      <c r="D203" s="201" t="s">
        <v>995</v>
      </c>
      <c r="E203" s="202" t="s">
        <v>48</v>
      </c>
      <c r="F203" s="203">
        <f>Drenagem!C5</f>
        <v>9</v>
      </c>
      <c r="G203" s="203">
        <v>352</v>
      </c>
      <c r="H203" s="203">
        <f t="shared" ref="H203:H236" si="28">TRUNC(G203*$F$2+G203,2)</f>
        <v>451.79</v>
      </c>
      <c r="I203" s="203">
        <f t="shared" ref="I203:I236" si="29">TRUNC(H203*F203,2)</f>
        <v>4066.11</v>
      </c>
    </row>
    <row r="204" spans="1:10" ht="31.5" x14ac:dyDescent="0.25">
      <c r="A204" s="201" t="s">
        <v>346</v>
      </c>
      <c r="B204" s="201" t="s">
        <v>996</v>
      </c>
      <c r="C204" s="201" t="s">
        <v>10</v>
      </c>
      <c r="D204" s="201" t="s">
        <v>997</v>
      </c>
      <c r="E204" s="202" t="s">
        <v>48</v>
      </c>
      <c r="F204" s="203">
        <f>Drenagem!C6</f>
        <v>11</v>
      </c>
      <c r="G204" s="203">
        <v>398.64</v>
      </c>
      <c r="H204" s="203">
        <f t="shared" si="28"/>
        <v>511.65</v>
      </c>
      <c r="I204" s="203">
        <f t="shared" si="29"/>
        <v>5628.15</v>
      </c>
    </row>
    <row r="205" spans="1:10" x14ac:dyDescent="0.25">
      <c r="A205" s="201" t="s">
        <v>347</v>
      </c>
      <c r="B205" s="201" t="s">
        <v>998</v>
      </c>
      <c r="C205" s="201" t="s">
        <v>36</v>
      </c>
      <c r="D205" s="201" t="s">
        <v>999</v>
      </c>
      <c r="E205" s="202" t="s">
        <v>48</v>
      </c>
      <c r="F205" s="203">
        <f>Drenagem!C7</f>
        <v>4</v>
      </c>
      <c r="G205" s="203">
        <v>76.55</v>
      </c>
      <c r="H205" s="203">
        <f t="shared" si="28"/>
        <v>98.25</v>
      </c>
      <c r="I205" s="203">
        <f t="shared" si="29"/>
        <v>393</v>
      </c>
    </row>
    <row r="206" spans="1:10" ht="63" x14ac:dyDescent="0.25">
      <c r="A206" s="201" t="s">
        <v>456</v>
      </c>
      <c r="B206" s="201" t="s">
        <v>1000</v>
      </c>
      <c r="C206" s="201" t="s">
        <v>36</v>
      </c>
      <c r="D206" s="201" t="s">
        <v>1001</v>
      </c>
      <c r="E206" s="202" t="s">
        <v>48</v>
      </c>
      <c r="F206" s="203">
        <f>Drenagem!C8</f>
        <v>2</v>
      </c>
      <c r="G206" s="203">
        <v>1414.48</v>
      </c>
      <c r="H206" s="203">
        <f t="shared" si="28"/>
        <v>1815.48</v>
      </c>
      <c r="I206" s="203">
        <f t="shared" si="29"/>
        <v>3630.96</v>
      </c>
    </row>
    <row r="207" spans="1:10" ht="47.25" x14ac:dyDescent="0.25">
      <c r="A207" s="201" t="s">
        <v>459</v>
      </c>
      <c r="B207" s="201" t="s">
        <v>1002</v>
      </c>
      <c r="C207" s="201" t="s">
        <v>36</v>
      </c>
      <c r="D207" s="201" t="s">
        <v>1003</v>
      </c>
      <c r="E207" s="202" t="s">
        <v>48</v>
      </c>
      <c r="F207" s="203">
        <f>Drenagem!C10</f>
        <v>4</v>
      </c>
      <c r="G207" s="203">
        <v>7.7</v>
      </c>
      <c r="H207" s="203">
        <f t="shared" si="28"/>
        <v>9.8800000000000008</v>
      </c>
      <c r="I207" s="203">
        <f t="shared" si="29"/>
        <v>39.520000000000003</v>
      </c>
    </row>
    <row r="208" spans="1:10" x14ac:dyDescent="0.25">
      <c r="A208" s="201" t="s">
        <v>462</v>
      </c>
      <c r="B208" s="201" t="s">
        <v>1004</v>
      </c>
      <c r="C208" s="201" t="s">
        <v>10</v>
      </c>
      <c r="D208" s="201" t="s">
        <v>1005</v>
      </c>
      <c r="E208" s="202" t="s">
        <v>48</v>
      </c>
      <c r="F208" s="203">
        <f>Drenagem!C11</f>
        <v>39</v>
      </c>
      <c r="G208" s="203">
        <v>31.56</v>
      </c>
      <c r="H208" s="203">
        <f t="shared" si="28"/>
        <v>40.5</v>
      </c>
      <c r="I208" s="203">
        <f t="shared" si="29"/>
        <v>1579.5</v>
      </c>
    </row>
    <row r="209" spans="1:9" ht="63" x14ac:dyDescent="0.25">
      <c r="A209" s="201" t="s">
        <v>465</v>
      </c>
      <c r="B209" s="201" t="s">
        <v>1006</v>
      </c>
      <c r="C209" s="201" t="s">
        <v>10</v>
      </c>
      <c r="D209" s="201" t="s">
        <v>1007</v>
      </c>
      <c r="E209" s="202" t="s">
        <v>48</v>
      </c>
      <c r="F209" s="203">
        <f>Drenagem!C13</f>
        <v>55</v>
      </c>
      <c r="G209" s="203">
        <v>24.8</v>
      </c>
      <c r="H209" s="203">
        <f t="shared" si="28"/>
        <v>31.83</v>
      </c>
      <c r="I209" s="203">
        <f t="shared" si="29"/>
        <v>1750.65</v>
      </c>
    </row>
    <row r="210" spans="1:9" ht="47.25" x14ac:dyDescent="0.25">
      <c r="A210" s="201" t="s">
        <v>468</v>
      </c>
      <c r="B210" s="201" t="s">
        <v>653</v>
      </c>
      <c r="C210" s="201" t="s">
        <v>10</v>
      </c>
      <c r="D210" s="201" t="s">
        <v>654</v>
      </c>
      <c r="E210" s="202" t="s">
        <v>48</v>
      </c>
      <c r="F210" s="203">
        <f>Drenagem!C14</f>
        <v>47</v>
      </c>
      <c r="G210" s="203">
        <v>30.56</v>
      </c>
      <c r="H210" s="203">
        <f t="shared" si="28"/>
        <v>39.22</v>
      </c>
      <c r="I210" s="203">
        <f t="shared" si="29"/>
        <v>1843.34</v>
      </c>
    </row>
    <row r="211" spans="1:9" ht="31.5" x14ac:dyDescent="0.25">
      <c r="A211" s="201" t="s">
        <v>471</v>
      </c>
      <c r="B211" s="201" t="s">
        <v>1008</v>
      </c>
      <c r="C211" s="201" t="s">
        <v>10</v>
      </c>
      <c r="D211" s="201" t="s">
        <v>1009</v>
      </c>
      <c r="E211" s="202" t="s">
        <v>48</v>
      </c>
      <c r="F211" s="203">
        <f>Drenagem!C15</f>
        <v>2</v>
      </c>
      <c r="G211" s="203">
        <v>112.38</v>
      </c>
      <c r="H211" s="203">
        <f t="shared" si="28"/>
        <v>144.22999999999999</v>
      </c>
      <c r="I211" s="203">
        <f t="shared" si="29"/>
        <v>288.45999999999998</v>
      </c>
    </row>
    <row r="212" spans="1:9" ht="47.25" x14ac:dyDescent="0.25">
      <c r="A212" s="201" t="s">
        <v>472</v>
      </c>
      <c r="B212" s="201" t="s">
        <v>1010</v>
      </c>
      <c r="C212" s="201" t="s">
        <v>10</v>
      </c>
      <c r="D212" s="201" t="s">
        <v>1011</v>
      </c>
      <c r="E212" s="202" t="s">
        <v>48</v>
      </c>
      <c r="F212" s="203">
        <f>Drenagem!C16</f>
        <v>3</v>
      </c>
      <c r="G212" s="203">
        <v>18.39</v>
      </c>
      <c r="H212" s="203">
        <f t="shared" si="28"/>
        <v>23.6</v>
      </c>
      <c r="I212" s="203">
        <f t="shared" si="29"/>
        <v>70.8</v>
      </c>
    </row>
    <row r="213" spans="1:9" ht="47.25" x14ac:dyDescent="0.25">
      <c r="A213" s="201" t="s">
        <v>475</v>
      </c>
      <c r="B213" s="201" t="s">
        <v>499</v>
      </c>
      <c r="C213" s="201" t="s">
        <v>10</v>
      </c>
      <c r="D213" s="201" t="s">
        <v>500</v>
      </c>
      <c r="E213" s="202" t="s">
        <v>48</v>
      </c>
      <c r="F213" s="203">
        <f>Drenagem!C17</f>
        <v>27</v>
      </c>
      <c r="G213" s="203">
        <v>10.81</v>
      </c>
      <c r="H213" s="203">
        <f t="shared" si="28"/>
        <v>13.87</v>
      </c>
      <c r="I213" s="203">
        <f t="shared" si="29"/>
        <v>374.49</v>
      </c>
    </row>
    <row r="214" spans="1:9" ht="47.25" x14ac:dyDescent="0.25">
      <c r="A214" s="201" t="s">
        <v>476</v>
      </c>
      <c r="B214" s="201" t="s">
        <v>1012</v>
      </c>
      <c r="C214" s="201" t="s">
        <v>36</v>
      </c>
      <c r="D214" s="201" t="s">
        <v>1013</v>
      </c>
      <c r="E214" s="202" t="s">
        <v>48</v>
      </c>
      <c r="F214" s="203">
        <f>Drenagem!C18</f>
        <v>37</v>
      </c>
      <c r="G214" s="203">
        <v>41.33</v>
      </c>
      <c r="H214" s="203">
        <f t="shared" si="28"/>
        <v>53.04</v>
      </c>
      <c r="I214" s="203">
        <f t="shared" si="29"/>
        <v>1962.48</v>
      </c>
    </row>
    <row r="215" spans="1:9" ht="47.25" x14ac:dyDescent="0.25">
      <c r="A215" s="201" t="s">
        <v>477</v>
      </c>
      <c r="B215" s="201" t="s">
        <v>1014</v>
      </c>
      <c r="C215" s="201" t="s">
        <v>36</v>
      </c>
      <c r="D215" s="201" t="s">
        <v>1015</v>
      </c>
      <c r="E215" s="202" t="s">
        <v>48</v>
      </c>
      <c r="F215" s="203">
        <f>Drenagem!C19</f>
        <v>3</v>
      </c>
      <c r="G215" s="203">
        <v>17.89</v>
      </c>
      <c r="H215" s="203">
        <f t="shared" si="28"/>
        <v>22.96</v>
      </c>
      <c r="I215" s="203">
        <f t="shared" si="29"/>
        <v>68.88</v>
      </c>
    </row>
    <row r="216" spans="1:9" ht="47.25" x14ac:dyDescent="0.25">
      <c r="A216" s="201" t="s">
        <v>478</v>
      </c>
      <c r="B216" s="201" t="s">
        <v>324</v>
      </c>
      <c r="C216" s="201" t="s">
        <v>36</v>
      </c>
      <c r="D216" s="201" t="s">
        <v>325</v>
      </c>
      <c r="E216" s="202" t="s">
        <v>48</v>
      </c>
      <c r="F216" s="203">
        <f>Drenagem!C20</f>
        <v>1</v>
      </c>
      <c r="G216" s="203">
        <v>7.31</v>
      </c>
      <c r="H216" s="203">
        <f t="shared" si="28"/>
        <v>9.3800000000000008</v>
      </c>
      <c r="I216" s="203">
        <f t="shared" si="29"/>
        <v>9.3800000000000008</v>
      </c>
    </row>
    <row r="217" spans="1:9" ht="47.25" x14ac:dyDescent="0.25">
      <c r="A217" s="201" t="s">
        <v>481</v>
      </c>
      <c r="B217" s="201" t="s">
        <v>1016</v>
      </c>
      <c r="C217" s="201" t="s">
        <v>36</v>
      </c>
      <c r="D217" s="201" t="s">
        <v>1017</v>
      </c>
      <c r="E217" s="202" t="s">
        <v>48</v>
      </c>
      <c r="F217" s="203">
        <f>Drenagem!C21</f>
        <v>3</v>
      </c>
      <c r="G217" s="203">
        <v>22.96</v>
      </c>
      <c r="H217" s="203">
        <f t="shared" si="28"/>
        <v>29.46</v>
      </c>
      <c r="I217" s="203">
        <f t="shared" si="29"/>
        <v>88.38</v>
      </c>
    </row>
    <row r="218" spans="1:9" ht="47.25" x14ac:dyDescent="0.25">
      <c r="A218" s="201" t="s">
        <v>484</v>
      </c>
      <c r="B218" s="201" t="s">
        <v>1018</v>
      </c>
      <c r="C218" s="201" t="s">
        <v>36</v>
      </c>
      <c r="D218" s="201" t="s">
        <v>1019</v>
      </c>
      <c r="E218" s="202" t="s">
        <v>48</v>
      </c>
      <c r="F218" s="203">
        <f>Drenagem!C22</f>
        <v>1</v>
      </c>
      <c r="G218" s="203">
        <v>47</v>
      </c>
      <c r="H218" s="203">
        <f t="shared" si="28"/>
        <v>60.32</v>
      </c>
      <c r="I218" s="203">
        <f t="shared" si="29"/>
        <v>60.32</v>
      </c>
    </row>
    <row r="219" spans="1:9" ht="47.25" x14ac:dyDescent="0.25">
      <c r="A219" s="201" t="s">
        <v>487</v>
      </c>
      <c r="B219" s="201" t="s">
        <v>1020</v>
      </c>
      <c r="C219" s="201" t="s">
        <v>36</v>
      </c>
      <c r="D219" s="201" t="s">
        <v>1021</v>
      </c>
      <c r="E219" s="202" t="s">
        <v>48</v>
      </c>
      <c r="F219" s="203">
        <f>Drenagem!C23</f>
        <v>115</v>
      </c>
      <c r="G219" s="203">
        <v>3.53</v>
      </c>
      <c r="H219" s="203">
        <f t="shared" si="28"/>
        <v>4.53</v>
      </c>
      <c r="I219" s="203">
        <f t="shared" si="29"/>
        <v>520.95000000000005</v>
      </c>
    </row>
    <row r="220" spans="1:9" ht="47.25" x14ac:dyDescent="0.25">
      <c r="A220" s="201" t="s">
        <v>490</v>
      </c>
      <c r="B220" s="201" t="s">
        <v>1022</v>
      </c>
      <c r="C220" s="201" t="s">
        <v>36</v>
      </c>
      <c r="D220" s="201" t="s">
        <v>1023</v>
      </c>
      <c r="E220" s="202" t="s">
        <v>48</v>
      </c>
      <c r="F220" s="203">
        <f>Drenagem!C24</f>
        <v>82</v>
      </c>
      <c r="G220" s="203">
        <v>3.97</v>
      </c>
      <c r="H220" s="203">
        <f t="shared" si="28"/>
        <v>5.09</v>
      </c>
      <c r="I220" s="203">
        <f t="shared" si="29"/>
        <v>417.38</v>
      </c>
    </row>
    <row r="221" spans="1:9" ht="31.5" x14ac:dyDescent="0.25">
      <c r="A221" s="201" t="s">
        <v>493</v>
      </c>
      <c r="B221" s="201" t="s">
        <v>1024</v>
      </c>
      <c r="C221" s="201" t="s">
        <v>36</v>
      </c>
      <c r="D221" s="201" t="s">
        <v>1025</v>
      </c>
      <c r="E221" s="202" t="s">
        <v>48</v>
      </c>
      <c r="F221" s="203">
        <f>Drenagem!C25</f>
        <v>48</v>
      </c>
      <c r="G221" s="203">
        <v>7.61</v>
      </c>
      <c r="H221" s="203">
        <f t="shared" si="28"/>
        <v>9.76</v>
      </c>
      <c r="I221" s="203">
        <f t="shared" si="29"/>
        <v>468.48</v>
      </c>
    </row>
    <row r="222" spans="1:9" ht="47.25" x14ac:dyDescent="0.25">
      <c r="A222" s="201" t="s">
        <v>494</v>
      </c>
      <c r="B222" s="201" t="s">
        <v>1026</v>
      </c>
      <c r="C222" s="201" t="s">
        <v>36</v>
      </c>
      <c r="D222" s="201" t="s">
        <v>1027</v>
      </c>
      <c r="E222" s="202" t="s">
        <v>48</v>
      </c>
      <c r="F222" s="203">
        <f>Drenagem!C26</f>
        <v>10</v>
      </c>
      <c r="G222" s="203">
        <v>47.43</v>
      </c>
      <c r="H222" s="203">
        <f t="shared" si="28"/>
        <v>60.87</v>
      </c>
      <c r="I222" s="203">
        <f t="shared" si="29"/>
        <v>608.70000000000005</v>
      </c>
    </row>
    <row r="223" spans="1:9" ht="47.25" x14ac:dyDescent="0.25">
      <c r="A223" s="201" t="s">
        <v>495</v>
      </c>
      <c r="B223" s="201" t="s">
        <v>1028</v>
      </c>
      <c r="C223" s="201" t="s">
        <v>36</v>
      </c>
      <c r="D223" s="201" t="s">
        <v>1029</v>
      </c>
      <c r="E223" s="202" t="s">
        <v>48</v>
      </c>
      <c r="F223" s="203">
        <f>Drenagem!C27</f>
        <v>27</v>
      </c>
      <c r="G223" s="203">
        <v>10.07</v>
      </c>
      <c r="H223" s="203">
        <f t="shared" si="28"/>
        <v>12.92</v>
      </c>
      <c r="I223" s="203">
        <f t="shared" si="29"/>
        <v>348.84</v>
      </c>
    </row>
    <row r="224" spans="1:9" ht="47.25" x14ac:dyDescent="0.25">
      <c r="A224" s="201" t="s">
        <v>496</v>
      </c>
      <c r="B224" s="201" t="s">
        <v>1030</v>
      </c>
      <c r="C224" s="201" t="s">
        <v>36</v>
      </c>
      <c r="D224" s="201" t="s">
        <v>1031</v>
      </c>
      <c r="E224" s="202" t="s">
        <v>48</v>
      </c>
      <c r="F224" s="203">
        <f>Drenagem!C28</f>
        <v>1</v>
      </c>
      <c r="G224" s="203">
        <v>4.34</v>
      </c>
      <c r="H224" s="203">
        <f t="shared" si="28"/>
        <v>5.57</v>
      </c>
      <c r="I224" s="203">
        <f t="shared" si="29"/>
        <v>5.57</v>
      </c>
    </row>
    <row r="225" spans="1:10" ht="47.25" x14ac:dyDescent="0.25">
      <c r="A225" s="201" t="s">
        <v>497</v>
      </c>
      <c r="B225" s="201" t="s">
        <v>332</v>
      </c>
      <c r="C225" s="201" t="s">
        <v>36</v>
      </c>
      <c r="D225" s="201" t="s">
        <v>333</v>
      </c>
      <c r="E225" s="202" t="s">
        <v>48</v>
      </c>
      <c r="F225" s="203">
        <f>Drenagem!C29</f>
        <v>75</v>
      </c>
      <c r="G225" s="203">
        <v>12.69</v>
      </c>
      <c r="H225" s="203">
        <f t="shared" si="28"/>
        <v>16.28</v>
      </c>
      <c r="I225" s="203">
        <f t="shared" si="29"/>
        <v>1221</v>
      </c>
    </row>
    <row r="226" spans="1:10" ht="47.25" x14ac:dyDescent="0.25">
      <c r="A226" s="201" t="s">
        <v>498</v>
      </c>
      <c r="B226" s="201" t="s">
        <v>1032</v>
      </c>
      <c r="C226" s="201" t="s">
        <v>36</v>
      </c>
      <c r="D226" s="201" t="s">
        <v>1033</v>
      </c>
      <c r="E226" s="202" t="s">
        <v>48</v>
      </c>
      <c r="F226" s="203">
        <f>Drenagem!C30</f>
        <v>5</v>
      </c>
      <c r="G226" s="203">
        <v>38.83</v>
      </c>
      <c r="H226" s="203">
        <f t="shared" si="28"/>
        <v>49.83</v>
      </c>
      <c r="I226" s="203">
        <f t="shared" si="29"/>
        <v>249.15</v>
      </c>
    </row>
    <row r="227" spans="1:10" ht="47.25" x14ac:dyDescent="0.25">
      <c r="A227" s="201" t="s">
        <v>501</v>
      </c>
      <c r="B227" s="201" t="s">
        <v>1034</v>
      </c>
      <c r="C227" s="201" t="s">
        <v>36</v>
      </c>
      <c r="D227" s="201" t="s">
        <v>1035</v>
      </c>
      <c r="E227" s="202" t="s">
        <v>48</v>
      </c>
      <c r="F227" s="203">
        <f>Drenagem!C31</f>
        <v>1</v>
      </c>
      <c r="G227" s="203">
        <v>11.42</v>
      </c>
      <c r="H227" s="203">
        <f t="shared" si="28"/>
        <v>14.65</v>
      </c>
      <c r="I227" s="203">
        <f t="shared" si="29"/>
        <v>14.65</v>
      </c>
    </row>
    <row r="228" spans="1:10" ht="47.25" x14ac:dyDescent="0.25">
      <c r="A228" s="201" t="s">
        <v>502</v>
      </c>
      <c r="B228" s="201" t="s">
        <v>334</v>
      </c>
      <c r="C228" s="201" t="s">
        <v>36</v>
      </c>
      <c r="D228" s="201" t="s">
        <v>335</v>
      </c>
      <c r="E228" s="202" t="s">
        <v>12</v>
      </c>
      <c r="F228" s="203">
        <f>Drenagem!C32</f>
        <v>580</v>
      </c>
      <c r="G228" s="203">
        <v>36.39</v>
      </c>
      <c r="H228" s="203">
        <f t="shared" si="28"/>
        <v>46.7</v>
      </c>
      <c r="I228" s="203">
        <f t="shared" si="29"/>
        <v>27086</v>
      </c>
    </row>
    <row r="229" spans="1:10" ht="47.25" x14ac:dyDescent="0.25">
      <c r="A229" s="201" t="s">
        <v>505</v>
      </c>
      <c r="B229" s="201" t="s">
        <v>1036</v>
      </c>
      <c r="C229" s="201" t="s">
        <v>36</v>
      </c>
      <c r="D229" s="201" t="s">
        <v>1037</v>
      </c>
      <c r="E229" s="202" t="s">
        <v>12</v>
      </c>
      <c r="F229" s="203">
        <f>Drenagem!C33</f>
        <v>122</v>
      </c>
      <c r="G229" s="203">
        <v>32.78</v>
      </c>
      <c r="H229" s="203">
        <f t="shared" si="28"/>
        <v>42.07</v>
      </c>
      <c r="I229" s="203">
        <f t="shared" si="29"/>
        <v>5132.54</v>
      </c>
    </row>
    <row r="230" spans="1:10" ht="47.25" x14ac:dyDescent="0.25">
      <c r="A230" s="201" t="s">
        <v>506</v>
      </c>
      <c r="B230" s="201" t="s">
        <v>1038</v>
      </c>
      <c r="C230" s="201" t="s">
        <v>36</v>
      </c>
      <c r="D230" s="201" t="s">
        <v>1039</v>
      </c>
      <c r="E230" s="202" t="s">
        <v>12</v>
      </c>
      <c r="F230" s="203">
        <f>Drenagem!C34</f>
        <v>13</v>
      </c>
      <c r="G230" s="203">
        <v>28.09</v>
      </c>
      <c r="H230" s="203">
        <f t="shared" si="28"/>
        <v>36.049999999999997</v>
      </c>
      <c r="I230" s="203">
        <f t="shared" si="29"/>
        <v>468.65</v>
      </c>
    </row>
    <row r="231" spans="1:10" ht="47.25" x14ac:dyDescent="0.25">
      <c r="A231" s="201" t="s">
        <v>507</v>
      </c>
      <c r="B231" s="201" t="s">
        <v>338</v>
      </c>
      <c r="C231" s="201" t="s">
        <v>36</v>
      </c>
      <c r="D231" s="201" t="s">
        <v>339</v>
      </c>
      <c r="E231" s="202" t="s">
        <v>12</v>
      </c>
      <c r="F231" s="203">
        <f>Drenagem!C35</f>
        <v>105</v>
      </c>
      <c r="G231" s="203">
        <v>12.76</v>
      </c>
      <c r="H231" s="203">
        <f t="shared" si="28"/>
        <v>16.37</v>
      </c>
      <c r="I231" s="203">
        <f t="shared" si="29"/>
        <v>1718.85</v>
      </c>
    </row>
    <row r="232" spans="1:10" ht="31.5" x14ac:dyDescent="0.25">
      <c r="A232" s="201" t="s">
        <v>508</v>
      </c>
      <c r="B232" s="201" t="s">
        <v>1040</v>
      </c>
      <c r="C232" s="201" t="s">
        <v>36</v>
      </c>
      <c r="D232" s="201" t="s">
        <v>1041</v>
      </c>
      <c r="E232" s="202" t="s">
        <v>12</v>
      </c>
      <c r="F232" s="203">
        <f>Drenagem!C36</f>
        <v>332</v>
      </c>
      <c r="G232" s="203">
        <v>9.2100000000000009</v>
      </c>
      <c r="H232" s="203">
        <f t="shared" si="28"/>
        <v>11.82</v>
      </c>
      <c r="I232" s="203">
        <f t="shared" si="29"/>
        <v>3924.24</v>
      </c>
    </row>
    <row r="233" spans="1:10" ht="31.5" x14ac:dyDescent="0.25">
      <c r="A233" s="201" t="s">
        <v>511</v>
      </c>
      <c r="B233" s="201" t="s">
        <v>974</v>
      </c>
      <c r="C233" s="201" t="s">
        <v>36</v>
      </c>
      <c r="D233" s="201" t="s">
        <v>975</v>
      </c>
      <c r="E233" s="202" t="s">
        <v>12</v>
      </c>
      <c r="F233" s="203">
        <f>Drenagem!C38</f>
        <v>168</v>
      </c>
      <c r="G233" s="203">
        <v>9.07</v>
      </c>
      <c r="H233" s="203">
        <f t="shared" si="28"/>
        <v>11.64</v>
      </c>
      <c r="I233" s="203">
        <f t="shared" si="29"/>
        <v>1955.52</v>
      </c>
    </row>
    <row r="234" spans="1:10" ht="47.25" x14ac:dyDescent="0.25">
      <c r="A234" s="201" t="s">
        <v>514</v>
      </c>
      <c r="B234" s="201" t="s">
        <v>978</v>
      </c>
      <c r="C234" s="201" t="s">
        <v>36</v>
      </c>
      <c r="D234" s="201" t="s">
        <v>979</v>
      </c>
      <c r="E234" s="202" t="s">
        <v>12</v>
      </c>
      <c r="F234" s="203">
        <f>Drenagem!C39</f>
        <v>2</v>
      </c>
      <c r="G234" s="203">
        <v>18.29</v>
      </c>
      <c r="H234" s="203">
        <f t="shared" si="28"/>
        <v>23.47</v>
      </c>
      <c r="I234" s="203">
        <f t="shared" si="29"/>
        <v>46.94</v>
      </c>
    </row>
    <row r="235" spans="1:10" ht="31.5" x14ac:dyDescent="0.25">
      <c r="A235" s="201" t="s">
        <v>517</v>
      </c>
      <c r="B235" s="201" t="s">
        <v>980</v>
      </c>
      <c r="C235" s="201" t="s">
        <v>36</v>
      </c>
      <c r="D235" s="201" t="s">
        <v>981</v>
      </c>
      <c r="E235" s="202" t="s">
        <v>12</v>
      </c>
      <c r="F235" s="203">
        <f>Drenagem!C40</f>
        <v>269</v>
      </c>
      <c r="G235" s="203">
        <v>17.14</v>
      </c>
      <c r="H235" s="203">
        <f t="shared" si="28"/>
        <v>21.99</v>
      </c>
      <c r="I235" s="203">
        <f t="shared" si="29"/>
        <v>5915.31</v>
      </c>
    </row>
    <row r="236" spans="1:10" ht="31.5" x14ac:dyDescent="0.25">
      <c r="A236" s="201" t="s">
        <v>520</v>
      </c>
      <c r="B236" s="201" t="s">
        <v>991</v>
      </c>
      <c r="C236" s="201" t="s">
        <v>36</v>
      </c>
      <c r="D236" s="201" t="s">
        <v>992</v>
      </c>
      <c r="E236" s="202" t="s">
        <v>12</v>
      </c>
      <c r="F236" s="203">
        <f>Drenagem!C41</f>
        <v>561</v>
      </c>
      <c r="G236" s="203">
        <v>19.88</v>
      </c>
      <c r="H236" s="203">
        <f t="shared" si="28"/>
        <v>25.51</v>
      </c>
      <c r="I236" s="203">
        <f t="shared" si="29"/>
        <v>14311.11</v>
      </c>
    </row>
    <row r="237" spans="1:10" s="238" customFormat="1" x14ac:dyDescent="0.25">
      <c r="A237" s="240">
        <v>20</v>
      </c>
      <c r="B237" s="236"/>
      <c r="C237" s="236"/>
      <c r="D237" s="236" t="s">
        <v>227</v>
      </c>
      <c r="E237" s="239"/>
      <c r="F237" s="237"/>
      <c r="G237" s="237"/>
      <c r="H237" s="237"/>
      <c r="I237" s="237">
        <f>SUM(I238:I299)</f>
        <v>456675.56999999995</v>
      </c>
      <c r="J237" s="383"/>
    </row>
    <row r="238" spans="1:10" ht="47.25" x14ac:dyDescent="0.25">
      <c r="A238" s="201" t="s">
        <v>661</v>
      </c>
      <c r="B238" s="201" t="s">
        <v>264</v>
      </c>
      <c r="C238" s="201" t="s">
        <v>36</v>
      </c>
      <c r="D238" s="201" t="s">
        <v>265</v>
      </c>
      <c r="E238" s="202" t="s">
        <v>48</v>
      </c>
      <c r="F238" s="203">
        <f>Elétrica!C2</f>
        <v>461</v>
      </c>
      <c r="G238" s="203">
        <v>6.72</v>
      </c>
      <c r="H238" s="203">
        <f t="shared" ref="H238:H299" si="30">TRUNC(G238*$F$2+G238,2)</f>
        <v>8.6199999999999992</v>
      </c>
      <c r="I238" s="203">
        <f t="shared" ref="I238:I299" si="31">TRUNC(H238*F238,2)</f>
        <v>3973.82</v>
      </c>
    </row>
    <row r="239" spans="1:10" ht="31.5" x14ac:dyDescent="0.25">
      <c r="A239" s="201" t="s">
        <v>662</v>
      </c>
      <c r="B239" s="201" t="s">
        <v>586</v>
      </c>
      <c r="C239" s="201" t="s">
        <v>10</v>
      </c>
      <c r="D239" s="201" t="s">
        <v>587</v>
      </c>
      <c r="E239" s="202" t="s">
        <v>48</v>
      </c>
      <c r="F239" s="203">
        <f>Elétrica!C3</f>
        <v>25</v>
      </c>
      <c r="G239" s="203">
        <v>25.2</v>
      </c>
      <c r="H239" s="203">
        <f t="shared" si="30"/>
        <v>32.340000000000003</v>
      </c>
      <c r="I239" s="203">
        <f t="shared" si="31"/>
        <v>808.5</v>
      </c>
    </row>
    <row r="240" spans="1:10" ht="47.25" x14ac:dyDescent="0.25">
      <c r="A240" s="201" t="s">
        <v>663</v>
      </c>
      <c r="B240" s="201" t="s">
        <v>1045</v>
      </c>
      <c r="C240" s="201" t="s">
        <v>36</v>
      </c>
      <c r="D240" s="201" t="s">
        <v>1046</v>
      </c>
      <c r="E240" s="202" t="s">
        <v>48</v>
      </c>
      <c r="F240" s="203">
        <f>Elétrica!C4</f>
        <v>22</v>
      </c>
      <c r="G240" s="203">
        <v>115.14</v>
      </c>
      <c r="H240" s="203">
        <f t="shared" si="30"/>
        <v>147.78</v>
      </c>
      <c r="I240" s="203">
        <f t="shared" si="31"/>
        <v>3251.16</v>
      </c>
    </row>
    <row r="241" spans="1:11" ht="31.5" x14ac:dyDescent="0.25">
      <c r="A241" s="201" t="s">
        <v>664</v>
      </c>
      <c r="B241" s="201" t="s">
        <v>1047</v>
      </c>
      <c r="C241" s="201" t="s">
        <v>10</v>
      </c>
      <c r="D241" s="201" t="s">
        <v>1048</v>
      </c>
      <c r="E241" s="202" t="s">
        <v>48</v>
      </c>
      <c r="F241" s="203">
        <f>Elétrica!C5</f>
        <v>35</v>
      </c>
      <c r="G241" s="203">
        <v>25.68</v>
      </c>
      <c r="H241" s="203">
        <f t="shared" si="30"/>
        <v>32.96</v>
      </c>
      <c r="I241" s="203">
        <f t="shared" si="31"/>
        <v>1153.5999999999999</v>
      </c>
    </row>
    <row r="242" spans="1:11" ht="31.5" x14ac:dyDescent="0.25">
      <c r="A242" s="201" t="s">
        <v>665</v>
      </c>
      <c r="B242" s="201" t="s">
        <v>273</v>
      </c>
      <c r="C242" s="201" t="s">
        <v>36</v>
      </c>
      <c r="D242" s="201" t="s">
        <v>274</v>
      </c>
      <c r="E242" s="202" t="s">
        <v>48</v>
      </c>
      <c r="F242" s="203">
        <f>Elétrica!C6</f>
        <v>396</v>
      </c>
      <c r="G242" s="203">
        <v>8.91</v>
      </c>
      <c r="H242" s="203">
        <f t="shared" si="30"/>
        <v>11.43</v>
      </c>
      <c r="I242" s="203">
        <f t="shared" si="31"/>
        <v>4526.28</v>
      </c>
    </row>
    <row r="243" spans="1:11" ht="47.25" x14ac:dyDescent="0.25">
      <c r="A243" s="201" t="s">
        <v>666</v>
      </c>
      <c r="B243" s="201" t="s">
        <v>1049</v>
      </c>
      <c r="C243" s="201" t="s">
        <v>10</v>
      </c>
      <c r="D243" s="201" t="s">
        <v>1050</v>
      </c>
      <c r="E243" s="202" t="s">
        <v>12</v>
      </c>
      <c r="F243" s="203">
        <f>Elétrica!C7</f>
        <v>4</v>
      </c>
      <c r="G243" s="203">
        <v>7.96</v>
      </c>
      <c r="H243" s="203">
        <f t="shared" si="30"/>
        <v>10.210000000000001</v>
      </c>
      <c r="I243" s="203">
        <f t="shared" si="31"/>
        <v>40.840000000000003</v>
      </c>
    </row>
    <row r="244" spans="1:11" ht="47.25" x14ac:dyDescent="0.25">
      <c r="A244" s="201" t="s">
        <v>667</v>
      </c>
      <c r="B244" s="201" t="s">
        <v>257</v>
      </c>
      <c r="C244" s="201" t="s">
        <v>36</v>
      </c>
      <c r="D244" s="201" t="s">
        <v>258</v>
      </c>
      <c r="E244" s="202" t="s">
        <v>12</v>
      </c>
      <c r="F244" s="203">
        <f>Elétrica!C8</f>
        <v>556</v>
      </c>
      <c r="G244" s="203">
        <v>5.75</v>
      </c>
      <c r="H244" s="203">
        <f t="shared" si="30"/>
        <v>7.38</v>
      </c>
      <c r="I244" s="203">
        <f t="shared" si="31"/>
        <v>4103.28</v>
      </c>
    </row>
    <row r="245" spans="1:11" ht="47.25" x14ac:dyDescent="0.25">
      <c r="A245" s="201" t="s">
        <v>668</v>
      </c>
      <c r="B245" s="201" t="s">
        <v>259</v>
      </c>
      <c r="C245" s="201" t="s">
        <v>36</v>
      </c>
      <c r="D245" s="201" t="s">
        <v>260</v>
      </c>
      <c r="E245" s="202" t="s">
        <v>12</v>
      </c>
      <c r="F245" s="203">
        <f>Elétrica!C9</f>
        <v>20</v>
      </c>
      <c r="G245" s="203">
        <v>7.19</v>
      </c>
      <c r="H245" s="203">
        <f t="shared" si="30"/>
        <v>9.2200000000000006</v>
      </c>
      <c r="I245" s="203">
        <f t="shared" si="31"/>
        <v>184.4</v>
      </c>
    </row>
    <row r="246" spans="1:11" ht="47.25" x14ac:dyDescent="0.25">
      <c r="A246" s="201" t="s">
        <v>669</v>
      </c>
      <c r="B246" s="201" t="s">
        <v>1051</v>
      </c>
      <c r="C246" s="201" t="s">
        <v>10</v>
      </c>
      <c r="D246" s="201" t="s">
        <v>1052</v>
      </c>
      <c r="E246" s="202" t="s">
        <v>12</v>
      </c>
      <c r="F246" s="203">
        <f>Elétrica!C10</f>
        <v>33</v>
      </c>
      <c r="G246" s="203">
        <v>8.07</v>
      </c>
      <c r="H246" s="203">
        <f t="shared" si="30"/>
        <v>10.35</v>
      </c>
      <c r="I246" s="203">
        <f t="shared" si="31"/>
        <v>341.55</v>
      </c>
    </row>
    <row r="247" spans="1:11" ht="47.25" x14ac:dyDescent="0.25">
      <c r="A247" s="201" t="s">
        <v>670</v>
      </c>
      <c r="B247" s="201" t="s">
        <v>1053</v>
      </c>
      <c r="C247" s="201" t="s">
        <v>10</v>
      </c>
      <c r="D247" s="201" t="s">
        <v>1054</v>
      </c>
      <c r="E247" s="202" t="s">
        <v>12</v>
      </c>
      <c r="F247" s="203">
        <f>Elétrica!C11</f>
        <v>31</v>
      </c>
      <c r="G247" s="203">
        <v>8.2200000000000006</v>
      </c>
      <c r="H247" s="203">
        <f t="shared" si="30"/>
        <v>10.55</v>
      </c>
      <c r="I247" s="203">
        <f t="shared" si="31"/>
        <v>327.05</v>
      </c>
    </row>
    <row r="248" spans="1:11" ht="47.25" x14ac:dyDescent="0.25">
      <c r="A248" s="201" t="s">
        <v>671</v>
      </c>
      <c r="B248" s="201" t="s">
        <v>555</v>
      </c>
      <c r="C248" s="201" t="s">
        <v>36</v>
      </c>
      <c r="D248" s="201" t="s">
        <v>556</v>
      </c>
      <c r="E248" s="202" t="s">
        <v>12</v>
      </c>
      <c r="F248" s="203">
        <f>Elétrica!C12</f>
        <v>839</v>
      </c>
      <c r="G248" s="203">
        <v>7</v>
      </c>
      <c r="H248" s="203">
        <f t="shared" si="30"/>
        <v>8.98</v>
      </c>
      <c r="I248" s="203">
        <f t="shared" si="31"/>
        <v>7534.22</v>
      </c>
    </row>
    <row r="249" spans="1:11" ht="47.25" x14ac:dyDescent="0.25">
      <c r="A249" s="201" t="s">
        <v>672</v>
      </c>
      <c r="B249" s="201" t="s">
        <v>261</v>
      </c>
      <c r="C249" s="201" t="s">
        <v>36</v>
      </c>
      <c r="D249" s="201" t="s">
        <v>228</v>
      </c>
      <c r="E249" s="202" t="s">
        <v>12</v>
      </c>
      <c r="F249" s="203">
        <f>Elétrica!C13</f>
        <v>123</v>
      </c>
      <c r="G249" s="203">
        <v>5.5</v>
      </c>
      <c r="H249" s="203">
        <f t="shared" si="30"/>
        <v>7.05</v>
      </c>
      <c r="I249" s="203">
        <f t="shared" si="31"/>
        <v>867.15</v>
      </c>
    </row>
    <row r="250" spans="1:11" ht="31.5" x14ac:dyDescent="0.25">
      <c r="A250" s="201" t="s">
        <v>673</v>
      </c>
      <c r="B250" s="201" t="s">
        <v>1055</v>
      </c>
      <c r="C250" s="201" t="s">
        <v>10</v>
      </c>
      <c r="D250" s="201" t="s">
        <v>1056</v>
      </c>
      <c r="E250" s="202" t="s">
        <v>12</v>
      </c>
      <c r="F250" s="203">
        <f>Elétrica!C14</f>
        <v>242</v>
      </c>
      <c r="G250" s="203">
        <v>31.49</v>
      </c>
      <c r="H250" s="203">
        <f t="shared" si="30"/>
        <v>40.409999999999997</v>
      </c>
      <c r="I250" s="203">
        <f t="shared" si="31"/>
        <v>9779.2199999999993</v>
      </c>
      <c r="K250" s="382"/>
    </row>
    <row r="251" spans="1:11" ht="47.25" x14ac:dyDescent="0.25">
      <c r="A251" s="201" t="s">
        <v>674</v>
      </c>
      <c r="B251" s="201" t="s">
        <v>1057</v>
      </c>
      <c r="C251" s="201" t="s">
        <v>10</v>
      </c>
      <c r="D251" s="201" t="s">
        <v>1058</v>
      </c>
      <c r="E251" s="202" t="s">
        <v>12</v>
      </c>
      <c r="F251" s="203">
        <f>Elétrica!C15</f>
        <v>7</v>
      </c>
      <c r="G251" s="203">
        <v>83.43</v>
      </c>
      <c r="H251" s="203">
        <f t="shared" si="30"/>
        <v>107.08</v>
      </c>
      <c r="I251" s="203">
        <f t="shared" si="31"/>
        <v>749.56</v>
      </c>
    </row>
    <row r="252" spans="1:11" ht="47.25" x14ac:dyDescent="0.25">
      <c r="A252" s="201" t="s">
        <v>675</v>
      </c>
      <c r="B252" s="201" t="s">
        <v>1059</v>
      </c>
      <c r="C252" s="201" t="s">
        <v>36</v>
      </c>
      <c r="D252" s="201" t="s">
        <v>1060</v>
      </c>
      <c r="E252" s="202" t="s">
        <v>12</v>
      </c>
      <c r="F252" s="203">
        <f>Elétrica!C16</f>
        <v>4</v>
      </c>
      <c r="G252" s="203">
        <v>45.1</v>
      </c>
      <c r="H252" s="203">
        <f t="shared" si="30"/>
        <v>57.88</v>
      </c>
      <c r="I252" s="203">
        <f t="shared" si="31"/>
        <v>231.52</v>
      </c>
    </row>
    <row r="253" spans="1:11" ht="47.25" x14ac:dyDescent="0.25">
      <c r="A253" s="201" t="s">
        <v>676</v>
      </c>
      <c r="B253" s="201" t="s">
        <v>1061</v>
      </c>
      <c r="C253" s="201" t="s">
        <v>36</v>
      </c>
      <c r="D253" s="201" t="s">
        <v>1062</v>
      </c>
      <c r="E253" s="202" t="s">
        <v>12</v>
      </c>
      <c r="F253" s="203">
        <f>Elétrica!C17</f>
        <v>1124</v>
      </c>
      <c r="G253" s="203">
        <v>22.49</v>
      </c>
      <c r="H253" s="203">
        <f t="shared" si="30"/>
        <v>28.86</v>
      </c>
      <c r="I253" s="203">
        <f t="shared" si="31"/>
        <v>32438.639999999999</v>
      </c>
    </row>
    <row r="254" spans="1:11" ht="47.25" x14ac:dyDescent="0.25">
      <c r="A254" s="201" t="s">
        <v>677</v>
      </c>
      <c r="B254" s="201" t="s">
        <v>1063</v>
      </c>
      <c r="C254" s="201" t="s">
        <v>36</v>
      </c>
      <c r="D254" s="201" t="s">
        <v>1064</v>
      </c>
      <c r="E254" s="202" t="s">
        <v>12</v>
      </c>
      <c r="F254" s="203">
        <f>Elétrica!C18</f>
        <v>15</v>
      </c>
      <c r="G254" s="203">
        <v>42.55</v>
      </c>
      <c r="H254" s="203">
        <f t="shared" si="30"/>
        <v>54.61</v>
      </c>
      <c r="I254" s="203">
        <f t="shared" si="31"/>
        <v>819.15</v>
      </c>
    </row>
    <row r="255" spans="1:11" ht="47.25" x14ac:dyDescent="0.25">
      <c r="A255" s="201" t="s">
        <v>678</v>
      </c>
      <c r="B255" s="201" t="s">
        <v>1065</v>
      </c>
      <c r="C255" s="201" t="s">
        <v>36</v>
      </c>
      <c r="D255" s="201" t="s">
        <v>1066</v>
      </c>
      <c r="E255" s="202" t="s">
        <v>12</v>
      </c>
      <c r="F255" s="203">
        <f>Elétrica!C19</f>
        <v>7</v>
      </c>
      <c r="G255" s="203">
        <v>41.01</v>
      </c>
      <c r="H255" s="203">
        <f t="shared" si="30"/>
        <v>52.63</v>
      </c>
      <c r="I255" s="203">
        <f t="shared" si="31"/>
        <v>368.41</v>
      </c>
    </row>
    <row r="256" spans="1:11" ht="47.25" x14ac:dyDescent="0.25">
      <c r="A256" s="201" t="s">
        <v>679</v>
      </c>
      <c r="B256" s="201" t="s">
        <v>1067</v>
      </c>
      <c r="C256" s="201" t="s">
        <v>36</v>
      </c>
      <c r="D256" s="201" t="s">
        <v>1068</v>
      </c>
      <c r="E256" s="202" t="s">
        <v>12</v>
      </c>
      <c r="F256" s="203">
        <f>Elétrica!C20</f>
        <v>16</v>
      </c>
      <c r="G256" s="203">
        <v>22.52</v>
      </c>
      <c r="H256" s="203">
        <f t="shared" si="30"/>
        <v>28.9</v>
      </c>
      <c r="I256" s="203">
        <f t="shared" si="31"/>
        <v>462.4</v>
      </c>
    </row>
    <row r="257" spans="1:9" ht="47.25" x14ac:dyDescent="0.25">
      <c r="A257" s="201" t="s">
        <v>680</v>
      </c>
      <c r="B257" s="201" t="s">
        <v>1069</v>
      </c>
      <c r="C257" s="201" t="s">
        <v>36</v>
      </c>
      <c r="D257" s="201" t="s">
        <v>1070</v>
      </c>
      <c r="E257" s="202" t="s">
        <v>12</v>
      </c>
      <c r="F257" s="203">
        <f>Elétrica!C21</f>
        <v>109</v>
      </c>
      <c r="G257" s="203">
        <v>18.010000000000002</v>
      </c>
      <c r="H257" s="203">
        <f t="shared" si="30"/>
        <v>23.11</v>
      </c>
      <c r="I257" s="203">
        <f t="shared" si="31"/>
        <v>2518.9899999999998</v>
      </c>
    </row>
    <row r="258" spans="1:9" ht="47.25" x14ac:dyDescent="0.25">
      <c r="A258" s="201" t="s">
        <v>681</v>
      </c>
      <c r="B258" s="201" t="s">
        <v>1071</v>
      </c>
      <c r="C258" s="201" t="s">
        <v>36</v>
      </c>
      <c r="D258" s="201" t="s">
        <v>1072</v>
      </c>
      <c r="E258" s="202" t="s">
        <v>12</v>
      </c>
      <c r="F258" s="203">
        <f>Elétrica!C22</f>
        <v>10</v>
      </c>
      <c r="G258" s="203">
        <v>38.29</v>
      </c>
      <c r="H258" s="203">
        <f t="shared" si="30"/>
        <v>49.14</v>
      </c>
      <c r="I258" s="203">
        <f t="shared" si="31"/>
        <v>491.4</v>
      </c>
    </row>
    <row r="259" spans="1:9" x14ac:dyDescent="0.25">
      <c r="A259" s="201" t="s">
        <v>682</v>
      </c>
      <c r="B259" s="201" t="s">
        <v>1073</v>
      </c>
      <c r="C259" s="201" t="s">
        <v>10</v>
      </c>
      <c r="D259" s="201" t="s">
        <v>1074</v>
      </c>
      <c r="E259" s="202" t="s">
        <v>48</v>
      </c>
      <c r="F259" s="203">
        <f>Elétrica!C23</f>
        <v>315</v>
      </c>
      <c r="G259" s="203">
        <v>12.71</v>
      </c>
      <c r="H259" s="203">
        <f t="shared" si="30"/>
        <v>16.309999999999999</v>
      </c>
      <c r="I259" s="203">
        <f t="shared" si="31"/>
        <v>5137.6499999999996</v>
      </c>
    </row>
    <row r="260" spans="1:9" ht="47.25" x14ac:dyDescent="0.25">
      <c r="A260" s="201" t="s">
        <v>683</v>
      </c>
      <c r="B260" s="201" t="s">
        <v>1075</v>
      </c>
      <c r="C260" s="201" t="s">
        <v>36</v>
      </c>
      <c r="D260" s="201" t="s">
        <v>1076</v>
      </c>
      <c r="E260" s="202" t="s">
        <v>48</v>
      </c>
      <c r="F260" s="203">
        <f>Elétrica!C24</f>
        <v>6</v>
      </c>
      <c r="G260" s="203">
        <v>13.29</v>
      </c>
      <c r="H260" s="203">
        <f t="shared" si="30"/>
        <v>17.05</v>
      </c>
      <c r="I260" s="203">
        <f t="shared" si="31"/>
        <v>102.3</v>
      </c>
    </row>
    <row r="261" spans="1:9" ht="47.25" x14ac:dyDescent="0.25">
      <c r="A261" s="201" t="s">
        <v>684</v>
      </c>
      <c r="B261" s="201" t="s">
        <v>1077</v>
      </c>
      <c r="C261" s="201" t="s">
        <v>36</v>
      </c>
      <c r="D261" s="201" t="s">
        <v>1078</v>
      </c>
      <c r="E261" s="202" t="s">
        <v>48</v>
      </c>
      <c r="F261" s="203">
        <f>Elétrica!C25</f>
        <v>2</v>
      </c>
      <c r="G261" s="203">
        <v>6.72</v>
      </c>
      <c r="H261" s="203">
        <f t="shared" si="30"/>
        <v>8.6199999999999992</v>
      </c>
      <c r="I261" s="203">
        <f t="shared" si="31"/>
        <v>17.239999999999998</v>
      </c>
    </row>
    <row r="262" spans="1:9" ht="47.25" x14ac:dyDescent="0.25">
      <c r="A262" s="201" t="s">
        <v>685</v>
      </c>
      <c r="B262" s="201" t="s">
        <v>1079</v>
      </c>
      <c r="C262" s="201" t="s">
        <v>36</v>
      </c>
      <c r="D262" s="201" t="s">
        <v>1080</v>
      </c>
      <c r="E262" s="202" t="s">
        <v>48</v>
      </c>
      <c r="F262" s="203">
        <f>Elétrica!C26</f>
        <v>628</v>
      </c>
      <c r="G262" s="203">
        <v>5.42</v>
      </c>
      <c r="H262" s="203">
        <f t="shared" si="30"/>
        <v>6.95</v>
      </c>
      <c r="I262" s="203">
        <f t="shared" si="31"/>
        <v>4364.6000000000004</v>
      </c>
    </row>
    <row r="263" spans="1:9" ht="47.25" x14ac:dyDescent="0.25">
      <c r="A263" s="201" t="s">
        <v>686</v>
      </c>
      <c r="B263" s="201" t="s">
        <v>1081</v>
      </c>
      <c r="C263" s="201" t="s">
        <v>36</v>
      </c>
      <c r="D263" s="201" t="s">
        <v>1082</v>
      </c>
      <c r="E263" s="202" t="s">
        <v>48</v>
      </c>
      <c r="F263" s="203">
        <f>Elétrica!C27</f>
        <v>8</v>
      </c>
      <c r="G263" s="203">
        <v>9.89</v>
      </c>
      <c r="H263" s="203">
        <f t="shared" si="30"/>
        <v>12.69</v>
      </c>
      <c r="I263" s="203">
        <f t="shared" si="31"/>
        <v>101.52</v>
      </c>
    </row>
    <row r="264" spans="1:9" ht="47.25" x14ac:dyDescent="0.25">
      <c r="A264" s="201" t="s">
        <v>687</v>
      </c>
      <c r="B264" s="201" t="s">
        <v>559</v>
      </c>
      <c r="C264" s="201" t="s">
        <v>10</v>
      </c>
      <c r="D264" s="201" t="s">
        <v>560</v>
      </c>
      <c r="E264" s="202" t="s">
        <v>48</v>
      </c>
      <c r="F264" s="203">
        <f>Elétrica!C28</f>
        <v>387</v>
      </c>
      <c r="G264" s="203">
        <v>121.87</v>
      </c>
      <c r="H264" s="203">
        <f t="shared" si="30"/>
        <v>156.41999999999999</v>
      </c>
      <c r="I264" s="203">
        <f t="shared" si="31"/>
        <v>60534.54</v>
      </c>
    </row>
    <row r="265" spans="1:9" ht="31.5" x14ac:dyDescent="0.25">
      <c r="A265" s="201" t="s">
        <v>688</v>
      </c>
      <c r="B265" s="201" t="s">
        <v>1083</v>
      </c>
      <c r="C265" s="201" t="s">
        <v>36</v>
      </c>
      <c r="D265" s="201" t="s">
        <v>1084</v>
      </c>
      <c r="E265" s="202" t="s">
        <v>48</v>
      </c>
      <c r="F265" s="203">
        <f>Elétrica!C29</f>
        <v>55</v>
      </c>
      <c r="G265" s="203">
        <v>80.819999999999993</v>
      </c>
      <c r="H265" s="203">
        <f t="shared" si="30"/>
        <v>103.73</v>
      </c>
      <c r="I265" s="203">
        <f t="shared" si="31"/>
        <v>5705.15</v>
      </c>
    </row>
    <row r="266" spans="1:9" ht="31.5" x14ac:dyDescent="0.25">
      <c r="A266" s="201" t="s">
        <v>689</v>
      </c>
      <c r="B266" s="201" t="s">
        <v>1085</v>
      </c>
      <c r="C266" s="201" t="s">
        <v>36</v>
      </c>
      <c r="D266" s="201" t="s">
        <v>1086</v>
      </c>
      <c r="E266" s="202" t="s">
        <v>48</v>
      </c>
      <c r="F266" s="203">
        <f>Elétrica!C30</f>
        <v>9</v>
      </c>
      <c r="G266" s="203">
        <v>83.9</v>
      </c>
      <c r="H266" s="203">
        <f t="shared" si="30"/>
        <v>107.68</v>
      </c>
      <c r="I266" s="203">
        <f t="shared" si="31"/>
        <v>969.12</v>
      </c>
    </row>
    <row r="267" spans="1:9" ht="63" x14ac:dyDescent="0.25">
      <c r="A267" s="201" t="s">
        <v>690</v>
      </c>
      <c r="B267" s="201" t="s">
        <v>575</v>
      </c>
      <c r="C267" s="201" t="s">
        <v>36</v>
      </c>
      <c r="D267" s="201" t="s">
        <v>576</v>
      </c>
      <c r="E267" s="202" t="s">
        <v>48</v>
      </c>
      <c r="F267" s="203">
        <f>Elétrica!C31</f>
        <v>20</v>
      </c>
      <c r="G267" s="203">
        <v>1168.7</v>
      </c>
      <c r="H267" s="203">
        <f t="shared" si="30"/>
        <v>1500.02</v>
      </c>
      <c r="I267" s="203">
        <f t="shared" si="31"/>
        <v>30000.400000000001</v>
      </c>
    </row>
    <row r="268" spans="1:9" x14ac:dyDescent="0.25">
      <c r="A268" s="201" t="s">
        <v>1042</v>
      </c>
      <c r="B268" s="201" t="s">
        <v>1087</v>
      </c>
      <c r="C268" s="201" t="s">
        <v>10</v>
      </c>
      <c r="D268" s="201" t="s">
        <v>1088</v>
      </c>
      <c r="E268" s="202" t="s">
        <v>48</v>
      </c>
      <c r="F268" s="203">
        <f>Elétrica!C32</f>
        <v>58</v>
      </c>
      <c r="G268" s="203">
        <v>2.69</v>
      </c>
      <c r="H268" s="203">
        <f t="shared" si="30"/>
        <v>3.45</v>
      </c>
      <c r="I268" s="203">
        <f t="shared" si="31"/>
        <v>200.1</v>
      </c>
    </row>
    <row r="269" spans="1:9" ht="31.5" x14ac:dyDescent="0.25">
      <c r="A269" s="201" t="s">
        <v>1043</v>
      </c>
      <c r="B269" s="201" t="s">
        <v>267</v>
      </c>
      <c r="C269" s="201" t="s">
        <v>36</v>
      </c>
      <c r="D269" s="201" t="s">
        <v>268</v>
      </c>
      <c r="E269" s="202" t="s">
        <v>48</v>
      </c>
      <c r="F269" s="203">
        <f>Elétrica!C33</f>
        <v>51</v>
      </c>
      <c r="G269" s="203">
        <v>43.48</v>
      </c>
      <c r="H269" s="203">
        <f t="shared" si="30"/>
        <v>55.8</v>
      </c>
      <c r="I269" s="203">
        <f t="shared" si="31"/>
        <v>2845.8</v>
      </c>
    </row>
    <row r="270" spans="1:9" ht="31.5" x14ac:dyDescent="0.25">
      <c r="A270" s="201" t="s">
        <v>1044</v>
      </c>
      <c r="B270" s="201" t="s">
        <v>1089</v>
      </c>
      <c r="C270" s="201" t="s">
        <v>36</v>
      </c>
      <c r="D270" s="201" t="s">
        <v>1090</v>
      </c>
      <c r="E270" s="202" t="s">
        <v>48</v>
      </c>
      <c r="F270" s="203">
        <f>Elétrica!C34</f>
        <v>7</v>
      </c>
      <c r="G270" s="203">
        <v>41.14</v>
      </c>
      <c r="H270" s="203">
        <f t="shared" si="30"/>
        <v>52.8</v>
      </c>
      <c r="I270" s="203">
        <f t="shared" si="31"/>
        <v>369.6</v>
      </c>
    </row>
    <row r="271" spans="1:9" ht="31.5" x14ac:dyDescent="0.25">
      <c r="A271" s="201" t="s">
        <v>1347</v>
      </c>
      <c r="B271" s="201" t="s">
        <v>543</v>
      </c>
      <c r="C271" s="201" t="s">
        <v>36</v>
      </c>
      <c r="D271" s="201" t="s">
        <v>544</v>
      </c>
      <c r="E271" s="202" t="s">
        <v>48</v>
      </c>
      <c r="F271" s="203">
        <f>Elétrica!C35</f>
        <v>1</v>
      </c>
      <c r="G271" s="203">
        <v>43.48</v>
      </c>
      <c r="H271" s="203">
        <f t="shared" si="30"/>
        <v>55.8</v>
      </c>
      <c r="I271" s="203">
        <f t="shared" si="31"/>
        <v>55.8</v>
      </c>
    </row>
    <row r="272" spans="1:9" ht="31.5" x14ac:dyDescent="0.25">
      <c r="A272" s="201" t="s">
        <v>1348</v>
      </c>
      <c r="B272" s="201" t="s">
        <v>537</v>
      </c>
      <c r="C272" s="201" t="s">
        <v>36</v>
      </c>
      <c r="D272" s="201" t="s">
        <v>538</v>
      </c>
      <c r="E272" s="202" t="s">
        <v>48</v>
      </c>
      <c r="F272" s="203">
        <f>Elétrica!C36</f>
        <v>51</v>
      </c>
      <c r="G272" s="203">
        <v>9.4</v>
      </c>
      <c r="H272" s="203">
        <f t="shared" si="30"/>
        <v>12.06</v>
      </c>
      <c r="I272" s="203">
        <f t="shared" si="31"/>
        <v>615.05999999999995</v>
      </c>
    </row>
    <row r="273" spans="1:9" ht="31.5" x14ac:dyDescent="0.25">
      <c r="A273" s="201" t="s">
        <v>1349</v>
      </c>
      <c r="B273" s="201" t="s">
        <v>1094</v>
      </c>
      <c r="C273" s="201" t="s">
        <v>36</v>
      </c>
      <c r="D273" s="201" t="s">
        <v>1095</v>
      </c>
      <c r="E273" s="202" t="s">
        <v>48</v>
      </c>
      <c r="F273" s="203">
        <f>Elétrica!C37</f>
        <v>3</v>
      </c>
      <c r="G273" s="203">
        <v>41.95</v>
      </c>
      <c r="H273" s="203">
        <f t="shared" si="30"/>
        <v>53.84</v>
      </c>
      <c r="I273" s="203">
        <f t="shared" si="31"/>
        <v>161.52000000000001</v>
      </c>
    </row>
    <row r="274" spans="1:9" ht="31.5" x14ac:dyDescent="0.25">
      <c r="A274" s="201" t="s">
        <v>1350</v>
      </c>
      <c r="B274" s="201" t="s">
        <v>540</v>
      </c>
      <c r="C274" s="201" t="s">
        <v>36</v>
      </c>
      <c r="D274" s="201" t="s">
        <v>541</v>
      </c>
      <c r="E274" s="202" t="s">
        <v>48</v>
      </c>
      <c r="F274" s="203">
        <f>Elétrica!C38</f>
        <v>19</v>
      </c>
      <c r="G274" s="203">
        <v>9.4</v>
      </c>
      <c r="H274" s="203">
        <f t="shared" si="30"/>
        <v>12.06</v>
      </c>
      <c r="I274" s="203">
        <f t="shared" si="31"/>
        <v>229.14</v>
      </c>
    </row>
    <row r="275" spans="1:9" ht="31.5" x14ac:dyDescent="0.25">
      <c r="A275" s="201" t="s">
        <v>1351</v>
      </c>
      <c r="B275" s="201" t="s">
        <v>546</v>
      </c>
      <c r="C275" s="201" t="s">
        <v>36</v>
      </c>
      <c r="D275" s="201" t="s">
        <v>547</v>
      </c>
      <c r="E275" s="202" t="s">
        <v>48</v>
      </c>
      <c r="F275" s="203">
        <f>Elétrica!C39</f>
        <v>3</v>
      </c>
      <c r="G275" s="203">
        <v>45.33</v>
      </c>
      <c r="H275" s="203">
        <f t="shared" si="30"/>
        <v>58.18</v>
      </c>
      <c r="I275" s="203">
        <f t="shared" si="31"/>
        <v>174.54</v>
      </c>
    </row>
    <row r="276" spans="1:9" ht="31.5" x14ac:dyDescent="0.25">
      <c r="A276" s="201" t="s">
        <v>1352</v>
      </c>
      <c r="B276" s="201" t="s">
        <v>1099</v>
      </c>
      <c r="C276" s="201" t="s">
        <v>10</v>
      </c>
      <c r="D276" s="201" t="s">
        <v>1100</v>
      </c>
      <c r="E276" s="202" t="s">
        <v>48</v>
      </c>
      <c r="F276" s="203">
        <f>Elétrica!C40</f>
        <v>20</v>
      </c>
      <c r="G276" s="203">
        <v>255.78</v>
      </c>
      <c r="H276" s="203">
        <f t="shared" si="30"/>
        <v>328.29</v>
      </c>
      <c r="I276" s="203">
        <f t="shared" si="31"/>
        <v>6565.8</v>
      </c>
    </row>
    <row r="277" spans="1:9" ht="31.5" x14ac:dyDescent="0.25">
      <c r="A277" s="201" t="s">
        <v>1353</v>
      </c>
      <c r="B277" s="201" t="s">
        <v>657</v>
      </c>
      <c r="C277" s="201" t="s">
        <v>10</v>
      </c>
      <c r="D277" s="201" t="s">
        <v>658</v>
      </c>
      <c r="E277" s="202" t="s">
        <v>48</v>
      </c>
      <c r="F277" s="203">
        <f>Elétrica!C41</f>
        <v>41</v>
      </c>
      <c r="G277" s="203">
        <v>80.83</v>
      </c>
      <c r="H277" s="203">
        <f t="shared" si="30"/>
        <v>103.74</v>
      </c>
      <c r="I277" s="203">
        <f t="shared" si="31"/>
        <v>4253.34</v>
      </c>
    </row>
    <row r="278" spans="1:9" ht="47.25" x14ac:dyDescent="0.25">
      <c r="A278" s="201" t="s">
        <v>1354</v>
      </c>
      <c r="B278" s="201" t="s">
        <v>1101</v>
      </c>
      <c r="C278" s="201" t="s">
        <v>36</v>
      </c>
      <c r="D278" s="201" t="s">
        <v>1102</v>
      </c>
      <c r="E278" s="202" t="s">
        <v>12</v>
      </c>
      <c r="F278" s="203">
        <f>Elétrica!C42</f>
        <v>1556</v>
      </c>
      <c r="G278" s="203">
        <v>1.71</v>
      </c>
      <c r="H278" s="203">
        <f t="shared" si="30"/>
        <v>2.19</v>
      </c>
      <c r="I278" s="203">
        <f t="shared" si="31"/>
        <v>3407.64</v>
      </c>
    </row>
    <row r="279" spans="1:9" ht="47.25" x14ac:dyDescent="0.25">
      <c r="A279" s="201" t="s">
        <v>1355</v>
      </c>
      <c r="B279" s="201" t="s">
        <v>568</v>
      </c>
      <c r="C279" s="201" t="s">
        <v>36</v>
      </c>
      <c r="D279" s="201" t="s">
        <v>569</v>
      </c>
      <c r="E279" s="202" t="s">
        <v>12</v>
      </c>
      <c r="F279" s="203">
        <f>Elétrica!C43</f>
        <v>5125</v>
      </c>
      <c r="G279" s="203">
        <v>4.01</v>
      </c>
      <c r="H279" s="203">
        <f t="shared" si="30"/>
        <v>5.14</v>
      </c>
      <c r="I279" s="203">
        <f t="shared" si="31"/>
        <v>26342.5</v>
      </c>
    </row>
    <row r="280" spans="1:9" ht="47.25" x14ac:dyDescent="0.25">
      <c r="A280" s="201" t="s">
        <v>1356</v>
      </c>
      <c r="B280" s="201" t="s">
        <v>564</v>
      </c>
      <c r="C280" s="201" t="s">
        <v>36</v>
      </c>
      <c r="D280" s="201" t="s">
        <v>565</v>
      </c>
      <c r="E280" s="202" t="s">
        <v>12</v>
      </c>
      <c r="F280" s="203">
        <f>Elétrica!C44</f>
        <v>7151</v>
      </c>
      <c r="G280" s="203">
        <v>2.5</v>
      </c>
      <c r="H280" s="203">
        <f t="shared" si="30"/>
        <v>3.2</v>
      </c>
      <c r="I280" s="203">
        <f t="shared" si="31"/>
        <v>22883.200000000001</v>
      </c>
    </row>
    <row r="281" spans="1:9" ht="47.25" x14ac:dyDescent="0.25">
      <c r="A281" s="201" t="s">
        <v>1357</v>
      </c>
      <c r="B281" s="201" t="s">
        <v>571</v>
      </c>
      <c r="C281" s="201" t="s">
        <v>36</v>
      </c>
      <c r="D281" s="201" t="s">
        <v>572</v>
      </c>
      <c r="E281" s="202" t="s">
        <v>12</v>
      </c>
      <c r="F281" s="203">
        <f>Elétrica!C45</f>
        <v>150</v>
      </c>
      <c r="G281" s="203">
        <v>5.48</v>
      </c>
      <c r="H281" s="203">
        <f t="shared" si="30"/>
        <v>7.03</v>
      </c>
      <c r="I281" s="203">
        <f t="shared" si="31"/>
        <v>1054.5</v>
      </c>
    </row>
    <row r="282" spans="1:9" ht="47.25" x14ac:dyDescent="0.25">
      <c r="A282" s="201" t="s">
        <v>1358</v>
      </c>
      <c r="B282" s="201" t="s">
        <v>1103</v>
      </c>
      <c r="C282" s="201" t="s">
        <v>36</v>
      </c>
      <c r="D282" s="201" t="s">
        <v>1104</v>
      </c>
      <c r="E282" s="202" t="s">
        <v>12</v>
      </c>
      <c r="F282" s="203">
        <f>Elétrica!C46</f>
        <v>1285</v>
      </c>
      <c r="G282" s="203">
        <v>87.77</v>
      </c>
      <c r="H282" s="203">
        <f t="shared" si="30"/>
        <v>112.65</v>
      </c>
      <c r="I282" s="203">
        <f t="shared" si="31"/>
        <v>144755.25</v>
      </c>
    </row>
    <row r="283" spans="1:9" ht="47.25" x14ac:dyDescent="0.25">
      <c r="A283" s="201" t="s">
        <v>1359</v>
      </c>
      <c r="B283" s="201" t="s">
        <v>1105</v>
      </c>
      <c r="C283" s="201" t="s">
        <v>36</v>
      </c>
      <c r="D283" s="201" t="s">
        <v>1106</v>
      </c>
      <c r="E283" s="202" t="s">
        <v>12</v>
      </c>
      <c r="F283" s="203">
        <f>Elétrica!C47</f>
        <v>650</v>
      </c>
      <c r="G283" s="203">
        <v>16.13</v>
      </c>
      <c r="H283" s="203">
        <f t="shared" si="30"/>
        <v>20.7</v>
      </c>
      <c r="I283" s="203">
        <f t="shared" si="31"/>
        <v>13455</v>
      </c>
    </row>
    <row r="284" spans="1:9" ht="47.25" x14ac:dyDescent="0.25">
      <c r="A284" s="201" t="s">
        <v>1360</v>
      </c>
      <c r="B284" s="201" t="s">
        <v>1107</v>
      </c>
      <c r="C284" s="201" t="s">
        <v>36</v>
      </c>
      <c r="D284" s="201" t="s">
        <v>1108</v>
      </c>
      <c r="E284" s="202" t="s">
        <v>12</v>
      </c>
      <c r="F284" s="203">
        <f>Elétrica!C48</f>
        <v>470</v>
      </c>
      <c r="G284" s="203">
        <v>6.4</v>
      </c>
      <c r="H284" s="203">
        <f t="shared" si="30"/>
        <v>8.2100000000000009</v>
      </c>
      <c r="I284" s="203">
        <f t="shared" si="31"/>
        <v>3858.7</v>
      </c>
    </row>
    <row r="285" spans="1:9" ht="31.5" x14ac:dyDescent="0.25">
      <c r="A285" s="201" t="s">
        <v>1361</v>
      </c>
      <c r="B285" s="201" t="s">
        <v>1109</v>
      </c>
      <c r="C285" s="201" t="s">
        <v>36</v>
      </c>
      <c r="D285" s="201" t="s">
        <v>1110</v>
      </c>
      <c r="E285" s="202" t="s">
        <v>48</v>
      </c>
      <c r="F285" s="203">
        <f>Elétrica!C49</f>
        <v>17</v>
      </c>
      <c r="G285" s="203">
        <v>19.29</v>
      </c>
      <c r="H285" s="203">
        <f t="shared" si="30"/>
        <v>24.75</v>
      </c>
      <c r="I285" s="203">
        <f t="shared" si="31"/>
        <v>420.75</v>
      </c>
    </row>
    <row r="286" spans="1:9" ht="31.5" x14ac:dyDescent="0.25">
      <c r="A286" s="201" t="s">
        <v>1362</v>
      </c>
      <c r="B286" s="201" t="s">
        <v>269</v>
      </c>
      <c r="C286" s="201" t="s">
        <v>36</v>
      </c>
      <c r="D286" s="201" t="s">
        <v>270</v>
      </c>
      <c r="E286" s="202" t="s">
        <v>48</v>
      </c>
      <c r="F286" s="203">
        <f>Elétrica!C50</f>
        <v>331</v>
      </c>
      <c r="G286" s="203">
        <v>16.920000000000002</v>
      </c>
      <c r="H286" s="203">
        <f t="shared" si="30"/>
        <v>21.71</v>
      </c>
      <c r="I286" s="203">
        <f t="shared" si="31"/>
        <v>7186.01</v>
      </c>
    </row>
    <row r="287" spans="1:9" ht="47.25" x14ac:dyDescent="0.25">
      <c r="A287" s="201" t="s">
        <v>1363</v>
      </c>
      <c r="B287" s="201" t="s">
        <v>262</v>
      </c>
      <c r="C287" s="201" t="s">
        <v>36</v>
      </c>
      <c r="D287" s="201" t="s">
        <v>263</v>
      </c>
      <c r="E287" s="202" t="s">
        <v>48</v>
      </c>
      <c r="F287" s="203">
        <f>Elétrica!C51</f>
        <v>100</v>
      </c>
      <c r="G287" s="203">
        <v>10.029999999999999</v>
      </c>
      <c r="H287" s="203">
        <f t="shared" si="30"/>
        <v>12.87</v>
      </c>
      <c r="I287" s="203">
        <f t="shared" si="31"/>
        <v>1287</v>
      </c>
    </row>
    <row r="288" spans="1:9" ht="31.5" x14ac:dyDescent="0.25">
      <c r="A288" s="201" t="s">
        <v>1364</v>
      </c>
      <c r="B288" s="201" t="s">
        <v>1111</v>
      </c>
      <c r="C288" s="201" t="s">
        <v>36</v>
      </c>
      <c r="D288" s="201" t="s">
        <v>1112</v>
      </c>
      <c r="E288" s="202" t="s">
        <v>48</v>
      </c>
      <c r="F288" s="203">
        <f>Elétrica!C52</f>
        <v>13</v>
      </c>
      <c r="G288" s="203">
        <v>25.35</v>
      </c>
      <c r="H288" s="203">
        <f t="shared" si="30"/>
        <v>32.53</v>
      </c>
      <c r="I288" s="203">
        <f t="shared" si="31"/>
        <v>422.89</v>
      </c>
    </row>
    <row r="289" spans="1:10" ht="31.5" x14ac:dyDescent="0.25">
      <c r="A289" s="201" t="s">
        <v>1365</v>
      </c>
      <c r="B289" s="201" t="s">
        <v>271</v>
      </c>
      <c r="C289" s="201" t="s">
        <v>36</v>
      </c>
      <c r="D289" s="201" t="s">
        <v>272</v>
      </c>
      <c r="E289" s="202" t="s">
        <v>48</v>
      </c>
      <c r="F289" s="203">
        <f>Elétrica!C53</f>
        <v>8</v>
      </c>
      <c r="G289" s="203">
        <v>19.940000000000001</v>
      </c>
      <c r="H289" s="203">
        <f t="shared" si="30"/>
        <v>25.59</v>
      </c>
      <c r="I289" s="203">
        <f t="shared" si="31"/>
        <v>204.72</v>
      </c>
    </row>
    <row r="290" spans="1:10" ht="31.5" x14ac:dyDescent="0.25">
      <c r="A290" s="201" t="s">
        <v>1366</v>
      </c>
      <c r="B290" s="201" t="s">
        <v>531</v>
      </c>
      <c r="C290" s="201" t="s">
        <v>36</v>
      </c>
      <c r="D290" s="201" t="s">
        <v>532</v>
      </c>
      <c r="E290" s="202" t="s">
        <v>48</v>
      </c>
      <c r="F290" s="203">
        <f>Elétrica!C54</f>
        <v>75</v>
      </c>
      <c r="G290" s="203">
        <v>27.7</v>
      </c>
      <c r="H290" s="203">
        <f t="shared" si="30"/>
        <v>35.549999999999997</v>
      </c>
      <c r="I290" s="203">
        <f t="shared" si="31"/>
        <v>2666.25</v>
      </c>
    </row>
    <row r="291" spans="1:10" ht="31.5" x14ac:dyDescent="0.25">
      <c r="A291" s="201" t="s">
        <v>1367</v>
      </c>
      <c r="B291" s="201" t="s">
        <v>1113</v>
      </c>
      <c r="C291" s="201" t="s">
        <v>36</v>
      </c>
      <c r="D291" s="201" t="s">
        <v>1114</v>
      </c>
      <c r="E291" s="202" t="s">
        <v>48</v>
      </c>
      <c r="F291" s="203">
        <f>Elétrica!C55</f>
        <v>4</v>
      </c>
      <c r="G291" s="203">
        <v>34.659999999999997</v>
      </c>
      <c r="H291" s="203">
        <f t="shared" si="30"/>
        <v>44.48</v>
      </c>
      <c r="I291" s="203">
        <f t="shared" si="31"/>
        <v>177.92</v>
      </c>
    </row>
    <row r="292" spans="1:10" ht="31.5" x14ac:dyDescent="0.25">
      <c r="A292" s="201" t="s">
        <v>1368</v>
      </c>
      <c r="B292" s="201" t="s">
        <v>1115</v>
      </c>
      <c r="C292" s="201" t="s">
        <v>36</v>
      </c>
      <c r="D292" s="201" t="s">
        <v>1116</v>
      </c>
      <c r="E292" s="202" t="s">
        <v>48</v>
      </c>
      <c r="F292" s="203">
        <f>Elétrica!C56</f>
        <v>335</v>
      </c>
      <c r="G292" s="203">
        <v>25.56</v>
      </c>
      <c r="H292" s="203">
        <f t="shared" si="30"/>
        <v>32.799999999999997</v>
      </c>
      <c r="I292" s="203">
        <f t="shared" si="31"/>
        <v>10988</v>
      </c>
    </row>
    <row r="293" spans="1:10" ht="31.5" x14ac:dyDescent="0.25">
      <c r="A293" s="201" t="s">
        <v>1369</v>
      </c>
      <c r="B293" s="201" t="s">
        <v>1117</v>
      </c>
      <c r="C293" s="201" t="s">
        <v>10</v>
      </c>
      <c r="D293" s="201" t="s">
        <v>1118</v>
      </c>
      <c r="E293" s="202" t="s">
        <v>48</v>
      </c>
      <c r="F293" s="203">
        <f>Elétrica!C57</f>
        <v>2</v>
      </c>
      <c r="G293" s="203">
        <v>397.06</v>
      </c>
      <c r="H293" s="203">
        <f t="shared" si="30"/>
        <v>509.62</v>
      </c>
      <c r="I293" s="203">
        <f t="shared" si="31"/>
        <v>1019.24</v>
      </c>
    </row>
    <row r="294" spans="1:10" ht="31.5" x14ac:dyDescent="0.25">
      <c r="A294" s="201" t="s">
        <v>1370</v>
      </c>
      <c r="B294" s="201" t="s">
        <v>1119</v>
      </c>
      <c r="C294" s="201" t="s">
        <v>36</v>
      </c>
      <c r="D294" s="201" t="s">
        <v>1120</v>
      </c>
      <c r="E294" s="202" t="s">
        <v>48</v>
      </c>
      <c r="F294" s="203">
        <f>Elétrica!C58</f>
        <v>11</v>
      </c>
      <c r="G294" s="203">
        <v>26.13</v>
      </c>
      <c r="H294" s="203">
        <f t="shared" si="30"/>
        <v>33.53</v>
      </c>
      <c r="I294" s="203">
        <f t="shared" si="31"/>
        <v>368.83</v>
      </c>
    </row>
    <row r="295" spans="1:10" ht="31.5" x14ac:dyDescent="0.25">
      <c r="A295" s="201" t="s">
        <v>1371</v>
      </c>
      <c r="B295" s="201" t="s">
        <v>1121</v>
      </c>
      <c r="C295" s="201" t="s">
        <v>10</v>
      </c>
      <c r="D295" s="201" t="s">
        <v>1122</v>
      </c>
      <c r="E295" s="202" t="s">
        <v>266</v>
      </c>
      <c r="F295" s="203">
        <f>Elétrica!C59</f>
        <v>5</v>
      </c>
      <c r="G295" s="203">
        <v>25.36</v>
      </c>
      <c r="H295" s="203">
        <f t="shared" si="30"/>
        <v>32.54</v>
      </c>
      <c r="I295" s="203">
        <f t="shared" si="31"/>
        <v>162.69999999999999</v>
      </c>
    </row>
    <row r="296" spans="1:10" ht="31.5" x14ac:dyDescent="0.25">
      <c r="A296" s="201" t="s">
        <v>1372</v>
      </c>
      <c r="B296" s="201" t="s">
        <v>581</v>
      </c>
      <c r="C296" s="201" t="s">
        <v>10</v>
      </c>
      <c r="D296" s="201" t="s">
        <v>582</v>
      </c>
      <c r="E296" s="202" t="s">
        <v>266</v>
      </c>
      <c r="F296" s="203">
        <f>Elétrica!C60</f>
        <v>19</v>
      </c>
      <c r="G296" s="203">
        <v>39.11</v>
      </c>
      <c r="H296" s="203">
        <f t="shared" si="30"/>
        <v>50.19</v>
      </c>
      <c r="I296" s="203">
        <f t="shared" si="31"/>
        <v>953.61</v>
      </c>
    </row>
    <row r="297" spans="1:10" x14ac:dyDescent="0.25">
      <c r="A297" s="201" t="s">
        <v>1373</v>
      </c>
      <c r="B297" s="201" t="s">
        <v>579</v>
      </c>
      <c r="C297" s="201" t="s">
        <v>10</v>
      </c>
      <c r="D297" s="201" t="s">
        <v>580</v>
      </c>
      <c r="E297" s="202" t="s">
        <v>168</v>
      </c>
      <c r="F297" s="203">
        <f>Elétrica!C61</f>
        <v>354</v>
      </c>
      <c r="G297" s="203">
        <v>37.479999999999997</v>
      </c>
      <c r="H297" s="203">
        <f t="shared" si="30"/>
        <v>48.1</v>
      </c>
      <c r="I297" s="203">
        <f t="shared" si="31"/>
        <v>17027.400000000001</v>
      </c>
    </row>
    <row r="298" spans="1:10" ht="31.5" x14ac:dyDescent="0.25">
      <c r="A298" s="201" t="s">
        <v>1374</v>
      </c>
      <c r="B298" s="201" t="s">
        <v>583</v>
      </c>
      <c r="C298" s="201" t="s">
        <v>10</v>
      </c>
      <c r="D298" s="201" t="s">
        <v>584</v>
      </c>
      <c r="E298" s="202" t="s">
        <v>585</v>
      </c>
      <c r="F298" s="203">
        <f>Elétrica!C62</f>
        <v>4</v>
      </c>
      <c r="G298" s="203">
        <v>34.01</v>
      </c>
      <c r="H298" s="203">
        <f t="shared" si="30"/>
        <v>43.65</v>
      </c>
      <c r="I298" s="203">
        <f t="shared" si="31"/>
        <v>174.6</v>
      </c>
    </row>
    <row r="299" spans="1:10" ht="31.5" x14ac:dyDescent="0.25">
      <c r="A299" s="201" t="s">
        <v>1375</v>
      </c>
      <c r="B299" s="201" t="s">
        <v>1123</v>
      </c>
      <c r="C299" s="201" t="s">
        <v>10</v>
      </c>
      <c r="D299" s="201" t="s">
        <v>1124</v>
      </c>
      <c r="E299" s="202" t="s">
        <v>48</v>
      </c>
      <c r="F299" s="203">
        <f>Elétrica!C63</f>
        <v>57</v>
      </c>
      <c r="G299" s="203">
        <v>6.63</v>
      </c>
      <c r="H299" s="203">
        <f t="shared" si="30"/>
        <v>8.5</v>
      </c>
      <c r="I299" s="203">
        <f t="shared" si="31"/>
        <v>484.5</v>
      </c>
    </row>
    <row r="300" spans="1:10" s="238" customFormat="1" x14ac:dyDescent="0.25">
      <c r="A300" s="240">
        <v>21</v>
      </c>
      <c r="B300" s="236"/>
      <c r="C300" s="236"/>
      <c r="D300" s="236" t="s">
        <v>578</v>
      </c>
      <c r="E300" s="239"/>
      <c r="F300" s="237"/>
      <c r="G300" s="237"/>
      <c r="H300" s="237"/>
      <c r="I300" s="237">
        <f>SUM(I301:I339)</f>
        <v>194984.80999999997</v>
      </c>
      <c r="J300" s="383"/>
    </row>
    <row r="301" spans="1:10" ht="31.5" x14ac:dyDescent="0.25">
      <c r="A301" s="201" t="s">
        <v>527</v>
      </c>
      <c r="B301" s="201" t="s">
        <v>1047</v>
      </c>
      <c r="C301" s="201" t="s">
        <v>10</v>
      </c>
      <c r="D301" s="201" t="s">
        <v>1048</v>
      </c>
      <c r="E301" s="202" t="s">
        <v>48</v>
      </c>
      <c r="F301" s="203">
        <f>LÓGICA!C2</f>
        <v>1</v>
      </c>
      <c r="G301" s="203">
        <v>25.68</v>
      </c>
      <c r="H301" s="203">
        <f t="shared" ref="H301:H363" si="32">TRUNC(G301*$F$2+G301,2)</f>
        <v>32.96</v>
      </c>
      <c r="I301" s="203">
        <f t="shared" ref="I301:I339" si="33">TRUNC(H301*F301,2)</f>
        <v>32.96</v>
      </c>
    </row>
    <row r="302" spans="1:10" x14ac:dyDescent="0.25">
      <c r="A302" s="201" t="s">
        <v>528</v>
      </c>
      <c r="B302" s="201" t="s">
        <v>1125</v>
      </c>
      <c r="C302" s="201" t="s">
        <v>36</v>
      </c>
      <c r="D302" s="201" t="s">
        <v>1126</v>
      </c>
      <c r="E302" s="202" t="s">
        <v>48</v>
      </c>
      <c r="F302" s="203">
        <f>LÓGICA!C3</f>
        <v>2</v>
      </c>
      <c r="G302" s="203">
        <v>142.61000000000001</v>
      </c>
      <c r="H302" s="203">
        <f t="shared" si="32"/>
        <v>183.03</v>
      </c>
      <c r="I302" s="203">
        <f t="shared" si="33"/>
        <v>366.06</v>
      </c>
    </row>
    <row r="303" spans="1:10" ht="31.5" x14ac:dyDescent="0.25">
      <c r="A303" s="201" t="s">
        <v>529</v>
      </c>
      <c r="B303" s="201" t="s">
        <v>1127</v>
      </c>
      <c r="C303" s="201" t="s">
        <v>36</v>
      </c>
      <c r="D303" s="201" t="s">
        <v>1128</v>
      </c>
      <c r="E303" s="202" t="s">
        <v>48</v>
      </c>
      <c r="F303" s="203">
        <f>LÓGICA!C4</f>
        <v>6</v>
      </c>
      <c r="G303" s="203">
        <v>56.47</v>
      </c>
      <c r="H303" s="203">
        <f t="shared" si="32"/>
        <v>72.47</v>
      </c>
      <c r="I303" s="203">
        <f t="shared" si="33"/>
        <v>434.82</v>
      </c>
    </row>
    <row r="304" spans="1:10" ht="31.5" x14ac:dyDescent="0.25">
      <c r="A304" s="201" t="s">
        <v>530</v>
      </c>
      <c r="B304" s="201" t="s">
        <v>1129</v>
      </c>
      <c r="C304" s="201" t="s">
        <v>10</v>
      </c>
      <c r="D304" s="201" t="s">
        <v>1130</v>
      </c>
      <c r="E304" s="202" t="s">
        <v>48</v>
      </c>
      <c r="F304" s="203">
        <f>LÓGICA!C5</f>
        <v>65</v>
      </c>
      <c r="G304" s="203">
        <v>33.799999999999997</v>
      </c>
      <c r="H304" s="203">
        <f t="shared" si="32"/>
        <v>43.38</v>
      </c>
      <c r="I304" s="203">
        <f t="shared" si="33"/>
        <v>2819.7</v>
      </c>
    </row>
    <row r="305" spans="1:9" ht="47.25" x14ac:dyDescent="0.25">
      <c r="A305" s="201" t="s">
        <v>533</v>
      </c>
      <c r="B305" s="201" t="s">
        <v>1049</v>
      </c>
      <c r="C305" s="201" t="s">
        <v>10</v>
      </c>
      <c r="D305" s="201" t="s">
        <v>1050</v>
      </c>
      <c r="E305" s="202" t="s">
        <v>12</v>
      </c>
      <c r="F305" s="203">
        <f>LÓGICA!C6</f>
        <v>2.5</v>
      </c>
      <c r="G305" s="203">
        <v>7.96</v>
      </c>
      <c r="H305" s="203">
        <f t="shared" si="32"/>
        <v>10.210000000000001</v>
      </c>
      <c r="I305" s="203">
        <f t="shared" si="33"/>
        <v>25.52</v>
      </c>
    </row>
    <row r="306" spans="1:9" ht="31.5" x14ac:dyDescent="0.25">
      <c r="A306" s="201" t="s">
        <v>534</v>
      </c>
      <c r="B306" s="201" t="s">
        <v>1131</v>
      </c>
      <c r="C306" s="201" t="s">
        <v>10</v>
      </c>
      <c r="D306" s="201" t="s">
        <v>1132</v>
      </c>
      <c r="E306" s="202" t="s">
        <v>12</v>
      </c>
      <c r="F306" s="203">
        <f>LÓGICA!C7</f>
        <v>34.950000000000003</v>
      </c>
      <c r="G306" s="203">
        <v>18.73</v>
      </c>
      <c r="H306" s="203">
        <f t="shared" si="32"/>
        <v>24.03</v>
      </c>
      <c r="I306" s="203">
        <f t="shared" si="33"/>
        <v>839.84</v>
      </c>
    </row>
    <row r="307" spans="1:9" ht="47.25" x14ac:dyDescent="0.25">
      <c r="A307" s="201" t="s">
        <v>535</v>
      </c>
      <c r="B307" s="201" t="s">
        <v>588</v>
      </c>
      <c r="C307" s="201" t="s">
        <v>36</v>
      </c>
      <c r="D307" s="201" t="s">
        <v>589</v>
      </c>
      <c r="E307" s="202" t="s">
        <v>12</v>
      </c>
      <c r="F307" s="203">
        <f>LÓGICA!C8</f>
        <v>46</v>
      </c>
      <c r="G307" s="203">
        <v>26.9</v>
      </c>
      <c r="H307" s="203">
        <f t="shared" si="32"/>
        <v>34.520000000000003</v>
      </c>
      <c r="I307" s="203">
        <f t="shared" si="33"/>
        <v>1587.92</v>
      </c>
    </row>
    <row r="308" spans="1:9" ht="47.25" x14ac:dyDescent="0.25">
      <c r="A308" s="201" t="s">
        <v>536</v>
      </c>
      <c r="B308" s="201" t="s">
        <v>1067</v>
      </c>
      <c r="C308" s="201" t="s">
        <v>36</v>
      </c>
      <c r="D308" s="201" t="s">
        <v>1068</v>
      </c>
      <c r="E308" s="202" t="s">
        <v>12</v>
      </c>
      <c r="F308" s="203">
        <f>LÓGICA!C9</f>
        <v>67.98</v>
      </c>
      <c r="G308" s="203">
        <v>22.52</v>
      </c>
      <c r="H308" s="203">
        <f t="shared" si="32"/>
        <v>28.9</v>
      </c>
      <c r="I308" s="203">
        <f t="shared" si="33"/>
        <v>1964.62</v>
      </c>
    </row>
    <row r="309" spans="1:9" ht="47.25" x14ac:dyDescent="0.25">
      <c r="A309" s="201" t="s">
        <v>539</v>
      </c>
      <c r="B309" s="201" t="s">
        <v>555</v>
      </c>
      <c r="C309" s="201" t="s">
        <v>36</v>
      </c>
      <c r="D309" s="201" t="s">
        <v>556</v>
      </c>
      <c r="E309" s="202" t="s">
        <v>12</v>
      </c>
      <c r="F309" s="203">
        <f>LÓGICA!C10</f>
        <v>34</v>
      </c>
      <c r="G309" s="203">
        <v>7</v>
      </c>
      <c r="H309" s="203">
        <f t="shared" si="32"/>
        <v>8.98</v>
      </c>
      <c r="I309" s="203">
        <f t="shared" si="33"/>
        <v>305.32</v>
      </c>
    </row>
    <row r="310" spans="1:9" ht="47.25" x14ac:dyDescent="0.25">
      <c r="A310" s="201" t="s">
        <v>542</v>
      </c>
      <c r="B310" s="201" t="s">
        <v>590</v>
      </c>
      <c r="C310" s="201" t="s">
        <v>36</v>
      </c>
      <c r="D310" s="201" t="s">
        <v>591</v>
      </c>
      <c r="E310" s="202" t="s">
        <v>48</v>
      </c>
      <c r="F310" s="203">
        <f>LÓGICA!C11</f>
        <v>28</v>
      </c>
      <c r="G310" s="203">
        <v>8.92</v>
      </c>
      <c r="H310" s="203">
        <f t="shared" si="32"/>
        <v>11.44</v>
      </c>
      <c r="I310" s="203">
        <f t="shared" si="33"/>
        <v>320.32</v>
      </c>
    </row>
    <row r="311" spans="1:9" ht="47.25" x14ac:dyDescent="0.25">
      <c r="A311" s="201" t="s">
        <v>545</v>
      </c>
      <c r="B311" s="201" t="s">
        <v>1115</v>
      </c>
      <c r="C311" s="201" t="s">
        <v>36</v>
      </c>
      <c r="D311" s="201" t="s">
        <v>1137</v>
      </c>
      <c r="E311" s="202" t="s">
        <v>48</v>
      </c>
      <c r="F311" s="203">
        <f>LÓGICA!C12</f>
        <v>154</v>
      </c>
      <c r="G311" s="203">
        <v>25.56</v>
      </c>
      <c r="H311" s="203">
        <f t="shared" si="32"/>
        <v>32.799999999999997</v>
      </c>
      <c r="I311" s="203">
        <f t="shared" si="33"/>
        <v>5051.2</v>
      </c>
    </row>
    <row r="312" spans="1:9" x14ac:dyDescent="0.25">
      <c r="A312" s="201" t="s">
        <v>548</v>
      </c>
      <c r="B312" s="201" t="s">
        <v>1139</v>
      </c>
      <c r="C312" s="201" t="s">
        <v>10</v>
      </c>
      <c r="D312" s="201" t="s">
        <v>1140</v>
      </c>
      <c r="E312" s="202" t="s">
        <v>48</v>
      </c>
      <c r="F312" s="203">
        <f>LÓGICA!C13</f>
        <v>300</v>
      </c>
      <c r="G312" s="203">
        <v>3.14</v>
      </c>
      <c r="H312" s="203">
        <f t="shared" si="32"/>
        <v>4.03</v>
      </c>
      <c r="I312" s="203">
        <f t="shared" si="33"/>
        <v>1209</v>
      </c>
    </row>
    <row r="313" spans="1:9" ht="47.25" x14ac:dyDescent="0.25">
      <c r="A313" s="201" t="s">
        <v>549</v>
      </c>
      <c r="B313" s="201" t="s">
        <v>1142</v>
      </c>
      <c r="C313" s="201" t="s">
        <v>36</v>
      </c>
      <c r="D313" s="201" t="s">
        <v>1143</v>
      </c>
      <c r="E313" s="202" t="s">
        <v>48</v>
      </c>
      <c r="F313" s="203">
        <f>LÓGICA!C14</f>
        <v>1</v>
      </c>
      <c r="G313" s="203">
        <v>278.52999999999997</v>
      </c>
      <c r="H313" s="203">
        <f t="shared" si="32"/>
        <v>357.49</v>
      </c>
      <c r="I313" s="203">
        <f t="shared" si="33"/>
        <v>357.49</v>
      </c>
    </row>
    <row r="314" spans="1:9" ht="31.5" x14ac:dyDescent="0.25">
      <c r="A314" s="201" t="s">
        <v>550</v>
      </c>
      <c r="B314" s="201" t="s">
        <v>1145</v>
      </c>
      <c r="C314" s="201" t="s">
        <v>10</v>
      </c>
      <c r="D314" s="201" t="s">
        <v>1146</v>
      </c>
      <c r="E314" s="202" t="s">
        <v>48</v>
      </c>
      <c r="F314" s="203">
        <f>LÓGICA!C15</f>
        <v>24</v>
      </c>
      <c r="G314" s="203">
        <v>13.35</v>
      </c>
      <c r="H314" s="203">
        <f t="shared" si="32"/>
        <v>17.13</v>
      </c>
      <c r="I314" s="203">
        <f t="shared" si="33"/>
        <v>411.12</v>
      </c>
    </row>
    <row r="315" spans="1:9" ht="31.5" x14ac:dyDescent="0.25">
      <c r="A315" s="201" t="s">
        <v>551</v>
      </c>
      <c r="B315" s="201" t="s">
        <v>1147</v>
      </c>
      <c r="C315" s="201" t="s">
        <v>10</v>
      </c>
      <c r="D315" s="201" t="s">
        <v>1148</v>
      </c>
      <c r="E315" s="202" t="s">
        <v>48</v>
      </c>
      <c r="F315" s="203">
        <f>LÓGICA!C16</f>
        <v>130</v>
      </c>
      <c r="G315" s="203">
        <v>13.66</v>
      </c>
      <c r="H315" s="203">
        <f t="shared" si="32"/>
        <v>17.53</v>
      </c>
      <c r="I315" s="203">
        <f t="shared" si="33"/>
        <v>2278.9</v>
      </c>
    </row>
    <row r="316" spans="1:9" ht="31.5" x14ac:dyDescent="0.25">
      <c r="A316" s="201" t="s">
        <v>552</v>
      </c>
      <c r="B316" s="201" t="s">
        <v>592</v>
      </c>
      <c r="C316" s="201" t="s">
        <v>10</v>
      </c>
      <c r="D316" s="201" t="s">
        <v>593</v>
      </c>
      <c r="E316" s="202" t="s">
        <v>266</v>
      </c>
      <c r="F316" s="203">
        <f>LÓGICA!C17</f>
        <v>6</v>
      </c>
      <c r="G316" s="203">
        <v>443.42</v>
      </c>
      <c r="H316" s="203">
        <f t="shared" si="32"/>
        <v>569.12</v>
      </c>
      <c r="I316" s="203">
        <f t="shared" si="33"/>
        <v>3414.72</v>
      </c>
    </row>
    <row r="317" spans="1:9" x14ac:dyDescent="0.25">
      <c r="A317" s="201" t="s">
        <v>553</v>
      </c>
      <c r="B317" s="201" t="s">
        <v>1151</v>
      </c>
      <c r="C317" s="201" t="s">
        <v>10</v>
      </c>
      <c r="D317" s="201" t="s">
        <v>1152</v>
      </c>
      <c r="E317" s="202" t="s">
        <v>48</v>
      </c>
      <c r="F317" s="203">
        <f>LÓGICA!C18</f>
        <v>1</v>
      </c>
      <c r="G317" s="203">
        <v>263.79000000000002</v>
      </c>
      <c r="H317" s="203">
        <f t="shared" si="32"/>
        <v>338.57</v>
      </c>
      <c r="I317" s="203">
        <f t="shared" si="33"/>
        <v>338.57</v>
      </c>
    </row>
    <row r="318" spans="1:9" x14ac:dyDescent="0.25">
      <c r="A318" s="201" t="s">
        <v>554</v>
      </c>
      <c r="B318" s="201" t="s">
        <v>598</v>
      </c>
      <c r="C318" s="201" t="s">
        <v>10</v>
      </c>
      <c r="D318" s="201" t="s">
        <v>599</v>
      </c>
      <c r="E318" s="202" t="s">
        <v>12</v>
      </c>
      <c r="F318" s="203">
        <f>LÓGICA!C19</f>
        <v>6586</v>
      </c>
      <c r="G318" s="203">
        <v>3.74</v>
      </c>
      <c r="H318" s="203">
        <f t="shared" si="32"/>
        <v>4.8</v>
      </c>
      <c r="I318" s="203">
        <f t="shared" si="33"/>
        <v>31612.799999999999</v>
      </c>
    </row>
    <row r="319" spans="1:9" x14ac:dyDescent="0.25">
      <c r="A319" s="201" t="s">
        <v>557</v>
      </c>
      <c r="B319" s="201" t="s">
        <v>606</v>
      </c>
      <c r="C319" s="201" t="s">
        <v>10</v>
      </c>
      <c r="D319" s="201" t="s">
        <v>607</v>
      </c>
      <c r="E319" s="202" t="s">
        <v>48</v>
      </c>
      <c r="F319" s="203">
        <f>LÓGICA!C20</f>
        <v>8</v>
      </c>
      <c r="G319" s="203">
        <v>3023.26</v>
      </c>
      <c r="H319" s="203">
        <f t="shared" si="32"/>
        <v>3880.35</v>
      </c>
      <c r="I319" s="203">
        <f t="shared" si="33"/>
        <v>31042.799999999999</v>
      </c>
    </row>
    <row r="320" spans="1:9" ht="31.5" x14ac:dyDescent="0.25">
      <c r="A320" s="201" t="s">
        <v>558</v>
      </c>
      <c r="B320" s="201" t="s">
        <v>608</v>
      </c>
      <c r="C320" s="201" t="s">
        <v>10</v>
      </c>
      <c r="D320" s="201" t="s">
        <v>609</v>
      </c>
      <c r="E320" s="202" t="s">
        <v>168</v>
      </c>
      <c r="F320" s="203">
        <f>LÓGICA!C21</f>
        <v>1</v>
      </c>
      <c r="G320" s="203">
        <v>474.71</v>
      </c>
      <c r="H320" s="203">
        <f t="shared" si="32"/>
        <v>609.29</v>
      </c>
      <c r="I320" s="203">
        <f t="shared" si="33"/>
        <v>609.29</v>
      </c>
    </row>
    <row r="321" spans="1:9" x14ac:dyDescent="0.25">
      <c r="A321" s="201" t="s">
        <v>561</v>
      </c>
      <c r="B321" s="201" t="s">
        <v>1157</v>
      </c>
      <c r="C321" s="201" t="s">
        <v>10</v>
      </c>
      <c r="D321" s="201" t="s">
        <v>1158</v>
      </c>
      <c r="E321" s="202" t="s">
        <v>48</v>
      </c>
      <c r="F321" s="203">
        <f>LÓGICA!C22</f>
        <v>5</v>
      </c>
      <c r="G321" s="203">
        <v>87.65</v>
      </c>
      <c r="H321" s="203">
        <f t="shared" si="32"/>
        <v>112.49</v>
      </c>
      <c r="I321" s="203">
        <f t="shared" si="33"/>
        <v>562.45000000000005</v>
      </c>
    </row>
    <row r="322" spans="1:9" ht="47.25" x14ac:dyDescent="0.25">
      <c r="A322" s="201" t="s">
        <v>562</v>
      </c>
      <c r="B322" s="201" t="s">
        <v>604</v>
      </c>
      <c r="C322" s="201" t="s">
        <v>10</v>
      </c>
      <c r="D322" s="201" t="s">
        <v>605</v>
      </c>
      <c r="E322" s="202" t="s">
        <v>266</v>
      </c>
      <c r="F322" s="203">
        <f>LÓGICA!C23</f>
        <v>21</v>
      </c>
      <c r="G322" s="203">
        <v>22.37</v>
      </c>
      <c r="H322" s="203">
        <f t="shared" si="32"/>
        <v>28.71</v>
      </c>
      <c r="I322" s="203">
        <f t="shared" si="33"/>
        <v>602.91</v>
      </c>
    </row>
    <row r="323" spans="1:9" ht="31.5" x14ac:dyDescent="0.25">
      <c r="A323" s="201" t="s">
        <v>563</v>
      </c>
      <c r="B323" s="201" t="s">
        <v>1161</v>
      </c>
      <c r="C323" s="201" t="s">
        <v>36</v>
      </c>
      <c r="D323" s="201" t="s">
        <v>1162</v>
      </c>
      <c r="E323" s="202" t="s">
        <v>48</v>
      </c>
      <c r="F323" s="203">
        <f>LÓGICA!C24</f>
        <v>13</v>
      </c>
      <c r="G323" s="203">
        <v>824.71</v>
      </c>
      <c r="H323" s="203">
        <f t="shared" si="32"/>
        <v>1058.51</v>
      </c>
      <c r="I323" s="203">
        <f t="shared" si="33"/>
        <v>13760.63</v>
      </c>
    </row>
    <row r="324" spans="1:9" x14ac:dyDescent="0.25">
      <c r="A324" s="201" t="s">
        <v>566</v>
      </c>
      <c r="B324" s="201" t="s">
        <v>610</v>
      </c>
      <c r="C324" s="201" t="s">
        <v>10</v>
      </c>
      <c r="D324" s="201" t="s">
        <v>611</v>
      </c>
      <c r="E324" s="202" t="s">
        <v>48</v>
      </c>
      <c r="F324" s="203">
        <f>LÓGICA!C25</f>
        <v>154</v>
      </c>
      <c r="G324" s="203">
        <v>31.81</v>
      </c>
      <c r="H324" s="203">
        <f t="shared" si="32"/>
        <v>40.82</v>
      </c>
      <c r="I324" s="203">
        <f t="shared" si="33"/>
        <v>6286.28</v>
      </c>
    </row>
    <row r="325" spans="1:9" x14ac:dyDescent="0.25">
      <c r="A325" s="201" t="s">
        <v>567</v>
      </c>
      <c r="B325" s="201" t="s">
        <v>612</v>
      </c>
      <c r="C325" s="201" t="s">
        <v>10</v>
      </c>
      <c r="D325" s="201" t="s">
        <v>613</v>
      </c>
      <c r="E325" s="202" t="s">
        <v>48</v>
      </c>
      <c r="F325" s="203">
        <f>LÓGICA!C26</f>
        <v>154</v>
      </c>
      <c r="G325" s="203">
        <v>28.46</v>
      </c>
      <c r="H325" s="203">
        <f t="shared" si="32"/>
        <v>36.520000000000003</v>
      </c>
      <c r="I325" s="203">
        <f t="shared" si="33"/>
        <v>5624.08</v>
      </c>
    </row>
    <row r="326" spans="1:9" x14ac:dyDescent="0.25">
      <c r="A326" s="201" t="s">
        <v>570</v>
      </c>
      <c r="B326" s="201" t="s">
        <v>614</v>
      </c>
      <c r="C326" s="201" t="s">
        <v>10</v>
      </c>
      <c r="D326" s="201" t="s">
        <v>615</v>
      </c>
      <c r="E326" s="202" t="s">
        <v>48</v>
      </c>
      <c r="F326" s="203">
        <f>LÓGICA!C27</f>
        <v>1</v>
      </c>
      <c r="G326" s="203">
        <v>1226.18</v>
      </c>
      <c r="H326" s="203">
        <f t="shared" si="32"/>
        <v>1573.8</v>
      </c>
      <c r="I326" s="203">
        <f t="shared" si="33"/>
        <v>1573.8</v>
      </c>
    </row>
    <row r="327" spans="1:9" ht="31.5" x14ac:dyDescent="0.25">
      <c r="A327" s="201" t="s">
        <v>573</v>
      </c>
      <c r="B327" s="201" t="s">
        <v>616</v>
      </c>
      <c r="C327" s="201" t="s">
        <v>10</v>
      </c>
      <c r="D327" s="201" t="s">
        <v>617</v>
      </c>
      <c r="E327" s="202" t="s">
        <v>26</v>
      </c>
      <c r="F327" s="203">
        <f>LÓGICA!C28</f>
        <v>154</v>
      </c>
      <c r="G327" s="203">
        <v>46</v>
      </c>
      <c r="H327" s="203">
        <f t="shared" si="32"/>
        <v>59.04</v>
      </c>
      <c r="I327" s="203">
        <f t="shared" si="33"/>
        <v>9092.16</v>
      </c>
    </row>
    <row r="328" spans="1:9" x14ac:dyDescent="0.25">
      <c r="A328" s="201" t="s">
        <v>574</v>
      </c>
      <c r="B328" s="201" t="s">
        <v>618</v>
      </c>
      <c r="C328" s="201" t="s">
        <v>10</v>
      </c>
      <c r="D328" s="201" t="s">
        <v>619</v>
      </c>
      <c r="E328" s="202" t="s">
        <v>26</v>
      </c>
      <c r="F328" s="203">
        <f>LÓGICA!C29</f>
        <v>5</v>
      </c>
      <c r="G328" s="203">
        <v>40</v>
      </c>
      <c r="H328" s="203">
        <f t="shared" si="32"/>
        <v>51.34</v>
      </c>
      <c r="I328" s="203">
        <f t="shared" si="33"/>
        <v>256.7</v>
      </c>
    </row>
    <row r="329" spans="1:9" ht="31.5" x14ac:dyDescent="0.25">
      <c r="A329" s="201" t="s">
        <v>577</v>
      </c>
      <c r="B329" s="201" t="s">
        <v>600</v>
      </c>
      <c r="C329" s="201" t="s">
        <v>10</v>
      </c>
      <c r="D329" s="201" t="s">
        <v>601</v>
      </c>
      <c r="E329" s="202" t="s">
        <v>12</v>
      </c>
      <c r="F329" s="203">
        <f>LÓGICA!C30</f>
        <v>278.17</v>
      </c>
      <c r="G329" s="203">
        <v>9.67</v>
      </c>
      <c r="H329" s="203">
        <f t="shared" si="32"/>
        <v>12.41</v>
      </c>
      <c r="I329" s="203">
        <f t="shared" si="33"/>
        <v>3452.08</v>
      </c>
    </row>
    <row r="330" spans="1:9" x14ac:dyDescent="0.25">
      <c r="A330" s="201" t="s">
        <v>659</v>
      </c>
      <c r="B330" s="201" t="s">
        <v>594</v>
      </c>
      <c r="C330" s="201" t="s">
        <v>10</v>
      </c>
      <c r="D330" s="201" t="s">
        <v>595</v>
      </c>
      <c r="E330" s="202" t="s">
        <v>14</v>
      </c>
      <c r="F330" s="203">
        <f>LÓGICA!C31</f>
        <v>1</v>
      </c>
      <c r="G330" s="203">
        <v>3124.01</v>
      </c>
      <c r="H330" s="203">
        <f t="shared" si="32"/>
        <v>4009.66</v>
      </c>
      <c r="I330" s="203">
        <f t="shared" si="33"/>
        <v>4009.66</v>
      </c>
    </row>
    <row r="331" spans="1:9" x14ac:dyDescent="0.25">
      <c r="A331" s="201" t="s">
        <v>660</v>
      </c>
      <c r="B331" s="201" t="s">
        <v>596</v>
      </c>
      <c r="C331" s="201" t="s">
        <v>10</v>
      </c>
      <c r="D331" s="201" t="s">
        <v>597</v>
      </c>
      <c r="E331" s="202" t="s">
        <v>168</v>
      </c>
      <c r="F331" s="203">
        <f>LÓGICA!C32</f>
        <v>1</v>
      </c>
      <c r="G331" s="203">
        <v>2065.0100000000002</v>
      </c>
      <c r="H331" s="203">
        <f t="shared" si="32"/>
        <v>2650.44</v>
      </c>
      <c r="I331" s="203">
        <f t="shared" si="33"/>
        <v>2650.44</v>
      </c>
    </row>
    <row r="332" spans="1:9" x14ac:dyDescent="0.25">
      <c r="A332" s="201" t="s">
        <v>691</v>
      </c>
      <c r="B332" s="201" t="s">
        <v>579</v>
      </c>
      <c r="C332" s="201" t="s">
        <v>10</v>
      </c>
      <c r="D332" s="201" t="s">
        <v>580</v>
      </c>
      <c r="E332" s="202" t="s">
        <v>168</v>
      </c>
      <c r="F332" s="203">
        <f>LÓGICA!C33</f>
        <v>20.399999999999999</v>
      </c>
      <c r="G332" s="203">
        <v>37.479999999999997</v>
      </c>
      <c r="H332" s="203">
        <f t="shared" si="32"/>
        <v>48.1</v>
      </c>
      <c r="I332" s="203">
        <f t="shared" si="33"/>
        <v>981.24</v>
      </c>
    </row>
    <row r="333" spans="1:9" ht="31.5" x14ac:dyDescent="0.25">
      <c r="A333" s="201" t="s">
        <v>692</v>
      </c>
      <c r="B333" s="201" t="s">
        <v>1173</v>
      </c>
      <c r="C333" s="201" t="s">
        <v>10</v>
      </c>
      <c r="D333" s="201" t="s">
        <v>1174</v>
      </c>
      <c r="E333" s="202" t="s">
        <v>12</v>
      </c>
      <c r="F333" s="203">
        <f>LÓGICA!C34</f>
        <v>550.29</v>
      </c>
      <c r="G333" s="203">
        <v>43.13</v>
      </c>
      <c r="H333" s="203">
        <f t="shared" si="32"/>
        <v>55.35</v>
      </c>
      <c r="I333" s="203">
        <f t="shared" si="33"/>
        <v>30458.55</v>
      </c>
    </row>
    <row r="334" spans="1:9" ht="31.5" x14ac:dyDescent="0.25">
      <c r="A334" s="201" t="s">
        <v>1091</v>
      </c>
      <c r="B334" s="201" t="s">
        <v>1176</v>
      </c>
      <c r="C334" s="201" t="s">
        <v>10</v>
      </c>
      <c r="D334" s="201" t="s">
        <v>1177</v>
      </c>
      <c r="E334" s="202" t="s">
        <v>48</v>
      </c>
      <c r="F334" s="203">
        <f>LÓGICA!C35</f>
        <v>39</v>
      </c>
      <c r="G334" s="203">
        <v>33.479999999999997</v>
      </c>
      <c r="H334" s="203">
        <f t="shared" si="32"/>
        <v>42.97</v>
      </c>
      <c r="I334" s="203">
        <f t="shared" si="33"/>
        <v>1675.83</v>
      </c>
    </row>
    <row r="335" spans="1:9" ht="31.5" x14ac:dyDescent="0.25">
      <c r="A335" s="201" t="s">
        <v>1092</v>
      </c>
      <c r="B335" s="201" t="s">
        <v>1179</v>
      </c>
      <c r="C335" s="201" t="s">
        <v>10</v>
      </c>
      <c r="D335" s="201" t="s">
        <v>1180</v>
      </c>
      <c r="E335" s="202" t="s">
        <v>48</v>
      </c>
      <c r="F335" s="203">
        <f>LÓGICA!C36</f>
        <v>9</v>
      </c>
      <c r="G335" s="203">
        <v>34</v>
      </c>
      <c r="H335" s="203">
        <f t="shared" si="32"/>
        <v>43.63</v>
      </c>
      <c r="I335" s="203">
        <f t="shared" si="33"/>
        <v>392.67</v>
      </c>
    </row>
    <row r="336" spans="1:9" x14ac:dyDescent="0.25">
      <c r="A336" s="201" t="s">
        <v>1093</v>
      </c>
      <c r="B336" s="201" t="s">
        <v>1182</v>
      </c>
      <c r="C336" s="201" t="s">
        <v>10</v>
      </c>
      <c r="D336" s="201" t="s">
        <v>1183</v>
      </c>
      <c r="E336" s="202" t="s">
        <v>12</v>
      </c>
      <c r="F336" s="203">
        <f>LÓGICA!C37</f>
        <v>112.2</v>
      </c>
      <c r="G336" s="203">
        <v>22.95</v>
      </c>
      <c r="H336" s="203">
        <f t="shared" si="32"/>
        <v>29.45</v>
      </c>
      <c r="I336" s="203">
        <f t="shared" si="33"/>
        <v>3304.29</v>
      </c>
    </row>
    <row r="337" spans="1:10" ht="47.25" x14ac:dyDescent="0.25">
      <c r="A337" s="201" t="s">
        <v>1096</v>
      </c>
      <c r="B337" s="201" t="s">
        <v>1185</v>
      </c>
      <c r="C337" s="201" t="s">
        <v>36</v>
      </c>
      <c r="D337" s="201" t="s">
        <v>1186</v>
      </c>
      <c r="E337" s="202" t="s">
        <v>12</v>
      </c>
      <c r="F337" s="203">
        <f>LÓGICA!C38</f>
        <v>550.29</v>
      </c>
      <c r="G337" s="203">
        <v>30.29</v>
      </c>
      <c r="H337" s="203">
        <f t="shared" si="32"/>
        <v>38.869999999999997</v>
      </c>
      <c r="I337" s="203">
        <f t="shared" si="33"/>
        <v>21389.77</v>
      </c>
    </row>
    <row r="338" spans="1:10" ht="31.5" x14ac:dyDescent="0.25">
      <c r="A338" s="201" t="s">
        <v>1097</v>
      </c>
      <c r="B338" s="201" t="s">
        <v>1123</v>
      </c>
      <c r="C338" s="201" t="s">
        <v>10</v>
      </c>
      <c r="D338" s="201" t="s">
        <v>1124</v>
      </c>
      <c r="E338" s="202" t="s">
        <v>48</v>
      </c>
      <c r="F338" s="203">
        <f>LÓGICA!C39</f>
        <v>80</v>
      </c>
      <c r="G338" s="203">
        <v>6.63</v>
      </c>
      <c r="H338" s="203">
        <f t="shared" si="32"/>
        <v>8.5</v>
      </c>
      <c r="I338" s="203">
        <f t="shared" si="33"/>
        <v>680</v>
      </c>
    </row>
    <row r="339" spans="1:10" x14ac:dyDescent="0.25">
      <c r="A339" s="201" t="s">
        <v>1098</v>
      </c>
      <c r="B339" s="201" t="s">
        <v>602</v>
      </c>
      <c r="C339" s="201" t="s">
        <v>10</v>
      </c>
      <c r="D339" s="201" t="s">
        <v>603</v>
      </c>
      <c r="E339" s="202" t="s">
        <v>48</v>
      </c>
      <c r="F339" s="203">
        <f>LÓGICA!C40</f>
        <v>5</v>
      </c>
      <c r="G339" s="203">
        <v>499.93</v>
      </c>
      <c r="H339" s="203">
        <f t="shared" si="32"/>
        <v>641.66</v>
      </c>
      <c r="I339" s="203">
        <f t="shared" si="33"/>
        <v>3208.3</v>
      </c>
    </row>
    <row r="340" spans="1:10" s="238" customFormat="1" x14ac:dyDescent="0.25">
      <c r="A340" s="240">
        <v>22</v>
      </c>
      <c r="B340" s="236"/>
      <c r="C340" s="236"/>
      <c r="D340" s="236" t="s">
        <v>620</v>
      </c>
      <c r="E340" s="239"/>
      <c r="F340" s="237"/>
      <c r="G340" s="237"/>
      <c r="H340" s="237"/>
      <c r="I340" s="237">
        <f>SUM(I341:I382)</f>
        <v>93694.119999999981</v>
      </c>
      <c r="J340" s="383"/>
    </row>
    <row r="341" spans="1:10" ht="31.5" x14ac:dyDescent="0.25">
      <c r="A341" s="201" t="s">
        <v>693</v>
      </c>
      <c r="B341" s="201" t="s">
        <v>622</v>
      </c>
      <c r="C341" s="201" t="s">
        <v>36</v>
      </c>
      <c r="D341" s="201" t="s">
        <v>623</v>
      </c>
      <c r="E341" s="202" t="s">
        <v>48</v>
      </c>
      <c r="F341" s="203">
        <f>Incendio!F5</f>
        <v>20</v>
      </c>
      <c r="G341" s="203">
        <v>171.82</v>
      </c>
      <c r="H341" s="203">
        <f t="shared" si="32"/>
        <v>220.53</v>
      </c>
      <c r="I341" s="203">
        <f t="shared" ref="I341:I382" si="34">TRUNC(H341*F341,2)</f>
        <v>4410.6000000000004</v>
      </c>
    </row>
    <row r="342" spans="1:10" ht="31.5" x14ac:dyDescent="0.25">
      <c r="A342" s="201" t="s">
        <v>694</v>
      </c>
      <c r="B342" s="201" t="s">
        <v>625</v>
      </c>
      <c r="C342" s="201" t="s">
        <v>36</v>
      </c>
      <c r="D342" s="201" t="s">
        <v>626</v>
      </c>
      <c r="E342" s="202" t="s">
        <v>48</v>
      </c>
      <c r="F342" s="203">
        <f>Incendio!F6</f>
        <v>19</v>
      </c>
      <c r="G342" s="203">
        <v>152.33000000000001</v>
      </c>
      <c r="H342" s="203">
        <f t="shared" si="32"/>
        <v>195.51</v>
      </c>
      <c r="I342" s="203">
        <f t="shared" si="34"/>
        <v>3714.69</v>
      </c>
    </row>
    <row r="343" spans="1:10" x14ac:dyDescent="0.25">
      <c r="A343" s="201" t="s">
        <v>695</v>
      </c>
      <c r="B343" s="201" t="s">
        <v>628</v>
      </c>
      <c r="C343" s="201" t="s">
        <v>36</v>
      </c>
      <c r="D343" s="201" t="s">
        <v>629</v>
      </c>
      <c r="E343" s="202" t="s">
        <v>48</v>
      </c>
      <c r="F343" s="203">
        <f>Incendio!F7</f>
        <v>1</v>
      </c>
      <c r="G343" s="203">
        <v>477.64</v>
      </c>
      <c r="H343" s="203">
        <f t="shared" si="32"/>
        <v>613.04999999999995</v>
      </c>
      <c r="I343" s="203">
        <f t="shared" si="34"/>
        <v>613.04999999999995</v>
      </c>
    </row>
    <row r="344" spans="1:10" ht="31.5" x14ac:dyDescent="0.25">
      <c r="A344" s="201" t="s">
        <v>696</v>
      </c>
      <c r="B344" s="201" t="s">
        <v>631</v>
      </c>
      <c r="C344" s="201" t="s">
        <v>10</v>
      </c>
      <c r="D344" s="201" t="s">
        <v>632</v>
      </c>
      <c r="E344" s="202" t="s">
        <v>48</v>
      </c>
      <c r="F344" s="203">
        <f>Incendio!F8</f>
        <v>40</v>
      </c>
      <c r="G344" s="203">
        <v>18.38</v>
      </c>
      <c r="H344" s="203">
        <f t="shared" si="32"/>
        <v>23.59</v>
      </c>
      <c r="I344" s="203">
        <f t="shared" si="34"/>
        <v>943.6</v>
      </c>
    </row>
    <row r="345" spans="1:10" ht="31.5" x14ac:dyDescent="0.25">
      <c r="A345" s="201" t="s">
        <v>697</v>
      </c>
      <c r="B345" s="201" t="s">
        <v>253</v>
      </c>
      <c r="C345" s="201" t="s">
        <v>36</v>
      </c>
      <c r="D345" s="201" t="s">
        <v>254</v>
      </c>
      <c r="E345" s="202" t="s">
        <v>24</v>
      </c>
      <c r="F345" s="203">
        <f>Incendio!F9</f>
        <v>21</v>
      </c>
      <c r="G345" s="203">
        <v>16.38</v>
      </c>
      <c r="H345" s="203">
        <f t="shared" si="32"/>
        <v>21.02</v>
      </c>
      <c r="I345" s="203">
        <f t="shared" si="34"/>
        <v>441.42</v>
      </c>
    </row>
    <row r="346" spans="1:10" ht="47.25" x14ac:dyDescent="0.25">
      <c r="A346" s="201" t="s">
        <v>698</v>
      </c>
      <c r="B346" s="201" t="s">
        <v>634</v>
      </c>
      <c r="C346" s="201" t="s">
        <v>10</v>
      </c>
      <c r="D346" s="201" t="s">
        <v>635</v>
      </c>
      <c r="E346" s="202" t="s">
        <v>48</v>
      </c>
      <c r="F346" s="203">
        <f>Incendio!F11</f>
        <v>106</v>
      </c>
      <c r="G346" s="203">
        <v>21.95</v>
      </c>
      <c r="H346" s="203">
        <f t="shared" si="32"/>
        <v>28.17</v>
      </c>
      <c r="I346" s="203">
        <f t="shared" si="34"/>
        <v>2986.02</v>
      </c>
    </row>
    <row r="347" spans="1:10" ht="31.5" x14ac:dyDescent="0.25">
      <c r="A347" s="201" t="s">
        <v>699</v>
      </c>
      <c r="B347" s="201" t="s">
        <v>1189</v>
      </c>
      <c r="C347" s="201" t="s">
        <v>10</v>
      </c>
      <c r="D347" s="201" t="s">
        <v>1190</v>
      </c>
      <c r="E347" s="202" t="s">
        <v>48</v>
      </c>
      <c r="F347" s="203">
        <f>Incendio!F13</f>
        <v>7</v>
      </c>
      <c r="G347" s="203">
        <v>71.97</v>
      </c>
      <c r="H347" s="203">
        <f t="shared" si="32"/>
        <v>92.37</v>
      </c>
      <c r="I347" s="203">
        <f t="shared" si="34"/>
        <v>646.59</v>
      </c>
    </row>
    <row r="348" spans="1:10" ht="31.5" x14ac:dyDescent="0.25">
      <c r="A348" s="201" t="s">
        <v>1133</v>
      </c>
      <c r="B348" s="201" t="s">
        <v>1191</v>
      </c>
      <c r="C348" s="201" t="s">
        <v>10</v>
      </c>
      <c r="D348" s="201" t="s">
        <v>1192</v>
      </c>
      <c r="E348" s="202" t="s">
        <v>48</v>
      </c>
      <c r="F348" s="203">
        <f>Incendio!F14</f>
        <v>7</v>
      </c>
      <c r="G348" s="203">
        <v>62.6</v>
      </c>
      <c r="H348" s="203">
        <f t="shared" si="32"/>
        <v>80.34</v>
      </c>
      <c r="I348" s="203">
        <f t="shared" si="34"/>
        <v>562.38</v>
      </c>
    </row>
    <row r="349" spans="1:10" ht="31.5" x14ac:dyDescent="0.25">
      <c r="A349" s="201" t="s">
        <v>1134</v>
      </c>
      <c r="B349" s="201" t="s">
        <v>1193</v>
      </c>
      <c r="C349" s="201" t="s">
        <v>10</v>
      </c>
      <c r="D349" s="201" t="s">
        <v>1194</v>
      </c>
      <c r="E349" s="202" t="s">
        <v>48</v>
      </c>
      <c r="F349" s="203">
        <f>Incendio!F15</f>
        <v>2</v>
      </c>
      <c r="G349" s="203">
        <v>595.52</v>
      </c>
      <c r="H349" s="203">
        <f t="shared" si="32"/>
        <v>764.34</v>
      </c>
      <c r="I349" s="203">
        <f t="shared" si="34"/>
        <v>1528.68</v>
      </c>
    </row>
    <row r="350" spans="1:10" ht="31.5" x14ac:dyDescent="0.25">
      <c r="A350" s="201" t="s">
        <v>1135</v>
      </c>
      <c r="B350" s="201" t="s">
        <v>1195</v>
      </c>
      <c r="C350" s="201" t="s">
        <v>10</v>
      </c>
      <c r="D350" s="201" t="s">
        <v>1196</v>
      </c>
      <c r="E350" s="202" t="s">
        <v>48</v>
      </c>
      <c r="F350" s="203">
        <f>Incendio!F16</f>
        <v>2</v>
      </c>
      <c r="G350" s="203">
        <v>217.53</v>
      </c>
      <c r="H350" s="203">
        <f t="shared" si="32"/>
        <v>279.19</v>
      </c>
      <c r="I350" s="203">
        <f t="shared" si="34"/>
        <v>558.38</v>
      </c>
    </row>
    <row r="351" spans="1:10" ht="47.25" x14ac:dyDescent="0.25">
      <c r="A351" s="201" t="s">
        <v>1136</v>
      </c>
      <c r="B351" s="201" t="s">
        <v>1197</v>
      </c>
      <c r="C351" s="201" t="s">
        <v>36</v>
      </c>
      <c r="D351" s="201" t="s">
        <v>1198</v>
      </c>
      <c r="E351" s="202" t="s">
        <v>12</v>
      </c>
      <c r="F351" s="203">
        <f>Incendio!F17</f>
        <v>780</v>
      </c>
      <c r="G351" s="203">
        <v>3.23</v>
      </c>
      <c r="H351" s="203">
        <f t="shared" si="32"/>
        <v>4.1399999999999997</v>
      </c>
      <c r="I351" s="203">
        <f t="shared" si="34"/>
        <v>3229.2</v>
      </c>
    </row>
    <row r="352" spans="1:10" ht="63" x14ac:dyDescent="0.25">
      <c r="A352" s="201" t="s">
        <v>1138</v>
      </c>
      <c r="B352" s="201" t="s">
        <v>1199</v>
      </c>
      <c r="C352" s="201" t="s">
        <v>10</v>
      </c>
      <c r="D352" s="201" t="s">
        <v>1200</v>
      </c>
      <c r="E352" s="202" t="s">
        <v>48</v>
      </c>
      <c r="F352" s="203">
        <f>Incendio!F18</f>
        <v>14</v>
      </c>
      <c r="G352" s="203">
        <v>24.32</v>
      </c>
      <c r="H352" s="203">
        <f t="shared" si="32"/>
        <v>31.21</v>
      </c>
      <c r="I352" s="203">
        <f t="shared" si="34"/>
        <v>436.94</v>
      </c>
    </row>
    <row r="353" spans="1:9" ht="31.5" x14ac:dyDescent="0.25">
      <c r="A353" s="201" t="s">
        <v>1141</v>
      </c>
      <c r="B353" s="201" t="s">
        <v>1201</v>
      </c>
      <c r="C353" s="201" t="s">
        <v>10</v>
      </c>
      <c r="D353" s="201" t="s">
        <v>1202</v>
      </c>
      <c r="E353" s="202" t="s">
        <v>48</v>
      </c>
      <c r="F353" s="203">
        <f>Incendio!F19</f>
        <v>185</v>
      </c>
      <c r="G353" s="203">
        <v>4.6500000000000004</v>
      </c>
      <c r="H353" s="203">
        <f t="shared" si="32"/>
        <v>5.96</v>
      </c>
      <c r="I353" s="203">
        <f t="shared" si="34"/>
        <v>1102.5999999999999</v>
      </c>
    </row>
    <row r="354" spans="1:9" ht="31.5" x14ac:dyDescent="0.25">
      <c r="A354" s="201" t="s">
        <v>1376</v>
      </c>
      <c r="B354" s="201" t="s">
        <v>1203</v>
      </c>
      <c r="C354" s="201" t="s">
        <v>10</v>
      </c>
      <c r="D354" s="201" t="s">
        <v>1204</v>
      </c>
      <c r="E354" s="202" t="s">
        <v>48</v>
      </c>
      <c r="F354" s="203">
        <f>Incendio!F20</f>
        <v>64</v>
      </c>
      <c r="G354" s="203">
        <v>6.7</v>
      </c>
      <c r="H354" s="203">
        <f t="shared" si="32"/>
        <v>8.59</v>
      </c>
      <c r="I354" s="203">
        <f t="shared" si="34"/>
        <v>549.76</v>
      </c>
    </row>
    <row r="355" spans="1:9" ht="31.5" x14ac:dyDescent="0.25">
      <c r="A355" s="201" t="s">
        <v>1144</v>
      </c>
      <c r="B355" s="201" t="s">
        <v>1205</v>
      </c>
      <c r="C355" s="201" t="s">
        <v>10</v>
      </c>
      <c r="D355" s="201" t="s">
        <v>1206</v>
      </c>
      <c r="E355" s="202" t="s">
        <v>48</v>
      </c>
      <c r="F355" s="203">
        <f>Incendio!F21</f>
        <v>83</v>
      </c>
      <c r="G355" s="203">
        <v>9.2899999999999991</v>
      </c>
      <c r="H355" s="203">
        <f t="shared" si="32"/>
        <v>11.92</v>
      </c>
      <c r="I355" s="203">
        <f t="shared" si="34"/>
        <v>989.36</v>
      </c>
    </row>
    <row r="356" spans="1:9" ht="31.5" x14ac:dyDescent="0.25">
      <c r="A356" s="201" t="s">
        <v>1149</v>
      </c>
      <c r="B356" s="201" t="s">
        <v>1207</v>
      </c>
      <c r="C356" s="201" t="s">
        <v>10</v>
      </c>
      <c r="D356" s="201" t="s">
        <v>1208</v>
      </c>
      <c r="E356" s="202" t="s">
        <v>12</v>
      </c>
      <c r="F356" s="203">
        <f>Incendio!F22</f>
        <v>192</v>
      </c>
      <c r="G356" s="203">
        <v>13.94</v>
      </c>
      <c r="H356" s="203">
        <f t="shared" si="32"/>
        <v>17.89</v>
      </c>
      <c r="I356" s="203">
        <f t="shared" si="34"/>
        <v>3434.88</v>
      </c>
    </row>
    <row r="357" spans="1:9" ht="31.5" x14ac:dyDescent="0.25">
      <c r="A357" s="201" t="s">
        <v>1150</v>
      </c>
      <c r="B357" s="201" t="s">
        <v>1209</v>
      </c>
      <c r="C357" s="201" t="s">
        <v>10</v>
      </c>
      <c r="D357" s="201" t="s">
        <v>1210</v>
      </c>
      <c r="E357" s="202" t="s">
        <v>48</v>
      </c>
      <c r="F357" s="203">
        <f>Incendio!F23</f>
        <v>39</v>
      </c>
      <c r="G357" s="203">
        <v>2.75</v>
      </c>
      <c r="H357" s="203">
        <f t="shared" si="32"/>
        <v>3.52</v>
      </c>
      <c r="I357" s="203">
        <f t="shared" si="34"/>
        <v>137.28</v>
      </c>
    </row>
    <row r="358" spans="1:9" ht="47.25" x14ac:dyDescent="0.25">
      <c r="A358" s="201" t="s">
        <v>1153</v>
      </c>
      <c r="B358" s="201" t="s">
        <v>261</v>
      </c>
      <c r="C358" s="201" t="s">
        <v>36</v>
      </c>
      <c r="D358" s="201" t="s">
        <v>228</v>
      </c>
      <c r="E358" s="202" t="s">
        <v>12</v>
      </c>
      <c r="F358" s="203">
        <f>Incendio!F24</f>
        <v>201</v>
      </c>
      <c r="G358" s="203">
        <v>5.5</v>
      </c>
      <c r="H358" s="203">
        <f t="shared" si="32"/>
        <v>7.05</v>
      </c>
      <c r="I358" s="203">
        <f t="shared" si="34"/>
        <v>1417.05</v>
      </c>
    </row>
    <row r="359" spans="1:9" ht="63" x14ac:dyDescent="0.25">
      <c r="A359" s="201" t="s">
        <v>1154</v>
      </c>
      <c r="B359" s="201" t="s">
        <v>943</v>
      </c>
      <c r="C359" s="201" t="s">
        <v>36</v>
      </c>
      <c r="D359" s="201" t="s">
        <v>944</v>
      </c>
      <c r="E359" s="202" t="s">
        <v>48</v>
      </c>
      <c r="F359" s="203">
        <f>Incendio!F26</f>
        <v>1</v>
      </c>
      <c r="G359" s="203">
        <v>113.53</v>
      </c>
      <c r="H359" s="203">
        <f t="shared" si="32"/>
        <v>145.71</v>
      </c>
      <c r="I359" s="203">
        <f t="shared" si="34"/>
        <v>145.71</v>
      </c>
    </row>
    <row r="360" spans="1:9" ht="63" x14ac:dyDescent="0.25">
      <c r="A360" s="201" t="s">
        <v>1155</v>
      </c>
      <c r="B360" s="201" t="s">
        <v>1211</v>
      </c>
      <c r="C360" s="201" t="s">
        <v>10</v>
      </c>
      <c r="D360" s="201" t="s">
        <v>1212</v>
      </c>
      <c r="E360" s="202" t="s">
        <v>48</v>
      </c>
      <c r="F360" s="203">
        <f>Incendio!F27</f>
        <v>7</v>
      </c>
      <c r="G360" s="203">
        <v>1213.76</v>
      </c>
      <c r="H360" s="203">
        <f t="shared" si="32"/>
        <v>1557.86</v>
      </c>
      <c r="I360" s="203">
        <f t="shared" si="34"/>
        <v>10905.02</v>
      </c>
    </row>
    <row r="361" spans="1:9" ht="31.5" x14ac:dyDescent="0.25">
      <c r="A361" s="201" t="s">
        <v>1156</v>
      </c>
      <c r="B361" s="201" t="s">
        <v>1213</v>
      </c>
      <c r="C361" s="201" t="s">
        <v>10</v>
      </c>
      <c r="D361" s="201" t="s">
        <v>1214</v>
      </c>
      <c r="E361" s="202" t="s">
        <v>48</v>
      </c>
      <c r="F361" s="203">
        <f>Incendio!F28</f>
        <v>1</v>
      </c>
      <c r="G361" s="203">
        <v>434.9</v>
      </c>
      <c r="H361" s="203">
        <f t="shared" si="32"/>
        <v>558.19000000000005</v>
      </c>
      <c r="I361" s="203">
        <f t="shared" si="34"/>
        <v>558.19000000000005</v>
      </c>
    </row>
    <row r="362" spans="1:9" ht="63" x14ac:dyDescent="0.25">
      <c r="A362" s="201" t="s">
        <v>1159</v>
      </c>
      <c r="B362" s="201" t="s">
        <v>1215</v>
      </c>
      <c r="C362" s="201" t="s">
        <v>36</v>
      </c>
      <c r="D362" s="201" t="s">
        <v>1216</v>
      </c>
      <c r="E362" s="202" t="s">
        <v>48</v>
      </c>
      <c r="F362" s="203">
        <f>Incendio!F29</f>
        <v>4</v>
      </c>
      <c r="G362" s="203">
        <v>68.12</v>
      </c>
      <c r="H362" s="203">
        <f t="shared" si="32"/>
        <v>87.43</v>
      </c>
      <c r="I362" s="203">
        <f t="shared" si="34"/>
        <v>349.72</v>
      </c>
    </row>
    <row r="363" spans="1:9" ht="63" x14ac:dyDescent="0.25">
      <c r="A363" s="201" t="s">
        <v>1160</v>
      </c>
      <c r="B363" s="201" t="s">
        <v>1217</v>
      </c>
      <c r="C363" s="201" t="s">
        <v>36</v>
      </c>
      <c r="D363" s="201" t="s">
        <v>1218</v>
      </c>
      <c r="E363" s="202" t="s">
        <v>48</v>
      </c>
      <c r="F363" s="203">
        <f>Incendio!F30</f>
        <v>8</v>
      </c>
      <c r="G363" s="203">
        <v>63.04</v>
      </c>
      <c r="H363" s="203">
        <f t="shared" si="32"/>
        <v>80.91</v>
      </c>
      <c r="I363" s="203">
        <f t="shared" si="34"/>
        <v>647.28</v>
      </c>
    </row>
    <row r="364" spans="1:9" ht="63" x14ac:dyDescent="0.25">
      <c r="A364" s="201" t="s">
        <v>1163</v>
      </c>
      <c r="B364" s="201" t="s">
        <v>1219</v>
      </c>
      <c r="C364" s="201" t="s">
        <v>36</v>
      </c>
      <c r="D364" s="201" t="s">
        <v>1220</v>
      </c>
      <c r="E364" s="202" t="s">
        <v>48</v>
      </c>
      <c r="F364" s="203">
        <f>Incendio!F31</f>
        <v>5</v>
      </c>
      <c r="G364" s="203">
        <v>383.48</v>
      </c>
      <c r="H364" s="203">
        <f t="shared" ref="H364:H396" si="35">TRUNC(G364*$F$2+G364,2)</f>
        <v>492.19</v>
      </c>
      <c r="I364" s="203">
        <f t="shared" si="34"/>
        <v>2460.9499999999998</v>
      </c>
    </row>
    <row r="365" spans="1:9" ht="31.5" x14ac:dyDescent="0.25">
      <c r="A365" s="201" t="s">
        <v>1164</v>
      </c>
      <c r="B365" s="201" t="s">
        <v>1221</v>
      </c>
      <c r="C365" s="201" t="s">
        <v>10</v>
      </c>
      <c r="D365" s="201" t="s">
        <v>1222</v>
      </c>
      <c r="E365" s="202" t="s">
        <v>48</v>
      </c>
      <c r="F365" s="203">
        <f>Incendio!F32</f>
        <v>8</v>
      </c>
      <c r="G365" s="203">
        <v>238.9</v>
      </c>
      <c r="H365" s="203">
        <f t="shared" si="35"/>
        <v>306.62</v>
      </c>
      <c r="I365" s="203">
        <f t="shared" si="34"/>
        <v>2452.96</v>
      </c>
    </row>
    <row r="366" spans="1:9" ht="47.25" x14ac:dyDescent="0.25">
      <c r="A366" s="201" t="s">
        <v>1165</v>
      </c>
      <c r="B366" s="201" t="s">
        <v>1223</v>
      </c>
      <c r="C366" s="201" t="s">
        <v>10</v>
      </c>
      <c r="D366" s="201" t="s">
        <v>1224</v>
      </c>
      <c r="E366" s="202" t="s">
        <v>12</v>
      </c>
      <c r="F366" s="203">
        <f>Incendio!F33</f>
        <v>73</v>
      </c>
      <c r="G366" s="203">
        <v>120.93</v>
      </c>
      <c r="H366" s="203">
        <f t="shared" si="35"/>
        <v>155.21</v>
      </c>
      <c r="I366" s="203">
        <f t="shared" si="34"/>
        <v>11330.33</v>
      </c>
    </row>
    <row r="367" spans="1:9" ht="63" x14ac:dyDescent="0.25">
      <c r="A367" s="201" t="s">
        <v>1166</v>
      </c>
      <c r="B367" s="201" t="s">
        <v>1225</v>
      </c>
      <c r="C367" s="201" t="s">
        <v>36</v>
      </c>
      <c r="D367" s="201" t="s">
        <v>1226</v>
      </c>
      <c r="E367" s="202" t="s">
        <v>12</v>
      </c>
      <c r="F367" s="203">
        <f>Incendio!F34</f>
        <v>105</v>
      </c>
      <c r="G367" s="203">
        <v>59.06</v>
      </c>
      <c r="H367" s="203">
        <f t="shared" si="35"/>
        <v>75.8</v>
      </c>
      <c r="I367" s="203">
        <f t="shared" si="34"/>
        <v>7959</v>
      </c>
    </row>
    <row r="368" spans="1:9" ht="63" x14ac:dyDescent="0.25">
      <c r="A368" s="201" t="s">
        <v>1167</v>
      </c>
      <c r="B368" s="201" t="s">
        <v>1227</v>
      </c>
      <c r="C368" s="201" t="s">
        <v>36</v>
      </c>
      <c r="D368" s="201" t="s">
        <v>1228</v>
      </c>
      <c r="E368" s="202" t="s">
        <v>12</v>
      </c>
      <c r="F368" s="203">
        <f>Incendio!F35</f>
        <v>6</v>
      </c>
      <c r="G368" s="203">
        <v>77.75</v>
      </c>
      <c r="H368" s="203">
        <f t="shared" si="35"/>
        <v>99.79</v>
      </c>
      <c r="I368" s="203">
        <f t="shared" si="34"/>
        <v>598.74</v>
      </c>
    </row>
    <row r="369" spans="1:10" ht="47.25" x14ac:dyDescent="0.25">
      <c r="A369" s="201" t="s">
        <v>1168</v>
      </c>
      <c r="B369" s="201" t="s">
        <v>1229</v>
      </c>
      <c r="C369" s="201" t="s">
        <v>36</v>
      </c>
      <c r="D369" s="201" t="s">
        <v>1230</v>
      </c>
      <c r="E369" s="202" t="s">
        <v>48</v>
      </c>
      <c r="F369" s="203">
        <f>Incendio!F36</f>
        <v>1</v>
      </c>
      <c r="G369" s="203">
        <v>111.68</v>
      </c>
      <c r="H369" s="203">
        <f t="shared" si="35"/>
        <v>143.34</v>
      </c>
      <c r="I369" s="203">
        <f t="shared" si="34"/>
        <v>143.34</v>
      </c>
    </row>
    <row r="370" spans="1:10" x14ac:dyDescent="0.25">
      <c r="A370" s="201" t="s">
        <v>1169</v>
      </c>
      <c r="B370" s="201" t="s">
        <v>1231</v>
      </c>
      <c r="C370" s="201" t="s">
        <v>36</v>
      </c>
      <c r="D370" s="201" t="s">
        <v>1232</v>
      </c>
      <c r="E370" s="202" t="s">
        <v>48</v>
      </c>
      <c r="F370" s="203">
        <f>Incendio!F37</f>
        <v>6</v>
      </c>
      <c r="G370" s="203">
        <v>192.85</v>
      </c>
      <c r="H370" s="203">
        <f t="shared" si="35"/>
        <v>247.52</v>
      </c>
      <c r="I370" s="203">
        <f t="shared" si="34"/>
        <v>1485.12</v>
      </c>
    </row>
    <row r="371" spans="1:10" ht="47.25" x14ac:dyDescent="0.25">
      <c r="A371" s="201" t="s">
        <v>1170</v>
      </c>
      <c r="B371" s="201" t="s">
        <v>1233</v>
      </c>
      <c r="C371" s="201" t="s">
        <v>36</v>
      </c>
      <c r="D371" s="201" t="s">
        <v>1234</v>
      </c>
      <c r="E371" s="202" t="s">
        <v>48</v>
      </c>
      <c r="F371" s="203">
        <f>Incendio!F38</f>
        <v>1</v>
      </c>
      <c r="G371" s="203">
        <v>139.38</v>
      </c>
      <c r="H371" s="203">
        <f t="shared" si="35"/>
        <v>178.89</v>
      </c>
      <c r="I371" s="203">
        <f t="shared" si="34"/>
        <v>178.89</v>
      </c>
    </row>
    <row r="372" spans="1:10" x14ac:dyDescent="0.25">
      <c r="A372" s="201" t="s">
        <v>1171</v>
      </c>
      <c r="B372" s="201" t="s">
        <v>1235</v>
      </c>
      <c r="C372" s="201" t="s">
        <v>36</v>
      </c>
      <c r="D372" s="201" t="s">
        <v>1236</v>
      </c>
      <c r="E372" s="202" t="s">
        <v>48</v>
      </c>
      <c r="F372" s="203">
        <f>Incendio!F39</f>
        <v>2</v>
      </c>
      <c r="G372" s="203">
        <v>87.41</v>
      </c>
      <c r="H372" s="203">
        <f t="shared" si="35"/>
        <v>112.19</v>
      </c>
      <c r="I372" s="203">
        <f t="shared" si="34"/>
        <v>224.38</v>
      </c>
    </row>
    <row r="373" spans="1:10" ht="47.25" x14ac:dyDescent="0.25">
      <c r="A373" s="201" t="s">
        <v>1172</v>
      </c>
      <c r="B373" s="201" t="s">
        <v>1237</v>
      </c>
      <c r="C373" s="201" t="s">
        <v>36</v>
      </c>
      <c r="D373" s="201" t="s">
        <v>1238</v>
      </c>
      <c r="E373" s="202" t="s">
        <v>48</v>
      </c>
      <c r="F373" s="203">
        <f>Incendio!F40</f>
        <v>1</v>
      </c>
      <c r="G373" s="203">
        <v>143.35</v>
      </c>
      <c r="H373" s="203">
        <f t="shared" si="35"/>
        <v>183.98</v>
      </c>
      <c r="I373" s="203">
        <f t="shared" si="34"/>
        <v>183.98</v>
      </c>
    </row>
    <row r="374" spans="1:10" ht="47.25" x14ac:dyDescent="0.25">
      <c r="A374" s="201" t="s">
        <v>1175</v>
      </c>
      <c r="B374" s="201" t="s">
        <v>1239</v>
      </c>
      <c r="C374" s="201" t="s">
        <v>36</v>
      </c>
      <c r="D374" s="201" t="s">
        <v>1240</v>
      </c>
      <c r="E374" s="202" t="s">
        <v>48</v>
      </c>
      <c r="F374" s="203">
        <f>Incendio!F41</f>
        <v>3</v>
      </c>
      <c r="G374" s="203">
        <v>51.32</v>
      </c>
      <c r="H374" s="203">
        <f t="shared" si="35"/>
        <v>65.86</v>
      </c>
      <c r="I374" s="203">
        <f t="shared" si="34"/>
        <v>197.58</v>
      </c>
    </row>
    <row r="375" spans="1:10" ht="47.25" x14ac:dyDescent="0.25">
      <c r="A375" s="201" t="s">
        <v>1178</v>
      </c>
      <c r="B375" s="201" t="s">
        <v>1241</v>
      </c>
      <c r="C375" s="201" t="s">
        <v>36</v>
      </c>
      <c r="D375" s="201" t="s">
        <v>1242</v>
      </c>
      <c r="E375" s="202" t="s">
        <v>48</v>
      </c>
      <c r="F375" s="203">
        <f>Incendio!F42</f>
        <v>2</v>
      </c>
      <c r="G375" s="203">
        <v>138.76</v>
      </c>
      <c r="H375" s="203">
        <f t="shared" si="35"/>
        <v>178.09</v>
      </c>
      <c r="I375" s="203">
        <f t="shared" si="34"/>
        <v>356.18</v>
      </c>
    </row>
    <row r="376" spans="1:10" ht="31.5" x14ac:dyDescent="0.25">
      <c r="A376" s="201" t="s">
        <v>1181</v>
      </c>
      <c r="B376" s="201" t="s">
        <v>1243</v>
      </c>
      <c r="C376" s="201" t="s">
        <v>10</v>
      </c>
      <c r="D376" s="201" t="s">
        <v>1244</v>
      </c>
      <c r="E376" s="202" t="s">
        <v>48</v>
      </c>
      <c r="F376" s="203">
        <f>Incendio!F43</f>
        <v>5</v>
      </c>
      <c r="G376" s="203">
        <v>118.17</v>
      </c>
      <c r="H376" s="203">
        <f t="shared" si="35"/>
        <v>151.66999999999999</v>
      </c>
      <c r="I376" s="203">
        <f t="shared" si="34"/>
        <v>758.35</v>
      </c>
    </row>
    <row r="377" spans="1:10" x14ac:dyDescent="0.25">
      <c r="A377" s="201" t="s">
        <v>1184</v>
      </c>
      <c r="B377" s="201" t="s">
        <v>1245</v>
      </c>
      <c r="C377" s="201" t="s">
        <v>36</v>
      </c>
      <c r="D377" s="201" t="s">
        <v>1246</v>
      </c>
      <c r="E377" s="202" t="s">
        <v>48</v>
      </c>
      <c r="F377" s="203">
        <f>Incendio!F44</f>
        <v>2</v>
      </c>
      <c r="G377" s="203">
        <v>215.21</v>
      </c>
      <c r="H377" s="203">
        <f t="shared" si="35"/>
        <v>276.22000000000003</v>
      </c>
      <c r="I377" s="203">
        <f t="shared" si="34"/>
        <v>552.44000000000005</v>
      </c>
    </row>
    <row r="378" spans="1:10" ht="63" x14ac:dyDescent="0.25">
      <c r="A378" s="201" t="s">
        <v>1187</v>
      </c>
      <c r="B378" s="201" t="s">
        <v>1199</v>
      </c>
      <c r="C378" s="201" t="s">
        <v>10</v>
      </c>
      <c r="D378" s="201" t="s">
        <v>1200</v>
      </c>
      <c r="E378" s="202" t="s">
        <v>48</v>
      </c>
      <c r="F378" s="203">
        <f>Incendio!F45+Incendio!F46+Incendio!F47</f>
        <v>15</v>
      </c>
      <c r="G378" s="203">
        <v>24.32</v>
      </c>
      <c r="H378" s="203">
        <f t="shared" si="35"/>
        <v>31.21</v>
      </c>
      <c r="I378" s="203">
        <f t="shared" si="34"/>
        <v>468.15</v>
      </c>
    </row>
    <row r="379" spans="1:10" ht="31.5" x14ac:dyDescent="0.25">
      <c r="A379" s="201" t="s">
        <v>1188</v>
      </c>
      <c r="B379" s="201" t="s">
        <v>1247</v>
      </c>
      <c r="C379" s="201" t="s">
        <v>36</v>
      </c>
      <c r="D379" s="201" t="s">
        <v>1248</v>
      </c>
      <c r="E379" s="202" t="s">
        <v>48</v>
      </c>
      <c r="F379" s="203">
        <f>Incendio!F49</f>
        <v>88</v>
      </c>
      <c r="G379" s="203">
        <v>31.87</v>
      </c>
      <c r="H379" s="203">
        <f t="shared" si="35"/>
        <v>40.9</v>
      </c>
      <c r="I379" s="203">
        <f t="shared" si="34"/>
        <v>3599.2</v>
      </c>
    </row>
    <row r="380" spans="1:10" ht="31.5" x14ac:dyDescent="0.25">
      <c r="A380" s="201" t="s">
        <v>1377</v>
      </c>
      <c r="B380" s="201" t="s">
        <v>1249</v>
      </c>
      <c r="C380" s="201" t="s">
        <v>10</v>
      </c>
      <c r="D380" s="201" t="s">
        <v>1250</v>
      </c>
      <c r="E380" s="202" t="s">
        <v>48</v>
      </c>
      <c r="F380" s="203">
        <f>Incendio!F51</f>
        <v>2</v>
      </c>
      <c r="G380" s="203">
        <v>5047.34</v>
      </c>
      <c r="H380" s="203">
        <f t="shared" si="35"/>
        <v>6478.26</v>
      </c>
      <c r="I380" s="203">
        <f t="shared" si="34"/>
        <v>12956.52</v>
      </c>
    </row>
    <row r="381" spans="1:10" ht="31.5" x14ac:dyDescent="0.25">
      <c r="A381" s="201" t="s">
        <v>1378</v>
      </c>
      <c r="B381" s="201" t="s">
        <v>991</v>
      </c>
      <c r="C381" s="201" t="s">
        <v>36</v>
      </c>
      <c r="D381" s="201" t="s">
        <v>992</v>
      </c>
      <c r="E381" s="202" t="s">
        <v>12</v>
      </c>
      <c r="F381" s="203">
        <f>Incendio!F53</f>
        <v>8</v>
      </c>
      <c r="G381" s="203">
        <v>19.88</v>
      </c>
      <c r="H381" s="203">
        <f t="shared" si="35"/>
        <v>25.51</v>
      </c>
      <c r="I381" s="203">
        <f t="shared" si="34"/>
        <v>204.08</v>
      </c>
    </row>
    <row r="382" spans="1:10" x14ac:dyDescent="0.25">
      <c r="A382" s="201" t="s">
        <v>1379</v>
      </c>
      <c r="B382" s="201" t="s">
        <v>1251</v>
      </c>
      <c r="C382" s="201" t="s">
        <v>10</v>
      </c>
      <c r="D382" s="201" t="s">
        <v>1252</v>
      </c>
      <c r="E382" s="202" t="s">
        <v>266</v>
      </c>
      <c r="F382" s="203">
        <f>Incendio!F54</f>
        <v>67</v>
      </c>
      <c r="G382" s="203">
        <v>84.61</v>
      </c>
      <c r="H382" s="203">
        <f t="shared" si="35"/>
        <v>108.59</v>
      </c>
      <c r="I382" s="203">
        <f t="shared" si="34"/>
        <v>7275.53</v>
      </c>
    </row>
    <row r="383" spans="1:10" s="238" customFormat="1" x14ac:dyDescent="0.25">
      <c r="A383" s="240">
        <v>23</v>
      </c>
      <c r="B383" s="236"/>
      <c r="C383" s="236"/>
      <c r="D383" s="236" t="s">
        <v>644</v>
      </c>
      <c r="E383" s="239"/>
      <c r="F383" s="237"/>
      <c r="G383" s="237"/>
      <c r="H383" s="237"/>
      <c r="I383" s="237">
        <f>SUM(I384:I388)</f>
        <v>24587.32</v>
      </c>
      <c r="J383" s="192"/>
    </row>
    <row r="384" spans="1:10" ht="31.5" x14ac:dyDescent="0.25">
      <c r="A384" s="201" t="s">
        <v>621</v>
      </c>
      <c r="B384" s="201" t="s">
        <v>647</v>
      </c>
      <c r="C384" s="201" t="s">
        <v>36</v>
      </c>
      <c r="D384" s="201" t="s">
        <v>648</v>
      </c>
      <c r="E384" s="202" t="s">
        <v>24</v>
      </c>
      <c r="F384" s="203">
        <f>Arquitetura!K1442</f>
        <v>9.6000000000000014</v>
      </c>
      <c r="G384" s="203">
        <v>348.37</v>
      </c>
      <c r="H384" s="203">
        <f t="shared" si="35"/>
        <v>447.13</v>
      </c>
      <c r="I384" s="203">
        <f t="shared" ref="I384:I388" si="36">TRUNC(H384*F384,2)</f>
        <v>4292.4399999999996</v>
      </c>
    </row>
    <row r="385" spans="1:10" ht="31.5" x14ac:dyDescent="0.25">
      <c r="A385" s="201" t="s">
        <v>624</v>
      </c>
      <c r="B385" s="201" t="s">
        <v>293</v>
      </c>
      <c r="C385" s="201" t="s">
        <v>36</v>
      </c>
      <c r="D385" s="201" t="s">
        <v>294</v>
      </c>
      <c r="E385" s="202" t="s">
        <v>48</v>
      </c>
      <c r="F385" s="203">
        <f>Arquitetura!K1466</f>
        <v>27</v>
      </c>
      <c r="G385" s="203">
        <v>49.3</v>
      </c>
      <c r="H385" s="203">
        <f t="shared" si="35"/>
        <v>63.27</v>
      </c>
      <c r="I385" s="203">
        <f t="shared" si="36"/>
        <v>1708.29</v>
      </c>
    </row>
    <row r="386" spans="1:10" x14ac:dyDescent="0.25">
      <c r="A386" s="201" t="s">
        <v>627</v>
      </c>
      <c r="B386" s="201" t="s">
        <v>645</v>
      </c>
      <c r="C386" s="201" t="s">
        <v>10</v>
      </c>
      <c r="D386" s="201" t="s">
        <v>646</v>
      </c>
      <c r="E386" s="202" t="s">
        <v>24</v>
      </c>
      <c r="F386" s="203">
        <f>Arquitetura!K1481</f>
        <v>17.77</v>
      </c>
      <c r="G386" s="203">
        <v>515.65</v>
      </c>
      <c r="H386" s="203">
        <f t="shared" si="35"/>
        <v>661.83</v>
      </c>
      <c r="I386" s="203">
        <f t="shared" si="36"/>
        <v>11760.71</v>
      </c>
    </row>
    <row r="387" spans="1:10" ht="47.25" x14ac:dyDescent="0.25">
      <c r="A387" s="201" t="s">
        <v>630</v>
      </c>
      <c r="B387" s="201" t="s">
        <v>641</v>
      </c>
      <c r="C387" s="201" t="s">
        <v>10</v>
      </c>
      <c r="D387" s="201" t="s">
        <v>642</v>
      </c>
      <c r="E387" s="202" t="s">
        <v>48</v>
      </c>
      <c r="F387" s="203">
        <f>Arquitetura!K1555</f>
        <v>68</v>
      </c>
      <c r="G387" s="203">
        <v>52.99</v>
      </c>
      <c r="H387" s="203">
        <f t="shared" si="35"/>
        <v>68.010000000000005</v>
      </c>
      <c r="I387" s="203">
        <f t="shared" si="36"/>
        <v>4624.68</v>
      </c>
    </row>
    <row r="388" spans="1:10" ht="31.5" x14ac:dyDescent="0.25">
      <c r="A388" s="201" t="s">
        <v>633</v>
      </c>
      <c r="B388" s="201" t="s">
        <v>1253</v>
      </c>
      <c r="C388" s="201" t="s">
        <v>36</v>
      </c>
      <c r="D388" s="201" t="s">
        <v>1254</v>
      </c>
      <c r="E388" s="202" t="s">
        <v>24</v>
      </c>
      <c r="F388" s="203">
        <f>Arquitetura!K1567</f>
        <v>10.959999999999999</v>
      </c>
      <c r="G388" s="203">
        <v>156.47999999999999</v>
      </c>
      <c r="H388" s="203">
        <f t="shared" si="35"/>
        <v>200.84</v>
      </c>
      <c r="I388" s="203">
        <f t="shared" si="36"/>
        <v>2201.1999999999998</v>
      </c>
    </row>
    <row r="389" spans="1:10" s="238" customFormat="1" x14ac:dyDescent="0.25">
      <c r="A389" s="240">
        <v>24</v>
      </c>
      <c r="B389" s="236"/>
      <c r="C389" s="236"/>
      <c r="D389" s="236" t="s">
        <v>636</v>
      </c>
      <c r="E389" s="239"/>
      <c r="F389" s="237"/>
      <c r="G389" s="237"/>
      <c r="H389" s="237"/>
      <c r="I389" s="237">
        <f>SUM(I390:I394)</f>
        <v>25815.51</v>
      </c>
      <c r="J389" s="192"/>
    </row>
    <row r="390" spans="1:10" ht="31.5" x14ac:dyDescent="0.25">
      <c r="A390" s="201" t="s">
        <v>637</v>
      </c>
      <c r="B390" s="201" t="s">
        <v>275</v>
      </c>
      <c r="C390" s="201" t="s">
        <v>10</v>
      </c>
      <c r="D390" s="201" t="s">
        <v>276</v>
      </c>
      <c r="E390" s="202" t="s">
        <v>48</v>
      </c>
      <c r="F390" s="203">
        <f>Arquitetura!K1582</f>
        <v>16</v>
      </c>
      <c r="G390" s="203">
        <v>238.9</v>
      </c>
      <c r="H390" s="203">
        <f t="shared" si="35"/>
        <v>306.62</v>
      </c>
      <c r="I390" s="203">
        <f t="shared" ref="I390:I394" si="37">TRUNC(H390*F390,2)</f>
        <v>4905.92</v>
      </c>
    </row>
    <row r="391" spans="1:10" ht="31.5" x14ac:dyDescent="0.25">
      <c r="A391" s="201" t="s">
        <v>638</v>
      </c>
      <c r="B391" s="201" t="s">
        <v>1255</v>
      </c>
      <c r="C391" s="201" t="s">
        <v>10</v>
      </c>
      <c r="D391" s="201" t="s">
        <v>1256</v>
      </c>
      <c r="E391" s="202" t="s">
        <v>48</v>
      </c>
      <c r="F391" s="203">
        <f>Arquitetura!K1594</f>
        <v>4</v>
      </c>
      <c r="G391" s="203">
        <v>145.9</v>
      </c>
      <c r="H391" s="203">
        <f t="shared" si="35"/>
        <v>187.26</v>
      </c>
      <c r="I391" s="203">
        <f t="shared" si="37"/>
        <v>749.04</v>
      </c>
    </row>
    <row r="392" spans="1:10" ht="31.5" x14ac:dyDescent="0.25">
      <c r="A392" s="201" t="s">
        <v>639</v>
      </c>
      <c r="B392" s="201" t="s">
        <v>279</v>
      </c>
      <c r="C392" s="201" t="s">
        <v>10</v>
      </c>
      <c r="D392" s="201" t="s">
        <v>280</v>
      </c>
      <c r="E392" s="202" t="s">
        <v>48</v>
      </c>
      <c r="F392" s="203">
        <f>Arquitetura!K1668</f>
        <v>68</v>
      </c>
      <c r="G392" s="203">
        <v>118.57</v>
      </c>
      <c r="H392" s="203">
        <f t="shared" si="35"/>
        <v>152.18</v>
      </c>
      <c r="I392" s="203">
        <f t="shared" si="37"/>
        <v>10348.24</v>
      </c>
    </row>
    <row r="393" spans="1:10" ht="31.5" x14ac:dyDescent="0.25">
      <c r="A393" s="201" t="s">
        <v>640</v>
      </c>
      <c r="B393" s="201" t="s">
        <v>277</v>
      </c>
      <c r="C393" s="201" t="s">
        <v>10</v>
      </c>
      <c r="D393" s="201" t="s">
        <v>278</v>
      </c>
      <c r="E393" s="202" t="s">
        <v>24</v>
      </c>
      <c r="F393" s="203">
        <f>Arquitetura!K1672</f>
        <v>35.85</v>
      </c>
      <c r="G393" s="203">
        <v>174.98</v>
      </c>
      <c r="H393" s="203">
        <f t="shared" si="35"/>
        <v>224.58</v>
      </c>
      <c r="I393" s="203">
        <f t="shared" si="37"/>
        <v>8051.19</v>
      </c>
    </row>
    <row r="394" spans="1:10" ht="31.5" x14ac:dyDescent="0.25">
      <c r="A394" s="201" t="s">
        <v>643</v>
      </c>
      <c r="B394" s="201" t="s">
        <v>1257</v>
      </c>
      <c r="C394" s="201" t="s">
        <v>36</v>
      </c>
      <c r="D394" s="201" t="s">
        <v>1258</v>
      </c>
      <c r="E394" s="202" t="s">
        <v>48</v>
      </c>
      <c r="F394" s="203">
        <f>Arquitetura!K1675</f>
        <v>8</v>
      </c>
      <c r="G394" s="203">
        <v>171.52</v>
      </c>
      <c r="H394" s="203">
        <f t="shared" si="35"/>
        <v>220.14</v>
      </c>
      <c r="I394" s="203">
        <f t="shared" si="37"/>
        <v>1761.12</v>
      </c>
    </row>
    <row r="395" spans="1:10" s="238" customFormat="1" x14ac:dyDescent="0.25">
      <c r="A395" s="240">
        <v>25</v>
      </c>
      <c r="B395" s="236"/>
      <c r="C395" s="236"/>
      <c r="D395" s="236" t="s">
        <v>295</v>
      </c>
      <c r="E395" s="239"/>
      <c r="F395" s="237"/>
      <c r="G395" s="237"/>
      <c r="H395" s="237"/>
      <c r="I395" s="237">
        <f>SUM(I396)</f>
        <v>7299.65</v>
      </c>
      <c r="J395" s="192"/>
    </row>
    <row r="396" spans="1:10" x14ac:dyDescent="0.25">
      <c r="A396" s="201" t="s">
        <v>700</v>
      </c>
      <c r="B396" s="201" t="s">
        <v>299</v>
      </c>
      <c r="C396" s="201" t="s">
        <v>36</v>
      </c>
      <c r="D396" s="201" t="s">
        <v>300</v>
      </c>
      <c r="E396" s="202" t="s">
        <v>24</v>
      </c>
      <c r="F396" s="203">
        <v>2056.2399999999998</v>
      </c>
      <c r="G396" s="203">
        <v>2.77</v>
      </c>
      <c r="H396" s="203">
        <f t="shared" si="35"/>
        <v>3.55</v>
      </c>
      <c r="I396" s="203">
        <f t="shared" ref="I396" si="38">TRUNC(H396*F396,2)</f>
        <v>7299.65</v>
      </c>
    </row>
    <row r="397" spans="1:10" x14ac:dyDescent="0.25">
      <c r="A397" s="550" t="s">
        <v>81</v>
      </c>
      <c r="B397" s="550"/>
      <c r="C397" s="550"/>
      <c r="D397" s="550"/>
      <c r="E397" s="550"/>
      <c r="F397" s="550"/>
      <c r="G397" s="550"/>
      <c r="H397" s="550"/>
      <c r="I397" s="241">
        <f>I7+I9+I11+I25+I35+I37+I40+I55+I68+I76+I85+I97+I99+I104+I106+I117+I122+I128+I202+I237+I300+I340+I383+I389+I395</f>
        <v>2012727.9699999995</v>
      </c>
    </row>
    <row r="398" spans="1:10" x14ac:dyDescent="0.25">
      <c r="A398" s="551" t="s">
        <v>2006</v>
      </c>
      <c r="B398" s="551"/>
      <c r="C398" s="551"/>
      <c r="D398" s="551"/>
      <c r="E398" s="551"/>
      <c r="F398" s="551"/>
      <c r="G398" s="551"/>
      <c r="H398" s="551"/>
      <c r="I398" s="551"/>
    </row>
  </sheetData>
  <mergeCells count="10">
    <mergeCell ref="A397:H397"/>
    <mergeCell ref="A398:I398"/>
    <mergeCell ref="A4:B4"/>
    <mergeCell ref="C4:D4"/>
    <mergeCell ref="A1:D1"/>
    <mergeCell ref="H1:I1"/>
    <mergeCell ref="A2:D2"/>
    <mergeCell ref="H2:I2"/>
    <mergeCell ref="A3:B3"/>
    <mergeCell ref="A5:I5"/>
  </mergeCells>
  <conditionalFormatting sqref="H8:I8 H10:I10 H12:I24 H26:I34 H36:I36 H38:I39 H41:I54 H56:I67 H69:I75 H77:I84 H86:I96 H98:I98 H100:I103 H105:I105 H107:I116 H118:I121 H123:I127 H129:I201 H203:I236 H238:I299 H301:I339 H384:I388 H390:I394 H396:I396 A341:I382">
    <cfRule type="expression" dxfId="5" priority="1">
      <formula>EVEN(ROW())=ROW()</formula>
    </cfRule>
    <cfRule type="expression" dxfId="4" priority="2">
      <formula>EVEN((lin))=ROW()</formula>
    </cfRule>
  </conditionalFormatting>
  <conditionalFormatting sqref="A8:G8 A396:G396 A105:G105 A98:G98 A38:G39 A36:G36 A10:G10 A12:G24 A26:G34 A69:G75 A77:G84 A100:G103 A107:G116 A118:G121 A123:G127 A384:G388 A390:G394 A86:G96 A41:G54 A56:G67 A129:G201 A203:G236 A238:G299 A301:G339">
    <cfRule type="expression" dxfId="3" priority="3">
      <formula>EVEN(ROW())=ROW()</formula>
    </cfRule>
    <cfRule type="expression" dxfId="2" priority="4">
      <formula>EVEN((lin))=ROW()</formula>
    </cfRule>
  </conditionalFormatting>
  <pageMargins left="0.70866141732283472" right="0.70866141732283472" top="0.94488188976377963" bottom="0.74803149606299213" header="0.31496062992125984" footer="0.31496062992125984"/>
  <pageSetup paperSize="9" scale="57" orientation="portrait" r:id="rId1"/>
  <headerFooter>
    <oddHeader>&amp;L&amp;G&amp;R&amp;G</oddHeader>
    <oddFooter>&amp;L&amp;9&amp;K01+047Superintendência Administrativa
Coordenadoria de Obras e Reformas.
Fone: 3613 5474 / 5431 – geobras@ses.mt.gov.br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G93"/>
  <sheetViews>
    <sheetView showGridLines="0" showWhiteSpace="0" view="pageBreakPreview" zoomScale="96" zoomScaleNormal="100" zoomScaleSheetLayoutView="96" workbookViewId="0">
      <selection activeCell="G9" sqref="G9"/>
    </sheetView>
  </sheetViews>
  <sheetFormatPr defaultColWidth="9.125" defaultRowHeight="12.75" outlineLevelRow="1" x14ac:dyDescent="0.25"/>
  <cols>
    <col min="1" max="1" width="10.75" style="21" customWidth="1"/>
    <col min="2" max="2" width="55.875" style="18" customWidth="1"/>
    <col min="3" max="3" width="12.75" style="18" customWidth="1"/>
    <col min="4" max="4" width="13" style="21" bestFit="1" customWidth="1"/>
    <col min="5" max="5" width="11.125" style="18" customWidth="1"/>
    <col min="6" max="6" width="9.125" style="18"/>
    <col min="7" max="7" width="20.75" style="57" customWidth="1"/>
    <col min="8" max="16384" width="9.125" style="18"/>
  </cols>
  <sheetData>
    <row r="1" spans="1:7" ht="25.5" customHeight="1" x14ac:dyDescent="0.25">
      <c r="A1" s="17" t="s">
        <v>150</v>
      </c>
      <c r="B1" s="561" t="s">
        <v>3059</v>
      </c>
      <c r="C1" s="561"/>
      <c r="D1" s="561"/>
    </row>
    <row r="2" spans="1:7" s="39" customFormat="1" x14ac:dyDescent="0.25">
      <c r="A2" s="50" t="s">
        <v>151</v>
      </c>
      <c r="B2" s="51" t="str">
        <f>'Planilha Orçamentária '!C3</f>
        <v>Cuiabá-MT</v>
      </c>
      <c r="C2" s="51"/>
      <c r="D2" s="52"/>
      <c r="G2" s="123"/>
    </row>
    <row r="3" spans="1:7" s="39" customFormat="1" x14ac:dyDescent="0.25">
      <c r="A3" s="53" t="s">
        <v>154</v>
      </c>
      <c r="B3" s="54" t="s">
        <v>3060</v>
      </c>
      <c r="C3" s="54"/>
      <c r="D3" s="55"/>
      <c r="G3" s="123"/>
    </row>
    <row r="4" spans="1:7" x14ac:dyDescent="0.25">
      <c r="A4" s="19" t="s">
        <v>152</v>
      </c>
      <c r="B4" s="23">
        <f>'Planilha Orçamentária '!F2</f>
        <v>0.28349999999999997</v>
      </c>
      <c r="C4" s="22"/>
      <c r="D4" s="56"/>
    </row>
    <row r="5" spans="1:7" x14ac:dyDescent="0.25">
      <c r="A5" s="19" t="s">
        <v>165</v>
      </c>
      <c r="B5" s="385" t="str">
        <f>'Planilha Orçamentária '!H4</f>
        <v>SINAPI - 07/2018 - MT</v>
      </c>
      <c r="C5" s="22" t="s">
        <v>166</v>
      </c>
      <c r="D5" s="57" t="s">
        <v>820</v>
      </c>
    </row>
    <row r="6" spans="1:7" ht="13.5" thickBot="1" x14ac:dyDescent="0.3">
      <c r="A6" s="26"/>
      <c r="B6" s="58"/>
      <c r="C6" s="187" t="s">
        <v>819</v>
      </c>
      <c r="D6" s="208">
        <f>D34/2056.24</f>
        <v>978.83903143601901</v>
      </c>
    </row>
    <row r="7" spans="1:7" ht="13.5" thickTop="1" x14ac:dyDescent="0.25">
      <c r="A7" s="562" t="s">
        <v>167</v>
      </c>
      <c r="B7" s="562"/>
      <c r="C7" s="562"/>
      <c r="D7" s="562"/>
    </row>
    <row r="8" spans="1:7" s="21" customFormat="1" x14ac:dyDescent="0.25">
      <c r="A8" s="59" t="s">
        <v>157</v>
      </c>
      <c r="B8" s="59" t="s">
        <v>84</v>
      </c>
      <c r="C8" s="60" t="s">
        <v>159</v>
      </c>
      <c r="D8" s="129" t="s">
        <v>158</v>
      </c>
      <c r="G8" s="57"/>
    </row>
    <row r="9" spans="1:7" s="21" customFormat="1" outlineLevel="1" x14ac:dyDescent="0.25">
      <c r="A9" s="186" t="str">
        <f>'Planilha Orçamentária '!A7</f>
        <v>1</v>
      </c>
      <c r="B9" s="186" t="str">
        <f>'Planilha Orçamentária '!D7</f>
        <v>ADMINISTRAÇÃO DE OBRA</v>
      </c>
      <c r="C9" s="61">
        <f t="shared" ref="C9:C33" si="0">D9/$D$34</f>
        <v>6.0807859693031457E-2</v>
      </c>
      <c r="D9" s="384">
        <f>'Planilha Orçamentária '!I7</f>
        <v>122389.68</v>
      </c>
      <c r="G9" s="57"/>
    </row>
    <row r="10" spans="1:7" s="21" customFormat="1" outlineLevel="1" x14ac:dyDescent="0.25">
      <c r="A10" s="186" t="str">
        <f>'Planilha Orçamentária '!A9</f>
        <v>2</v>
      </c>
      <c r="B10" s="186" t="str">
        <f>'Planilha Orçamentária '!D9</f>
        <v>SERVIÇOS TÉCNICOS</v>
      </c>
      <c r="C10" s="61">
        <f t="shared" si="0"/>
        <v>1.9130752180087213E-3</v>
      </c>
      <c r="D10" s="384">
        <f>'Planilha Orçamentária '!I9</f>
        <v>3850.5</v>
      </c>
      <c r="E10" s="62"/>
      <c r="G10" s="57"/>
    </row>
    <row r="11" spans="1:7" outlineLevel="1" x14ac:dyDescent="0.25">
      <c r="A11" s="186" t="str">
        <f>'Planilha Orçamentária '!A11</f>
        <v>3</v>
      </c>
      <c r="B11" s="186" t="str">
        <f>'Planilha Orçamentária '!D11</f>
        <v>SERVIÇOS PRELIMINARES</v>
      </c>
      <c r="C11" s="61">
        <f t="shared" si="0"/>
        <v>3.2917478659572674E-2</v>
      </c>
      <c r="D11" s="384">
        <f>'Planilha Orçamentária '!I11</f>
        <v>66253.930000000008</v>
      </c>
      <c r="E11" s="62"/>
    </row>
    <row r="12" spans="1:7" outlineLevel="1" x14ac:dyDescent="0.25">
      <c r="A12" s="186" t="str">
        <f>'Planilha Orçamentária '!A25</f>
        <v>4</v>
      </c>
      <c r="B12" s="186" t="str">
        <f>'Planilha Orçamentária '!D25</f>
        <v>INSTALAÇÕES PROVISÓRIAS</v>
      </c>
      <c r="C12" s="61">
        <f t="shared" si="0"/>
        <v>2.0849051946150485E-2</v>
      </c>
      <c r="D12" s="384">
        <f>'Planilha Orçamentária '!I25</f>
        <v>41963.47</v>
      </c>
      <c r="E12" s="62"/>
    </row>
    <row r="13" spans="1:7" outlineLevel="1" x14ac:dyDescent="0.25">
      <c r="A13" s="186" t="str">
        <f>'Planilha Orçamentária '!A35</f>
        <v>5</v>
      </c>
      <c r="B13" s="186" t="str">
        <f>'Planilha Orçamentária '!D35</f>
        <v>MÁQUINAS E FERRAMENTAS</v>
      </c>
      <c r="C13" s="61">
        <f t="shared" si="0"/>
        <v>5.1353189075024387E-4</v>
      </c>
      <c r="D13" s="384">
        <f>'Planilha Orçamentária '!I35</f>
        <v>1033.5999999999999</v>
      </c>
      <c r="E13" s="63"/>
    </row>
    <row r="14" spans="1:7" outlineLevel="1" x14ac:dyDescent="0.25">
      <c r="A14" s="186" t="str">
        <f>'Planilha Orçamentária '!A37</f>
        <v>6</v>
      </c>
      <c r="B14" s="186" t="str">
        <f>'Planilha Orçamentária '!D37</f>
        <v>LIMPEZA DA OBRA</v>
      </c>
      <c r="C14" s="61">
        <f t="shared" si="0"/>
        <v>1.1378562002097085E-2</v>
      </c>
      <c r="D14" s="384">
        <f>'Planilha Orçamentária '!I37</f>
        <v>22901.949999999997</v>
      </c>
      <c r="E14" s="63"/>
    </row>
    <row r="15" spans="1:7" outlineLevel="1" x14ac:dyDescent="0.25">
      <c r="A15" s="186">
        <f>'Planilha Orçamentária '!A40</f>
        <v>7</v>
      </c>
      <c r="B15" s="186" t="str">
        <f>'Planilha Orçamentária '!D40</f>
        <v>INFRA-ESTRUTURA</v>
      </c>
      <c r="C15" s="61">
        <f t="shared" si="0"/>
        <v>2.2038383060776965E-2</v>
      </c>
      <c r="D15" s="384">
        <f>'Planilha Orçamentária '!I40</f>
        <v>44357.27</v>
      </c>
      <c r="E15" s="63"/>
    </row>
    <row r="16" spans="1:7" outlineLevel="1" x14ac:dyDescent="0.25">
      <c r="A16" s="186">
        <f>'Planilha Orçamentária '!A55</f>
        <v>8</v>
      </c>
      <c r="B16" s="186" t="str">
        <f>'Planilha Orçamentária '!D55</f>
        <v>SUPER-ESTRUTURA</v>
      </c>
      <c r="C16" s="61">
        <f t="shared" si="0"/>
        <v>3.2725952528994774E-2</v>
      </c>
      <c r="D16" s="384">
        <f>'Planilha Orçamentária '!I55</f>
        <v>65868.44</v>
      </c>
      <c r="E16" s="63"/>
    </row>
    <row r="17" spans="1:7" outlineLevel="1" x14ac:dyDescent="0.25">
      <c r="A17" s="186">
        <f>'Planilha Orçamentária '!A68</f>
        <v>9</v>
      </c>
      <c r="B17" s="186" t="str">
        <f>'Planilha Orçamentária '!D68</f>
        <v>ALVENARIAS E DIVISÓRIAS</v>
      </c>
      <c r="C17" s="61">
        <f t="shared" si="0"/>
        <v>3.6960802010417744E-2</v>
      </c>
      <c r="D17" s="384">
        <f>'Planilha Orçamentária '!I68</f>
        <v>74392.040000000008</v>
      </c>
      <c r="E17" s="63"/>
    </row>
    <row r="18" spans="1:7" outlineLevel="1" x14ac:dyDescent="0.25">
      <c r="A18" s="186">
        <f>'Planilha Orçamentária '!A76</f>
        <v>10</v>
      </c>
      <c r="B18" s="186" t="str">
        <f>'Planilha Orçamentária '!D76</f>
        <v>ESQUADRIA E FERRAGENS</v>
      </c>
      <c r="C18" s="61">
        <f t="shared" si="0"/>
        <v>5.4215384108762608E-2</v>
      </c>
      <c r="D18" s="384">
        <f>'Planilha Orçamentária '!I76</f>
        <v>109120.81999999999</v>
      </c>
      <c r="E18" s="63"/>
    </row>
    <row r="19" spans="1:7" outlineLevel="1" x14ac:dyDescent="0.25">
      <c r="A19" s="186">
        <f>'Planilha Orçamentária '!A85</f>
        <v>11</v>
      </c>
      <c r="B19" s="186" t="str">
        <f>'Planilha Orçamentária '!D85</f>
        <v>COBERTURA</v>
      </c>
      <c r="C19" s="61">
        <f t="shared" si="0"/>
        <v>2.7313656301005251E-2</v>
      </c>
      <c r="D19" s="384">
        <f>'Planilha Orçamentária '!I85</f>
        <v>54974.959999999992</v>
      </c>
      <c r="E19" s="63"/>
      <c r="G19" s="124"/>
    </row>
    <row r="20" spans="1:7" outlineLevel="1" x14ac:dyDescent="0.25">
      <c r="A20" s="186">
        <f>'Planilha Orçamentária '!A97</f>
        <v>12</v>
      </c>
      <c r="B20" s="186" t="str">
        <f>'Planilha Orçamentária '!D97</f>
        <v>IMPERMEABILIZAÇÃO</v>
      </c>
      <c r="C20" s="61">
        <f t="shared" si="0"/>
        <v>1.7426021063343202E-2</v>
      </c>
      <c r="D20" s="384">
        <f>'Planilha Orçamentária '!I97</f>
        <v>35073.839999999997</v>
      </c>
      <c r="E20" s="63"/>
      <c r="G20" s="124"/>
    </row>
    <row r="21" spans="1:7" outlineLevel="1" x14ac:dyDescent="0.25">
      <c r="A21" s="186">
        <f>'Planilha Orçamentária '!A99</f>
        <v>13</v>
      </c>
      <c r="B21" s="186" t="str">
        <f>'Planilha Orçamentária '!D99</f>
        <v>REVESTIMENTO</v>
      </c>
      <c r="C21" s="61">
        <f t="shared" si="0"/>
        <v>5.3632553235696337E-2</v>
      </c>
      <c r="D21" s="384">
        <f>'Planilha Orçamentária '!I99</f>
        <v>107947.73999999999</v>
      </c>
      <c r="E21" s="63"/>
      <c r="G21" s="124"/>
    </row>
    <row r="22" spans="1:7" outlineLevel="1" x14ac:dyDescent="0.25">
      <c r="A22" s="186">
        <f>'Planilha Orçamentária '!A104</f>
        <v>14</v>
      </c>
      <c r="B22" s="186" t="str">
        <f>'Planilha Orçamentária '!D104</f>
        <v>FORRO</v>
      </c>
      <c r="C22" s="61">
        <f t="shared" si="0"/>
        <v>4.2155473200881696E-3</v>
      </c>
      <c r="D22" s="384">
        <f>'Planilha Orçamentária '!I104</f>
        <v>8484.75</v>
      </c>
      <c r="E22" s="63"/>
      <c r="G22" s="124"/>
    </row>
    <row r="23" spans="1:7" outlineLevel="1" x14ac:dyDescent="0.25">
      <c r="A23" s="186">
        <f>'Planilha Orçamentária '!A106</f>
        <v>15</v>
      </c>
      <c r="B23" s="186" t="str">
        <f>'Planilha Orçamentária '!D106</f>
        <v>PINTURA</v>
      </c>
      <c r="C23" s="61">
        <f t="shared" si="0"/>
        <v>7.0255827964670267E-2</v>
      </c>
      <c r="D23" s="384">
        <f>'Planilha Orçamentária '!I106</f>
        <v>141405.87</v>
      </c>
      <c r="E23" s="63"/>
    </row>
    <row r="24" spans="1:7" outlineLevel="1" x14ac:dyDescent="0.25">
      <c r="A24" s="186">
        <f>'Planilha Orçamentária '!A117</f>
        <v>16</v>
      </c>
      <c r="B24" s="186" t="str">
        <f>'Planilha Orçamentária '!D117</f>
        <v>PAVIMENTAÇÕES</v>
      </c>
      <c r="C24" s="61">
        <f t="shared" si="0"/>
        <v>7.2005716699013234E-2</v>
      </c>
      <c r="D24" s="384">
        <f>'Planilha Orçamentária '!I117</f>
        <v>144927.91999999998</v>
      </c>
      <c r="E24" s="63"/>
    </row>
    <row r="25" spans="1:7" outlineLevel="1" x14ac:dyDescent="0.25">
      <c r="A25" s="186">
        <f>'Planilha Orçamentária '!A122</f>
        <v>17</v>
      </c>
      <c r="B25" s="186" t="str">
        <f>'Planilha Orçamentária '!D122</f>
        <v>LOUÇAS E METAIS</v>
      </c>
      <c r="C25" s="61">
        <f t="shared" si="0"/>
        <v>1.547995579352932E-2</v>
      </c>
      <c r="D25" s="384">
        <f>'Planilha Orçamentária '!I122</f>
        <v>31156.940000000002</v>
      </c>
      <c r="E25" s="63"/>
    </row>
    <row r="26" spans="1:7" outlineLevel="1" x14ac:dyDescent="0.25">
      <c r="A26" s="186">
        <f>'Planilha Orçamentária '!A128</f>
        <v>18</v>
      </c>
      <c r="B26" s="186" t="str">
        <f>'Planilha Orçamentária '!D128</f>
        <v>INSTALAÇÕES HIDROSSANITÁRIAS</v>
      </c>
      <c r="C26" s="61">
        <f t="shared" si="0"/>
        <v>2.3499931786608998E-2</v>
      </c>
      <c r="D26" s="384">
        <f>'Planilha Orçamentária '!I128</f>
        <v>47298.969999999994</v>
      </c>
      <c r="E26" s="63"/>
      <c r="G26" s="124"/>
    </row>
    <row r="27" spans="1:7" outlineLevel="1" x14ac:dyDescent="0.25">
      <c r="A27" s="186">
        <f>'Planilha Orçamentária '!A202</f>
        <v>19</v>
      </c>
      <c r="B27" s="186" t="str">
        <f>'Planilha Orçamentária '!D202</f>
        <v>DRENAGEM</v>
      </c>
      <c r="C27" s="61">
        <f t="shared" si="0"/>
        <v>4.2861380815411451E-2</v>
      </c>
      <c r="D27" s="384">
        <f>'Planilha Orçamentária '!I202</f>
        <v>86268.300000000017</v>
      </c>
      <c r="E27" s="63"/>
    </row>
    <row r="28" spans="1:7" s="21" customFormat="1" outlineLevel="1" x14ac:dyDescent="0.25">
      <c r="A28" s="186">
        <f>'Planilha Orçamentária '!A237</f>
        <v>20</v>
      </c>
      <c r="B28" s="186" t="str">
        <f>'Planilha Orçamentária '!D237</f>
        <v>INSTALAÇÕES ELÉTRICAS</v>
      </c>
      <c r="C28" s="61">
        <f t="shared" si="0"/>
        <v>0.22689383603090688</v>
      </c>
      <c r="D28" s="384">
        <f>'Planilha Orçamentária '!I237</f>
        <v>456675.56999999995</v>
      </c>
      <c r="G28" s="142"/>
    </row>
    <row r="29" spans="1:7" s="21" customFormat="1" outlineLevel="1" x14ac:dyDescent="0.25">
      <c r="A29" s="186">
        <f>'Planilha Orçamentária '!A300</f>
        <v>21</v>
      </c>
      <c r="B29" s="186" t="str">
        <f>'Planilha Orçamentária '!D300</f>
        <v>LÓGICA</v>
      </c>
      <c r="C29" s="61">
        <f t="shared" si="0"/>
        <v>9.6875888299997145E-2</v>
      </c>
      <c r="D29" s="384">
        <f>'Planilha Orçamentária '!I300</f>
        <v>194984.80999999997</v>
      </c>
      <c r="E29" s="62"/>
      <c r="G29" s="142"/>
    </row>
    <row r="30" spans="1:7" outlineLevel="1" x14ac:dyDescent="0.25">
      <c r="A30" s="186">
        <f>'Planilha Orçamentária '!A340</f>
        <v>22</v>
      </c>
      <c r="B30" s="186" t="str">
        <f>'Planilha Orçamentária '!D340</f>
        <v>PREVENÇÃO E COMBATE A INCÊNDIO</v>
      </c>
      <c r="C30" s="61">
        <f t="shared" si="0"/>
        <v>4.6550811334926695E-2</v>
      </c>
      <c r="D30" s="384">
        <f>'Planilha Orçamentária '!I340</f>
        <v>93694.119999999981</v>
      </c>
      <c r="E30" s="62"/>
      <c r="G30" s="142"/>
    </row>
    <row r="31" spans="1:7" outlineLevel="1" x14ac:dyDescent="0.25">
      <c r="A31" s="186">
        <f>'Planilha Orçamentária '!A383</f>
        <v>23</v>
      </c>
      <c r="B31" s="186" t="str">
        <f>'Planilha Orçamentária '!D383</f>
        <v>SERVIÇOS COMPLEMENTARES</v>
      </c>
      <c r="C31" s="61">
        <f t="shared" si="0"/>
        <v>1.2215918080574002E-2</v>
      </c>
      <c r="D31" s="384">
        <f>'Planilha Orçamentária '!I383</f>
        <v>24587.32</v>
      </c>
      <c r="E31" s="62"/>
      <c r="G31" s="142"/>
    </row>
    <row r="32" spans="1:7" outlineLevel="1" x14ac:dyDescent="0.25">
      <c r="A32" s="186">
        <f>'Planilha Orçamentária '!A389</f>
        <v>24</v>
      </c>
      <c r="B32" s="186" t="str">
        <f>'Planilha Orçamentária '!D389</f>
        <v>ACESSIBILIDADE</v>
      </c>
      <c r="C32" s="61">
        <f t="shared" si="0"/>
        <v>1.2826129702962296E-2</v>
      </c>
      <c r="D32" s="384">
        <f>'Planilha Orçamentária '!I389</f>
        <v>25815.51</v>
      </c>
      <c r="E32" s="63"/>
      <c r="G32" s="142"/>
    </row>
    <row r="33" spans="1:7" ht="13.5" outlineLevel="1" thickBot="1" x14ac:dyDescent="0.3">
      <c r="A33" s="186">
        <f>'Planilha Orçamentária '!A395</f>
        <v>25</v>
      </c>
      <c r="B33" s="186" t="str">
        <f>'Planilha Orçamentária '!D395</f>
        <v>LIMPEZA FINAL DE OBRA</v>
      </c>
      <c r="C33" s="61">
        <f t="shared" si="0"/>
        <v>3.6267444527041583E-3</v>
      </c>
      <c r="D33" s="384">
        <f>'Planilha Orçamentária '!I395</f>
        <v>7299.65</v>
      </c>
      <c r="E33" s="63"/>
      <c r="G33" s="142"/>
    </row>
    <row r="34" spans="1:7" ht="13.5" thickTop="1" x14ac:dyDescent="0.25">
      <c r="A34" s="64"/>
      <c r="B34" s="65" t="s">
        <v>163</v>
      </c>
      <c r="C34" s="66">
        <f>SUM(C9:C33)</f>
        <v>1</v>
      </c>
      <c r="D34" s="67">
        <f>SUM(D9:D33)</f>
        <v>2012727.9699999995</v>
      </c>
    </row>
    <row r="35" spans="1:7" x14ac:dyDescent="0.25">
      <c r="A35" s="563" t="str">
        <f>'Planilha Orçamentária '!A398:I398</f>
        <v>(Dois milhões, doze mil setecentos e vinte e sete reais e noventa e sete centavos)</v>
      </c>
      <c r="B35" s="564"/>
      <c r="C35" s="564"/>
      <c r="D35" s="564"/>
    </row>
    <row r="36" spans="1:7" x14ac:dyDescent="0.25">
      <c r="A36" s="68"/>
      <c r="B36" s="68"/>
      <c r="C36" s="68"/>
      <c r="D36" s="69"/>
    </row>
    <row r="37" spans="1:7" x14ac:dyDescent="0.25">
      <c r="A37" s="18"/>
      <c r="D37" s="18"/>
    </row>
    <row r="38" spans="1:7" x14ac:dyDescent="0.25">
      <c r="A38" s="18"/>
      <c r="D38" s="18"/>
    </row>
    <row r="47" spans="1:7" x14ac:dyDescent="0.25">
      <c r="A47" s="18"/>
      <c r="D47" s="18"/>
    </row>
    <row r="48" spans="1:7" x14ac:dyDescent="0.25">
      <c r="A48" s="18"/>
      <c r="D48" s="18"/>
    </row>
    <row r="63" spans="1:4" x14ac:dyDescent="0.25">
      <c r="A63" s="18"/>
      <c r="D63" s="18"/>
    </row>
    <row r="64" spans="1:4" x14ac:dyDescent="0.25">
      <c r="A64" s="18"/>
      <c r="D64" s="18"/>
    </row>
    <row r="83" spans="3:4" x14ac:dyDescent="0.25">
      <c r="C83" s="70"/>
      <c r="D83" s="70"/>
    </row>
    <row r="84" spans="3:4" x14ac:dyDescent="0.25">
      <c r="C84" s="70"/>
      <c r="D84" s="70"/>
    </row>
    <row r="85" spans="3:4" x14ac:dyDescent="0.25">
      <c r="C85" s="70"/>
      <c r="D85" s="70"/>
    </row>
    <row r="86" spans="3:4" x14ac:dyDescent="0.25">
      <c r="C86" s="70"/>
      <c r="D86" s="71"/>
    </row>
    <row r="87" spans="3:4" x14ac:dyDescent="0.25">
      <c r="C87" s="70"/>
      <c r="D87" s="71"/>
    </row>
    <row r="88" spans="3:4" x14ac:dyDescent="0.25">
      <c r="C88" s="70"/>
      <c r="D88" s="71"/>
    </row>
    <row r="89" spans="3:4" x14ac:dyDescent="0.25">
      <c r="C89" s="70"/>
      <c r="D89" s="71"/>
    </row>
    <row r="90" spans="3:4" x14ac:dyDescent="0.25">
      <c r="C90" s="70"/>
      <c r="D90" s="71"/>
    </row>
    <row r="91" spans="3:4" x14ac:dyDescent="0.25">
      <c r="C91" s="70"/>
      <c r="D91" s="71"/>
    </row>
    <row r="92" spans="3:4" x14ac:dyDescent="0.25">
      <c r="C92" s="70"/>
      <c r="D92" s="71"/>
    </row>
    <row r="93" spans="3:4" x14ac:dyDescent="0.25">
      <c r="C93" s="70"/>
      <c r="D93" s="71"/>
    </row>
  </sheetData>
  <mergeCells count="3">
    <mergeCell ref="B1:D1"/>
    <mergeCell ref="A7:D7"/>
    <mergeCell ref="A35:D35"/>
  </mergeCells>
  <pageMargins left="0.51181102362204722" right="0.51181102362204722" top="1.1811023622047245" bottom="0.9055118110236221" header="0.31496062992125984" footer="0.31496062992125984"/>
  <pageSetup paperSize="9" scale="95" orientation="portrait" r:id="rId1"/>
  <headerFooter>
    <oddHeader>&amp;L&amp;G&amp;R&amp;G</oddHeader>
    <oddFooter xml:space="preserve">&amp;L&amp;9&amp;K00-045
Superintendência Administrativa
Coordenadoria de Obras e Reformas.
Fone: 3613 5474 / 5431 – geobras@ses.mt.gov.br&amp;C&amp;9&amp;K00-045&amp;P / &amp;N&amp;R&amp;7&amp;K00-045&amp;A
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showGridLines="0" view="pageBreakPreview" zoomScale="90" zoomScaleNormal="60" zoomScaleSheetLayoutView="90" zoomScalePageLayoutView="70" workbookViewId="0">
      <selection activeCell="D4" sqref="D4"/>
    </sheetView>
  </sheetViews>
  <sheetFormatPr defaultColWidth="9.125" defaultRowHeight="12.75" x14ac:dyDescent="0.25"/>
  <cols>
    <col min="1" max="1" width="10.125" style="21" bestFit="1" customWidth="1"/>
    <col min="2" max="2" width="21.75" style="18" bestFit="1" customWidth="1"/>
    <col min="3" max="3" width="14.25" style="21" bestFit="1" customWidth="1"/>
    <col min="4" max="4" width="10.625" style="49" customWidth="1"/>
    <col min="5" max="5" width="13.375" style="18" customWidth="1"/>
    <col min="6" max="6" width="12" style="18" customWidth="1"/>
    <col min="7" max="7" width="14.25" style="18" customWidth="1"/>
    <col min="8" max="8" width="11.75" style="18" customWidth="1"/>
    <col min="9" max="9" width="12.625" style="18" customWidth="1"/>
    <col min="10" max="10" width="9.375" style="18" customWidth="1"/>
    <col min="11" max="11" width="12.625" style="18" customWidth="1"/>
    <col min="12" max="12" width="9.125" style="18" customWidth="1"/>
    <col min="13" max="13" width="13.375" style="18" customWidth="1"/>
    <col min="14" max="14" width="12" style="18" customWidth="1"/>
    <col min="15" max="15" width="14.25" style="18" customWidth="1"/>
    <col min="16" max="16" width="11.75" style="18" customWidth="1"/>
    <col min="17" max="17" width="12.625" style="18" customWidth="1"/>
    <col min="18" max="18" width="9.375" style="18" customWidth="1"/>
    <col min="19" max="19" width="12.625" style="18" customWidth="1"/>
    <col min="20" max="20" width="9.125" style="18" customWidth="1"/>
    <col min="21" max="21" width="12.625" style="18" customWidth="1"/>
    <col min="22" max="22" width="9.125" style="18" customWidth="1"/>
    <col min="23" max="23" width="12.625" style="18" customWidth="1"/>
    <col min="24" max="24" width="9.125" style="18" customWidth="1"/>
    <col min="25" max="16384" width="9.125" style="18"/>
  </cols>
  <sheetData>
    <row r="1" spans="1:24" x14ac:dyDescent="0.25">
      <c r="A1" s="17" t="s">
        <v>150</v>
      </c>
      <c r="B1" s="570" t="str">
        <f>RESUMO!B1</f>
        <v>Reforma e adequação do antigo CRIDAC para novas instalações do CEOPE, Farmácia de Alto Custo e Escritório Regional de Saúde de Cuiabá.</v>
      </c>
      <c r="C1" s="570"/>
      <c r="D1" s="570"/>
      <c r="E1" s="570"/>
      <c r="F1" s="570"/>
      <c r="G1" s="570"/>
      <c r="H1" s="570"/>
      <c r="I1" s="570"/>
      <c r="J1" s="570"/>
    </row>
    <row r="2" spans="1:24" x14ac:dyDescent="0.25">
      <c r="A2" s="19" t="s">
        <v>151</v>
      </c>
      <c r="B2" s="20" t="str">
        <f>RESUMO!B2</f>
        <v>Cuiabá-MT</v>
      </c>
      <c r="C2" s="22" t="s">
        <v>152</v>
      </c>
      <c r="D2" s="23">
        <f>RESUMO!B4</f>
        <v>0.28349999999999997</v>
      </c>
      <c r="E2" s="24" t="s">
        <v>153</v>
      </c>
      <c r="F2" s="567" t="str">
        <f>RESUMO!B5</f>
        <v>SINAPI - 07/2018 - MT</v>
      </c>
      <c r="G2" s="567"/>
      <c r="M2" s="24"/>
      <c r="N2" s="567"/>
      <c r="O2" s="567"/>
    </row>
    <row r="3" spans="1:24" ht="25.5" x14ac:dyDescent="0.25">
      <c r="A3" s="19" t="s">
        <v>154</v>
      </c>
      <c r="B3" s="18" t="str">
        <f>RESUMO!B3</f>
        <v>Rua Joaquim Murtinho 1556 - Bairro: Centro Sul</v>
      </c>
      <c r="C3" s="25" t="s">
        <v>155</v>
      </c>
      <c r="D3" s="18" t="str">
        <f>RESUMO!D5</f>
        <v>300 dias</v>
      </c>
      <c r="F3" s="567"/>
      <c r="G3" s="567"/>
      <c r="N3" s="567"/>
      <c r="O3" s="567"/>
    </row>
    <row r="4" spans="1:24" ht="13.5" thickBot="1" x14ac:dyDescent="0.3">
      <c r="A4" s="26"/>
      <c r="B4" s="29"/>
      <c r="C4" s="27"/>
      <c r="D4" s="28"/>
      <c r="E4" s="29"/>
      <c r="F4" s="568"/>
      <c r="G4" s="568"/>
      <c r="H4" s="29"/>
      <c r="I4" s="29"/>
      <c r="J4" s="29"/>
      <c r="K4" s="29"/>
      <c r="L4" s="29"/>
      <c r="M4" s="29"/>
      <c r="N4" s="568"/>
      <c r="O4" s="568"/>
      <c r="P4" s="29"/>
      <c r="Q4" s="29"/>
      <c r="R4" s="29"/>
      <c r="S4" s="29"/>
      <c r="T4" s="29"/>
      <c r="U4" s="29"/>
      <c r="V4" s="29"/>
      <c r="W4" s="29"/>
      <c r="X4" s="29"/>
    </row>
    <row r="5" spans="1:24" ht="15.75" customHeight="1" thickTop="1" x14ac:dyDescent="0.25">
      <c r="A5" s="569" t="s">
        <v>156</v>
      </c>
      <c r="B5" s="569"/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189"/>
      <c r="N5" s="189"/>
      <c r="O5" s="189"/>
      <c r="P5" s="189"/>
      <c r="Q5" s="189"/>
      <c r="R5" s="189"/>
      <c r="S5" s="189"/>
      <c r="T5" s="189"/>
    </row>
    <row r="6" spans="1:24" s="21" customFormat="1" ht="12.75" customHeight="1" x14ac:dyDescent="0.25">
      <c r="A6" s="571" t="s">
        <v>157</v>
      </c>
      <c r="B6" s="571" t="s">
        <v>84</v>
      </c>
      <c r="C6" s="571" t="s">
        <v>158</v>
      </c>
      <c r="D6" s="573" t="s">
        <v>159</v>
      </c>
      <c r="E6" s="565" t="s">
        <v>160</v>
      </c>
      <c r="F6" s="566"/>
      <c r="G6" s="565" t="s">
        <v>161</v>
      </c>
      <c r="H6" s="566"/>
      <c r="I6" s="565" t="s">
        <v>231</v>
      </c>
      <c r="J6" s="566"/>
      <c r="K6" s="565" t="s">
        <v>350</v>
      </c>
      <c r="L6" s="566"/>
      <c r="M6" s="565" t="s">
        <v>821</v>
      </c>
      <c r="N6" s="566"/>
      <c r="O6" s="565" t="s">
        <v>822</v>
      </c>
      <c r="P6" s="566"/>
      <c r="Q6" s="565" t="s">
        <v>823</v>
      </c>
      <c r="R6" s="566"/>
      <c r="S6" s="565" t="s">
        <v>824</v>
      </c>
      <c r="T6" s="566"/>
      <c r="U6" s="565" t="s">
        <v>825</v>
      </c>
      <c r="V6" s="566"/>
      <c r="W6" s="565" t="s">
        <v>826</v>
      </c>
      <c r="X6" s="566"/>
    </row>
    <row r="7" spans="1:24" s="21" customFormat="1" x14ac:dyDescent="0.25">
      <c r="A7" s="572"/>
      <c r="B7" s="572"/>
      <c r="C7" s="572"/>
      <c r="D7" s="574"/>
      <c r="E7" s="30" t="s">
        <v>162</v>
      </c>
      <c r="F7" s="31" t="s">
        <v>159</v>
      </c>
      <c r="G7" s="30" t="s">
        <v>162</v>
      </c>
      <c r="H7" s="31" t="s">
        <v>159</v>
      </c>
      <c r="I7" s="30" t="s">
        <v>162</v>
      </c>
      <c r="J7" s="31" t="s">
        <v>159</v>
      </c>
      <c r="K7" s="30" t="s">
        <v>162</v>
      </c>
      <c r="L7" s="31" t="s">
        <v>159</v>
      </c>
      <c r="M7" s="30" t="s">
        <v>162</v>
      </c>
      <c r="N7" s="31" t="s">
        <v>159</v>
      </c>
      <c r="O7" s="30" t="s">
        <v>162</v>
      </c>
      <c r="P7" s="31" t="s">
        <v>159</v>
      </c>
      <c r="Q7" s="30" t="s">
        <v>162</v>
      </c>
      <c r="R7" s="31" t="s">
        <v>159</v>
      </c>
      <c r="S7" s="30" t="s">
        <v>162</v>
      </c>
      <c r="T7" s="31" t="s">
        <v>159</v>
      </c>
      <c r="U7" s="30" t="s">
        <v>162</v>
      </c>
      <c r="V7" s="31" t="s">
        <v>159</v>
      </c>
      <c r="W7" s="30" t="s">
        <v>162</v>
      </c>
      <c r="X7" s="31" t="s">
        <v>159</v>
      </c>
    </row>
    <row r="8" spans="1:24" s="21" customFormat="1" x14ac:dyDescent="0.25">
      <c r="A8" s="21" t="str">
        <f>RESUMO!A9</f>
        <v>1</v>
      </c>
      <c r="B8" s="32" t="str">
        <f>RESUMO!B9</f>
        <v>ADMINISTRAÇÃO DE OBRA</v>
      </c>
      <c r="C8" s="32">
        <f>RESUMO!D9</f>
        <v>122389.68</v>
      </c>
      <c r="D8" s="33">
        <f t="shared" ref="D8:D32" si="0">C8/$C$33</f>
        <v>6.0807859693031457E-2</v>
      </c>
      <c r="E8" s="34">
        <f>C8*F8</f>
        <v>9791.1743999999999</v>
      </c>
      <c r="F8" s="35">
        <v>0.08</v>
      </c>
      <c r="G8" s="34">
        <f>H8*C8</f>
        <v>8567.2775999999994</v>
      </c>
      <c r="H8" s="35">
        <v>7.0000000000000007E-2</v>
      </c>
      <c r="I8" s="34">
        <f>J8*C8</f>
        <v>8567.2775999999994</v>
      </c>
      <c r="J8" s="35">
        <v>7.0000000000000007E-2</v>
      </c>
      <c r="K8" s="34">
        <f>L8*C8</f>
        <v>6119.4840000000004</v>
      </c>
      <c r="L8" s="35">
        <v>0.05</v>
      </c>
      <c r="M8" s="34">
        <f>N8*C8</f>
        <v>12238.968000000001</v>
      </c>
      <c r="N8" s="35">
        <v>0.1</v>
      </c>
      <c r="O8" s="34">
        <f>P8*C8</f>
        <v>12238.968000000001</v>
      </c>
      <c r="P8" s="35">
        <v>0.1</v>
      </c>
      <c r="Q8" s="34">
        <f>R8*C8</f>
        <v>12238.968000000001</v>
      </c>
      <c r="R8" s="35">
        <v>0.1</v>
      </c>
      <c r="S8" s="34">
        <f>T8*C8</f>
        <v>26925.729599999999</v>
      </c>
      <c r="T8" s="35">
        <v>0.22</v>
      </c>
      <c r="U8" s="34">
        <f>V8*C8</f>
        <v>14686.761599999998</v>
      </c>
      <c r="V8" s="35">
        <v>0.12</v>
      </c>
      <c r="W8" s="34">
        <f>X8*C8</f>
        <v>11015.071199999998</v>
      </c>
      <c r="X8" s="35">
        <v>0.09</v>
      </c>
    </row>
    <row r="9" spans="1:24" s="21" customFormat="1" x14ac:dyDescent="0.25">
      <c r="A9" s="185" t="str">
        <f>RESUMO!A10</f>
        <v>2</v>
      </c>
      <c r="B9" s="32" t="str">
        <f>RESUMO!B10</f>
        <v>SERVIÇOS TÉCNICOS</v>
      </c>
      <c r="C9" s="32">
        <f>RESUMO!D10</f>
        <v>3850.5</v>
      </c>
      <c r="D9" s="33">
        <f t="shared" si="0"/>
        <v>1.9130752180087213E-3</v>
      </c>
      <c r="E9" s="34">
        <f>TRUNC(F9*$C$9,2)</f>
        <v>3850.5</v>
      </c>
      <c r="F9" s="35">
        <v>1</v>
      </c>
      <c r="G9" s="38"/>
      <c r="H9" s="37"/>
      <c r="I9" s="36"/>
      <c r="J9" s="37"/>
      <c r="K9" s="38"/>
      <c r="L9" s="37"/>
      <c r="M9" s="38"/>
      <c r="N9" s="37"/>
      <c r="O9" s="38"/>
      <c r="P9" s="37"/>
      <c r="Q9" s="36"/>
      <c r="R9" s="37"/>
      <c r="S9" s="38"/>
      <c r="T9" s="37"/>
      <c r="U9" s="38"/>
      <c r="V9" s="37"/>
      <c r="W9" s="38"/>
      <c r="X9" s="37"/>
    </row>
    <row r="10" spans="1:24" x14ac:dyDescent="0.25">
      <c r="A10" s="185" t="str">
        <f>RESUMO!A11</f>
        <v>3</v>
      </c>
      <c r="B10" s="32" t="str">
        <f>RESUMO!B11</f>
        <v>SERVIÇOS PRELIMINARES</v>
      </c>
      <c r="C10" s="32">
        <f>RESUMO!D11</f>
        <v>66253.930000000008</v>
      </c>
      <c r="D10" s="33">
        <f t="shared" si="0"/>
        <v>3.2917478659572674E-2</v>
      </c>
      <c r="E10" s="34">
        <f>TRUNC(F10*$C$10,2)</f>
        <v>66253.929999999993</v>
      </c>
      <c r="F10" s="35">
        <v>1</v>
      </c>
      <c r="G10" s="38"/>
      <c r="H10" s="37"/>
      <c r="I10" s="38"/>
      <c r="J10" s="37"/>
      <c r="K10" s="38"/>
      <c r="L10" s="37"/>
      <c r="M10" s="38"/>
      <c r="N10" s="37"/>
      <c r="O10" s="38"/>
      <c r="P10" s="37"/>
      <c r="Q10" s="38"/>
      <c r="R10" s="37"/>
      <c r="S10" s="38"/>
      <c r="T10" s="37"/>
      <c r="U10" s="38"/>
      <c r="V10" s="37"/>
      <c r="W10" s="38"/>
      <c r="X10" s="37"/>
    </row>
    <row r="11" spans="1:24" x14ac:dyDescent="0.25">
      <c r="A11" s="185" t="str">
        <f>RESUMO!A12</f>
        <v>4</v>
      </c>
      <c r="B11" s="32" t="str">
        <f>RESUMO!B12</f>
        <v>INSTALAÇÕES PROVISÓRIAS</v>
      </c>
      <c r="C11" s="32">
        <f>RESUMO!D12</f>
        <v>41963.47</v>
      </c>
      <c r="D11" s="33">
        <f t="shared" si="0"/>
        <v>2.0849051946150485E-2</v>
      </c>
      <c r="E11" s="34">
        <f>C11*F11</f>
        <v>41963.47</v>
      </c>
      <c r="F11" s="35">
        <v>1</v>
      </c>
      <c r="G11" s="38"/>
      <c r="H11" s="37"/>
      <c r="I11" s="38"/>
      <c r="J11" s="37"/>
      <c r="K11" s="38"/>
      <c r="L11" s="37"/>
      <c r="M11" s="38"/>
      <c r="N11" s="37"/>
      <c r="O11" s="38"/>
      <c r="P11" s="37"/>
      <c r="Q11" s="38"/>
      <c r="R11" s="37"/>
      <c r="S11" s="38"/>
      <c r="T11" s="37"/>
      <c r="U11" s="38"/>
      <c r="V11" s="37"/>
      <c r="W11" s="38"/>
      <c r="X11" s="37"/>
    </row>
    <row r="12" spans="1:24" x14ac:dyDescent="0.25">
      <c r="A12" s="185" t="str">
        <f>RESUMO!A13</f>
        <v>5</v>
      </c>
      <c r="B12" s="32" t="str">
        <f>RESUMO!B13</f>
        <v>MÁQUINAS E FERRAMENTAS</v>
      </c>
      <c r="C12" s="32">
        <f>RESUMO!D13</f>
        <v>1033.5999999999999</v>
      </c>
      <c r="D12" s="33">
        <f t="shared" si="0"/>
        <v>5.1353189075024387E-4</v>
      </c>
      <c r="E12" s="38"/>
      <c r="F12" s="37"/>
      <c r="G12" s="38"/>
      <c r="H12" s="37"/>
      <c r="I12" s="34">
        <f>J12*C12</f>
        <v>258.39999999999998</v>
      </c>
      <c r="J12" s="35">
        <v>0.25</v>
      </c>
      <c r="K12" s="34">
        <f>L12*C12</f>
        <v>258.39999999999998</v>
      </c>
      <c r="L12" s="35">
        <v>0.25</v>
      </c>
      <c r="M12" s="34">
        <f>N12*C12</f>
        <v>258.39999999999998</v>
      </c>
      <c r="N12" s="35">
        <v>0.25</v>
      </c>
      <c r="O12" s="34">
        <f>P12*C12</f>
        <v>258.39999999999998</v>
      </c>
      <c r="P12" s="35">
        <v>0.25</v>
      </c>
      <c r="Q12" s="38"/>
      <c r="R12" s="37"/>
      <c r="S12" s="38"/>
      <c r="T12" s="37"/>
      <c r="U12" s="38"/>
      <c r="V12" s="37"/>
      <c r="W12" s="38"/>
      <c r="X12" s="37"/>
    </row>
    <row r="13" spans="1:24" x14ac:dyDescent="0.25">
      <c r="A13" s="185" t="str">
        <f>RESUMO!A14</f>
        <v>6</v>
      </c>
      <c r="B13" s="32" t="str">
        <f>RESUMO!B14</f>
        <v>LIMPEZA DA OBRA</v>
      </c>
      <c r="C13" s="32">
        <f>RESUMO!D14</f>
        <v>22901.949999999997</v>
      </c>
      <c r="D13" s="33">
        <f t="shared" si="0"/>
        <v>1.1378562002097085E-2</v>
      </c>
      <c r="E13" s="34">
        <f>C13*F13</f>
        <v>11450.974999999999</v>
      </c>
      <c r="F13" s="35">
        <v>0.5</v>
      </c>
      <c r="G13" s="34">
        <f>H13*C13</f>
        <v>11450.974999999999</v>
      </c>
      <c r="H13" s="35">
        <v>0.5</v>
      </c>
      <c r="I13" s="38"/>
      <c r="J13" s="37"/>
      <c r="K13" s="38"/>
      <c r="L13" s="37"/>
      <c r="M13" s="38"/>
      <c r="N13" s="37"/>
      <c r="O13" s="38"/>
      <c r="P13" s="37"/>
      <c r="Q13" s="38"/>
      <c r="R13" s="37"/>
      <c r="S13" s="38"/>
      <c r="T13" s="37"/>
      <c r="U13" s="38"/>
      <c r="V13" s="37"/>
      <c r="W13" s="38"/>
      <c r="X13" s="37"/>
    </row>
    <row r="14" spans="1:24" x14ac:dyDescent="0.25">
      <c r="A14" s="185">
        <f>RESUMO!A15</f>
        <v>7</v>
      </c>
      <c r="B14" s="32" t="str">
        <f>RESUMO!B15</f>
        <v>INFRA-ESTRUTURA</v>
      </c>
      <c r="C14" s="32">
        <f>RESUMO!D15</f>
        <v>44357.27</v>
      </c>
      <c r="D14" s="33">
        <f t="shared" si="0"/>
        <v>2.2038383060776965E-2</v>
      </c>
      <c r="E14" s="34">
        <f>F14*C14</f>
        <v>13307.180999999999</v>
      </c>
      <c r="F14" s="35">
        <v>0.3</v>
      </c>
      <c r="G14" s="34">
        <f>H14*C14</f>
        <v>31050.088999999996</v>
      </c>
      <c r="H14" s="35">
        <v>0.7</v>
      </c>
      <c r="I14" s="38"/>
      <c r="J14" s="37"/>
      <c r="K14" s="38"/>
      <c r="L14" s="37"/>
      <c r="M14" s="38"/>
      <c r="N14" s="37"/>
      <c r="O14" s="38"/>
      <c r="P14" s="37"/>
      <c r="Q14" s="38"/>
      <c r="R14" s="37"/>
      <c r="S14" s="38"/>
      <c r="T14" s="37"/>
      <c r="U14" s="38"/>
      <c r="V14" s="37"/>
      <c r="W14" s="38"/>
      <c r="X14" s="37"/>
    </row>
    <row r="15" spans="1:24" x14ac:dyDescent="0.25">
      <c r="A15" s="185">
        <f>RESUMO!A16</f>
        <v>8</v>
      </c>
      <c r="B15" s="32" t="str">
        <f>RESUMO!B16</f>
        <v>SUPER-ESTRUTURA</v>
      </c>
      <c r="C15" s="32">
        <f>RESUMO!D16</f>
        <v>65868.44</v>
      </c>
      <c r="D15" s="33">
        <f t="shared" si="0"/>
        <v>3.2725952528994774E-2</v>
      </c>
      <c r="E15" s="38"/>
      <c r="F15" s="37"/>
      <c r="G15" s="34">
        <f>H15*C15</f>
        <v>59281.596000000005</v>
      </c>
      <c r="H15" s="35">
        <v>0.9</v>
      </c>
      <c r="I15" s="34">
        <f>J15*C15</f>
        <v>6586.844000000001</v>
      </c>
      <c r="J15" s="35">
        <v>0.1</v>
      </c>
      <c r="K15" s="38"/>
      <c r="L15" s="37"/>
      <c r="M15" s="38"/>
      <c r="N15" s="37"/>
      <c r="O15" s="38"/>
      <c r="P15" s="37"/>
      <c r="Q15" s="38"/>
      <c r="R15" s="37"/>
      <c r="S15" s="38"/>
      <c r="T15" s="37"/>
      <c r="U15" s="38"/>
      <c r="V15" s="37"/>
      <c r="W15" s="38"/>
      <c r="X15" s="37"/>
    </row>
    <row r="16" spans="1:24" x14ac:dyDescent="0.25">
      <c r="A16" s="185">
        <f>RESUMO!A17</f>
        <v>9</v>
      </c>
      <c r="B16" s="32" t="str">
        <f>RESUMO!B17</f>
        <v>ALVENARIAS E DIVISÓRIAS</v>
      </c>
      <c r="C16" s="32">
        <f>RESUMO!D17</f>
        <v>74392.040000000008</v>
      </c>
      <c r="D16" s="33">
        <f t="shared" si="0"/>
        <v>3.6960802010417744E-2</v>
      </c>
      <c r="E16" s="38"/>
      <c r="F16" s="37"/>
      <c r="G16" s="34">
        <f>H16*C16</f>
        <v>22317.612000000001</v>
      </c>
      <c r="H16" s="35">
        <v>0.3</v>
      </c>
      <c r="I16" s="34">
        <f>J16*C16</f>
        <v>44635.224000000002</v>
      </c>
      <c r="J16" s="35">
        <v>0.6</v>
      </c>
      <c r="K16" s="34">
        <f>L16*C16</f>
        <v>7439.2040000000015</v>
      </c>
      <c r="L16" s="35">
        <v>0.1</v>
      </c>
      <c r="O16" s="38"/>
      <c r="P16" s="37"/>
      <c r="Q16" s="38"/>
      <c r="R16" s="37"/>
      <c r="S16" s="38"/>
      <c r="T16" s="37"/>
      <c r="U16" s="38"/>
      <c r="V16" s="37"/>
      <c r="W16" s="38"/>
      <c r="X16" s="37"/>
    </row>
    <row r="17" spans="1:24" x14ac:dyDescent="0.25">
      <c r="A17" s="185">
        <f>RESUMO!A18</f>
        <v>10</v>
      </c>
      <c r="B17" s="32" t="str">
        <f>RESUMO!B18</f>
        <v>ESQUADRIA E FERRAGENS</v>
      </c>
      <c r="C17" s="32">
        <f>RESUMO!D18</f>
        <v>109120.81999999999</v>
      </c>
      <c r="D17" s="33">
        <f t="shared" si="0"/>
        <v>5.4215384108762608E-2</v>
      </c>
      <c r="E17" s="38"/>
      <c r="F17" s="37"/>
      <c r="G17" s="38"/>
      <c r="H17" s="37"/>
      <c r="Q17" s="34">
        <f>R17*C17</f>
        <v>21824.164000000001</v>
      </c>
      <c r="R17" s="35">
        <v>0.2</v>
      </c>
      <c r="S17" s="34">
        <f>T17*C17</f>
        <v>76384.573999999993</v>
      </c>
      <c r="T17" s="35">
        <v>0.7</v>
      </c>
      <c r="U17" s="34">
        <f>V17*C17</f>
        <v>10912.082</v>
      </c>
      <c r="V17" s="35">
        <v>0.1</v>
      </c>
      <c r="W17" s="38"/>
      <c r="X17" s="37"/>
    </row>
    <row r="18" spans="1:24" x14ac:dyDescent="0.25">
      <c r="A18" s="185">
        <f>RESUMO!A19</f>
        <v>11</v>
      </c>
      <c r="B18" s="32" t="str">
        <f>RESUMO!B19</f>
        <v>COBERTURA</v>
      </c>
      <c r="C18" s="32">
        <f>RESUMO!D19</f>
        <v>54974.959999999992</v>
      </c>
      <c r="D18" s="33">
        <f t="shared" si="0"/>
        <v>2.7313656301005251E-2</v>
      </c>
      <c r="E18" s="38"/>
      <c r="F18" s="37"/>
      <c r="G18" s="38"/>
      <c r="H18" s="37"/>
      <c r="I18" s="38"/>
      <c r="J18" s="37"/>
      <c r="K18" s="38"/>
      <c r="L18" s="37"/>
      <c r="M18" s="34">
        <f>N18*C18</f>
        <v>10994.991999999998</v>
      </c>
      <c r="N18" s="35">
        <v>0.2</v>
      </c>
      <c r="O18" s="34">
        <f>P18*C18</f>
        <v>43979.967999999993</v>
      </c>
      <c r="P18" s="35">
        <v>0.8</v>
      </c>
      <c r="S18" s="38"/>
      <c r="T18" s="37"/>
      <c r="U18" s="38"/>
      <c r="V18" s="37"/>
      <c r="W18" s="38"/>
      <c r="X18" s="37"/>
    </row>
    <row r="19" spans="1:24" x14ac:dyDescent="0.25">
      <c r="A19" s="185">
        <f>RESUMO!A20</f>
        <v>12</v>
      </c>
      <c r="B19" s="32" t="str">
        <f>RESUMO!B20</f>
        <v>IMPERMEABILIZAÇÃO</v>
      </c>
      <c r="C19" s="32">
        <f>RESUMO!D20</f>
        <v>35073.839999999997</v>
      </c>
      <c r="D19" s="33">
        <f t="shared" si="0"/>
        <v>1.7426021063343202E-2</v>
      </c>
      <c r="E19" s="38"/>
      <c r="F19" s="37"/>
      <c r="G19" s="38"/>
      <c r="H19" s="37"/>
      <c r="I19" s="38"/>
      <c r="J19" s="37"/>
      <c r="K19" s="38"/>
      <c r="L19" s="37"/>
      <c r="M19" s="34">
        <f>N19*C19</f>
        <v>29812.763999999996</v>
      </c>
      <c r="N19" s="35">
        <v>0.85</v>
      </c>
      <c r="O19" s="34">
        <f>P19*C19</f>
        <v>5261.0759999999991</v>
      </c>
      <c r="P19" s="35">
        <v>0.15</v>
      </c>
      <c r="Q19" s="38"/>
      <c r="R19" s="37"/>
      <c r="S19" s="38"/>
      <c r="T19" s="37"/>
      <c r="U19" s="38"/>
      <c r="V19" s="37"/>
      <c r="W19" s="38"/>
      <c r="X19" s="37"/>
    </row>
    <row r="20" spans="1:24" x14ac:dyDescent="0.25">
      <c r="A20" s="185">
        <f>RESUMO!A21</f>
        <v>13</v>
      </c>
      <c r="B20" s="32" t="str">
        <f>RESUMO!B21</f>
        <v>REVESTIMENTO</v>
      </c>
      <c r="C20" s="32">
        <f>RESUMO!D21</f>
        <v>107947.73999999999</v>
      </c>
      <c r="D20" s="33">
        <f t="shared" si="0"/>
        <v>5.3632553235696337E-2</v>
      </c>
      <c r="E20" s="38"/>
      <c r="F20" s="37"/>
      <c r="I20" s="34">
        <f>J20*C20</f>
        <v>53973.869999999995</v>
      </c>
      <c r="J20" s="35">
        <v>0.5</v>
      </c>
      <c r="K20" s="34">
        <f>L20*C20</f>
        <v>21589.547999999999</v>
      </c>
      <c r="L20" s="35">
        <v>0.2</v>
      </c>
      <c r="M20" s="34">
        <f>N20*C20</f>
        <v>32384.321999999996</v>
      </c>
      <c r="N20" s="35">
        <v>0.3</v>
      </c>
      <c r="O20" s="38"/>
      <c r="P20" s="37"/>
      <c r="Q20" s="38"/>
      <c r="R20" s="37"/>
      <c r="S20" s="38"/>
      <c r="T20" s="37"/>
      <c r="U20" s="38"/>
      <c r="V20" s="37"/>
      <c r="W20" s="38"/>
      <c r="X20" s="37"/>
    </row>
    <row r="21" spans="1:24" x14ac:dyDescent="0.25">
      <c r="A21" s="185">
        <f>RESUMO!A22</f>
        <v>14</v>
      </c>
      <c r="B21" s="32" t="str">
        <f>RESUMO!B22</f>
        <v>FORRO</v>
      </c>
      <c r="C21" s="32">
        <f>RESUMO!D22</f>
        <v>8484.75</v>
      </c>
      <c r="D21" s="33">
        <f t="shared" si="0"/>
        <v>4.2155473200881696E-3</v>
      </c>
      <c r="E21" s="38"/>
      <c r="F21" s="37"/>
      <c r="G21" s="38"/>
      <c r="H21" s="37"/>
      <c r="I21" s="38"/>
      <c r="J21" s="37"/>
      <c r="O21" s="34">
        <f>P21*C21</f>
        <v>1696.95</v>
      </c>
      <c r="P21" s="35">
        <v>0.2</v>
      </c>
      <c r="Q21" s="34">
        <f t="shared" ref="Q21:Q27" si="1">R21*C21</f>
        <v>5939.3249999999998</v>
      </c>
      <c r="R21" s="35">
        <v>0.7</v>
      </c>
      <c r="S21" s="34">
        <f>T21*C21</f>
        <v>848.47500000000002</v>
      </c>
      <c r="T21" s="35">
        <v>0.1</v>
      </c>
      <c r="U21" s="38"/>
      <c r="V21" s="37"/>
      <c r="W21" s="38"/>
      <c r="X21" s="37"/>
    </row>
    <row r="22" spans="1:24" x14ac:dyDescent="0.25">
      <c r="A22" s="185">
        <f>RESUMO!A23</f>
        <v>15</v>
      </c>
      <c r="B22" s="32" t="str">
        <f>RESUMO!B23</f>
        <v>PINTURA</v>
      </c>
      <c r="C22" s="32">
        <f>RESUMO!D23</f>
        <v>141405.87</v>
      </c>
      <c r="D22" s="33">
        <f t="shared" si="0"/>
        <v>7.0255827964670267E-2</v>
      </c>
      <c r="E22" s="38"/>
      <c r="F22" s="37"/>
      <c r="G22" s="38"/>
      <c r="H22" s="37"/>
      <c r="I22" s="38"/>
      <c r="J22" s="37"/>
      <c r="K22" s="38"/>
      <c r="L22" s="37"/>
      <c r="M22" s="38"/>
      <c r="N22" s="37"/>
      <c r="O22" s="38"/>
      <c r="P22" s="37"/>
      <c r="Q22" s="34">
        <f t="shared" si="1"/>
        <v>21210.880499999999</v>
      </c>
      <c r="R22" s="35">
        <v>0.15</v>
      </c>
      <c r="S22" s="34">
        <f>T22*C22</f>
        <v>120194.9895</v>
      </c>
      <c r="T22" s="35">
        <v>0.85</v>
      </c>
      <c r="U22" s="38"/>
      <c r="V22" s="37"/>
      <c r="W22" s="38"/>
      <c r="X22" s="37"/>
    </row>
    <row r="23" spans="1:24" x14ac:dyDescent="0.25">
      <c r="A23" s="185">
        <f>RESUMO!A24</f>
        <v>16</v>
      </c>
      <c r="B23" s="32" t="str">
        <f>RESUMO!B24</f>
        <v>PAVIMENTAÇÕES</v>
      </c>
      <c r="C23" s="32">
        <f>RESUMO!D24</f>
        <v>144927.91999999998</v>
      </c>
      <c r="D23" s="33">
        <f t="shared" si="0"/>
        <v>7.2005716699013234E-2</v>
      </c>
      <c r="E23" s="38"/>
      <c r="F23" s="37"/>
      <c r="G23" s="38"/>
      <c r="H23" s="37"/>
      <c r="I23" s="38"/>
      <c r="J23" s="37"/>
      <c r="K23" s="38"/>
      <c r="L23" s="37"/>
      <c r="M23" s="38"/>
      <c r="N23" s="37"/>
      <c r="O23" s="38"/>
      <c r="P23" s="37"/>
      <c r="Q23" s="34">
        <f t="shared" si="1"/>
        <v>36231.979999999996</v>
      </c>
      <c r="R23" s="35">
        <v>0.25</v>
      </c>
      <c r="S23" s="34">
        <f>T23*C23</f>
        <v>79710.356</v>
      </c>
      <c r="T23" s="35">
        <v>0.55000000000000004</v>
      </c>
      <c r="U23" s="34">
        <f>V23*C23</f>
        <v>28985.583999999999</v>
      </c>
      <c r="V23" s="35">
        <v>0.2</v>
      </c>
    </row>
    <row r="24" spans="1:24" x14ac:dyDescent="0.25">
      <c r="A24" s="185">
        <f>RESUMO!A25</f>
        <v>17</v>
      </c>
      <c r="B24" s="32" t="str">
        <f>RESUMO!B25</f>
        <v>LOUÇAS E METAIS</v>
      </c>
      <c r="C24" s="32">
        <f>RESUMO!D25</f>
        <v>31156.940000000002</v>
      </c>
      <c r="D24" s="33">
        <f t="shared" si="0"/>
        <v>1.547995579352932E-2</v>
      </c>
      <c r="E24" s="38"/>
      <c r="F24" s="37"/>
      <c r="G24" s="38"/>
      <c r="H24" s="37"/>
      <c r="I24" s="38"/>
      <c r="J24" s="37"/>
      <c r="K24" s="38"/>
      <c r="L24" s="37"/>
      <c r="M24" s="38"/>
      <c r="N24" s="37"/>
      <c r="Q24" s="34">
        <f t="shared" si="1"/>
        <v>6231.3880000000008</v>
      </c>
      <c r="R24" s="35">
        <v>0.2</v>
      </c>
      <c r="S24" s="34">
        <f>T24*C24</f>
        <v>12462.776000000002</v>
      </c>
      <c r="T24" s="35">
        <v>0.4</v>
      </c>
      <c r="U24" s="34">
        <f>V24*C24</f>
        <v>12462.776000000002</v>
      </c>
      <c r="V24" s="35">
        <v>0.4</v>
      </c>
      <c r="W24" s="38"/>
      <c r="X24" s="37"/>
    </row>
    <row r="25" spans="1:24" ht="25.5" x14ac:dyDescent="0.25">
      <c r="A25" s="185">
        <f>RESUMO!A26</f>
        <v>18</v>
      </c>
      <c r="B25" s="32" t="str">
        <f>RESUMO!B26</f>
        <v>INSTALAÇÕES HIDROSSANITÁRIAS</v>
      </c>
      <c r="C25" s="32">
        <f>RESUMO!D26</f>
        <v>47298.969999999994</v>
      </c>
      <c r="D25" s="33">
        <f t="shared" si="0"/>
        <v>2.3499931786608998E-2</v>
      </c>
      <c r="E25" s="38"/>
      <c r="F25" s="37"/>
      <c r="G25" s="38"/>
      <c r="H25" s="37"/>
      <c r="I25" s="38"/>
      <c r="J25" s="37"/>
      <c r="K25" s="38"/>
      <c r="L25" s="37"/>
      <c r="M25" s="38"/>
      <c r="N25" s="37"/>
      <c r="O25" s="38"/>
      <c r="P25" s="37"/>
      <c r="Q25" s="34">
        <f t="shared" si="1"/>
        <v>4729.8969999999999</v>
      </c>
      <c r="R25" s="35">
        <v>0.1</v>
      </c>
      <c r="S25" s="34">
        <f>T25*C25</f>
        <v>9459.7939999999999</v>
      </c>
      <c r="T25" s="35">
        <v>0.2</v>
      </c>
      <c r="U25" s="34">
        <f>V25*C25</f>
        <v>28379.381999999994</v>
      </c>
      <c r="V25" s="35">
        <v>0.6</v>
      </c>
      <c r="W25" s="34">
        <f>X25*C25</f>
        <v>4729.8969999999999</v>
      </c>
      <c r="X25" s="35">
        <v>0.1</v>
      </c>
    </row>
    <row r="26" spans="1:24" x14ac:dyDescent="0.25">
      <c r="A26" s="185">
        <f>RESUMO!A27</f>
        <v>19</v>
      </c>
      <c r="B26" s="32" t="str">
        <f>RESUMO!B27</f>
        <v>DRENAGEM</v>
      </c>
      <c r="C26" s="32">
        <f>RESUMO!D27</f>
        <v>86268.300000000017</v>
      </c>
      <c r="D26" s="33">
        <f t="shared" si="0"/>
        <v>4.2861380815411451E-2</v>
      </c>
      <c r="E26" s="38"/>
      <c r="F26" s="37"/>
      <c r="K26" s="34">
        <f>L26*C26</f>
        <v>4313.4150000000009</v>
      </c>
      <c r="L26" s="35">
        <v>0.05</v>
      </c>
      <c r="M26" s="34">
        <f>N26*C26</f>
        <v>12940.245000000003</v>
      </c>
      <c r="N26" s="35">
        <v>0.15</v>
      </c>
      <c r="O26" s="34">
        <f>P26*C26</f>
        <v>30193.905000000002</v>
      </c>
      <c r="P26" s="35">
        <v>0.35</v>
      </c>
      <c r="Q26" s="34">
        <f t="shared" si="1"/>
        <v>38820.735000000008</v>
      </c>
      <c r="R26" s="35">
        <v>0.45</v>
      </c>
      <c r="S26" s="38"/>
      <c r="T26" s="37"/>
      <c r="U26" s="38"/>
      <c r="V26" s="37"/>
      <c r="W26" s="38"/>
      <c r="X26" s="37"/>
    </row>
    <row r="27" spans="1:24" x14ac:dyDescent="0.25">
      <c r="A27" s="185">
        <f>RESUMO!A28</f>
        <v>20</v>
      </c>
      <c r="B27" s="32" t="str">
        <f>RESUMO!B28</f>
        <v>INSTALAÇÕES ELÉTRICAS</v>
      </c>
      <c r="C27" s="32">
        <f>RESUMO!D28</f>
        <v>456675.56999999995</v>
      </c>
      <c r="D27" s="33">
        <f t="shared" si="0"/>
        <v>0.22689383603090688</v>
      </c>
      <c r="E27" s="38"/>
      <c r="F27" s="37"/>
      <c r="G27" s="38"/>
      <c r="H27" s="37"/>
      <c r="I27" s="34">
        <f>J27*C27</f>
        <v>22833.7785</v>
      </c>
      <c r="J27" s="35">
        <v>0.05</v>
      </c>
      <c r="K27" s="34">
        <f>L27*C27</f>
        <v>68501.335499999986</v>
      </c>
      <c r="L27" s="35">
        <v>0.15</v>
      </c>
      <c r="M27" s="34">
        <f>N27*C27</f>
        <v>114168.89249999999</v>
      </c>
      <c r="N27" s="35">
        <v>0.25</v>
      </c>
      <c r="O27" s="34">
        <f>P27*C27</f>
        <v>114168.89249999999</v>
      </c>
      <c r="P27" s="35">
        <v>0.25</v>
      </c>
      <c r="Q27" s="34">
        <f t="shared" si="1"/>
        <v>45667.557000000001</v>
      </c>
      <c r="R27" s="35">
        <v>0.1</v>
      </c>
      <c r="S27" s="34">
        <f>T27*C27</f>
        <v>45667.557000000001</v>
      </c>
      <c r="T27" s="35">
        <v>0.1</v>
      </c>
      <c r="U27" s="34">
        <f>V27*C27</f>
        <v>22833.7785</v>
      </c>
      <c r="V27" s="35">
        <v>0.05</v>
      </c>
      <c r="W27" s="34">
        <f t="shared" ref="W27:W32" si="2">X27*C27</f>
        <v>22833.7785</v>
      </c>
      <c r="X27" s="35">
        <v>0.05</v>
      </c>
    </row>
    <row r="28" spans="1:24" x14ac:dyDescent="0.25">
      <c r="A28" s="185">
        <f>RESUMO!A29</f>
        <v>21</v>
      </c>
      <c r="B28" s="32" t="str">
        <f>RESUMO!B29</f>
        <v>LÓGICA</v>
      </c>
      <c r="C28" s="32">
        <f>RESUMO!D29</f>
        <v>194984.80999999997</v>
      </c>
      <c r="D28" s="33">
        <f t="shared" si="0"/>
        <v>9.6875888299997145E-2</v>
      </c>
      <c r="E28" s="38"/>
      <c r="F28" s="37"/>
      <c r="G28" s="38"/>
      <c r="H28" s="37"/>
      <c r="I28" s="38"/>
      <c r="J28" s="37"/>
      <c r="K28" s="38"/>
      <c r="L28" s="37"/>
      <c r="M28" s="38"/>
      <c r="N28" s="37"/>
      <c r="O28" s="38"/>
      <c r="P28" s="37"/>
      <c r="Q28" s="38"/>
      <c r="R28" s="37"/>
      <c r="S28" s="34">
        <f>T28*C28</f>
        <v>68244.683499999985</v>
      </c>
      <c r="T28" s="35">
        <v>0.35</v>
      </c>
      <c r="U28" s="34">
        <f>V28*C28</f>
        <v>68244.683499999985</v>
      </c>
      <c r="V28" s="35">
        <v>0.35</v>
      </c>
      <c r="W28" s="34">
        <f t="shared" si="2"/>
        <v>58495.442999999992</v>
      </c>
      <c r="X28" s="35">
        <v>0.3</v>
      </c>
    </row>
    <row r="29" spans="1:24" ht="25.5" x14ac:dyDescent="0.25">
      <c r="A29" s="185">
        <f>RESUMO!A30</f>
        <v>22</v>
      </c>
      <c r="B29" s="32" t="str">
        <f>RESUMO!B30</f>
        <v>PREVENÇÃO E COMBATE A INCÊNDIO</v>
      </c>
      <c r="C29" s="32">
        <f>RESUMO!D30</f>
        <v>93694.119999999981</v>
      </c>
      <c r="D29" s="33">
        <f t="shared" si="0"/>
        <v>4.6550811334926695E-2</v>
      </c>
      <c r="E29" s="38"/>
      <c r="F29" s="37"/>
      <c r="G29" s="38"/>
      <c r="H29" s="37"/>
      <c r="I29" s="38"/>
      <c r="J29" s="37"/>
      <c r="K29" s="38"/>
      <c r="L29" s="37"/>
      <c r="M29" s="38"/>
      <c r="N29" s="37"/>
      <c r="O29" s="38"/>
      <c r="P29" s="37"/>
      <c r="Q29" s="38"/>
      <c r="R29" s="37"/>
      <c r="S29" s="34">
        <f>T29*C29</f>
        <v>32792.941999999988</v>
      </c>
      <c r="T29" s="35">
        <v>0.35</v>
      </c>
      <c r="U29" s="34">
        <f>V29*C29</f>
        <v>32792.941999999988</v>
      </c>
      <c r="V29" s="35">
        <v>0.35</v>
      </c>
      <c r="W29" s="34">
        <f t="shared" si="2"/>
        <v>28108.235999999994</v>
      </c>
      <c r="X29" s="35">
        <v>0.3</v>
      </c>
    </row>
    <row r="30" spans="1:24" x14ac:dyDescent="0.25">
      <c r="A30" s="185">
        <f>RESUMO!A31</f>
        <v>23</v>
      </c>
      <c r="B30" s="32" t="str">
        <f>RESUMO!B31</f>
        <v>SERVIÇOS COMPLEMENTARES</v>
      </c>
      <c r="C30" s="32">
        <f>RESUMO!D31</f>
        <v>24587.32</v>
      </c>
      <c r="D30" s="33">
        <f t="shared" si="0"/>
        <v>1.2215918080574002E-2</v>
      </c>
      <c r="E30" s="38"/>
      <c r="F30" s="37"/>
      <c r="G30" s="38"/>
      <c r="H30" s="37"/>
      <c r="I30" s="38"/>
      <c r="J30" s="37"/>
      <c r="K30" s="38"/>
      <c r="L30" s="37"/>
      <c r="M30" s="38"/>
      <c r="N30" s="37"/>
      <c r="O30" s="38"/>
      <c r="P30" s="37"/>
      <c r="Q30" s="38"/>
      <c r="R30" s="37"/>
      <c r="S30" s="38"/>
      <c r="T30" s="37"/>
      <c r="U30" s="34">
        <f>V30*C30</f>
        <v>12293.66</v>
      </c>
      <c r="V30" s="35">
        <v>0.5</v>
      </c>
      <c r="W30" s="34">
        <f t="shared" ref="W30" si="3">X30*C30</f>
        <v>12293.66</v>
      </c>
      <c r="X30" s="35">
        <v>0.5</v>
      </c>
    </row>
    <row r="31" spans="1:24" x14ac:dyDescent="0.25">
      <c r="A31" s="185">
        <f>RESUMO!A32</f>
        <v>24</v>
      </c>
      <c r="B31" s="32" t="str">
        <f>RESUMO!B32</f>
        <v>ACESSIBILIDADE</v>
      </c>
      <c r="C31" s="32">
        <f>RESUMO!D32</f>
        <v>25815.51</v>
      </c>
      <c r="D31" s="33">
        <f t="shared" si="0"/>
        <v>1.2826129702962296E-2</v>
      </c>
      <c r="E31" s="38"/>
      <c r="F31" s="37"/>
      <c r="G31" s="38"/>
      <c r="H31" s="37"/>
      <c r="I31" s="38"/>
      <c r="J31" s="37"/>
      <c r="K31" s="38"/>
      <c r="L31" s="37"/>
      <c r="M31" s="38"/>
      <c r="N31" s="37"/>
      <c r="O31" s="38"/>
      <c r="P31" s="37"/>
      <c r="Q31" s="38"/>
      <c r="R31" s="37"/>
      <c r="S31" s="38"/>
      <c r="T31" s="37"/>
      <c r="U31" s="38"/>
      <c r="V31" s="37"/>
      <c r="W31" s="34">
        <f t="shared" si="2"/>
        <v>25815.51</v>
      </c>
      <c r="X31" s="35">
        <v>1</v>
      </c>
    </row>
    <row r="32" spans="1:24" x14ac:dyDescent="0.25">
      <c r="A32" s="185">
        <f>RESUMO!A33</f>
        <v>25</v>
      </c>
      <c r="B32" s="32" t="str">
        <f>RESUMO!B33</f>
        <v>LIMPEZA FINAL DE OBRA</v>
      </c>
      <c r="C32" s="32">
        <f>RESUMO!D33</f>
        <v>7299.65</v>
      </c>
      <c r="D32" s="33">
        <f t="shared" si="0"/>
        <v>3.6267444527041583E-3</v>
      </c>
      <c r="E32" s="38"/>
      <c r="F32" s="37"/>
      <c r="G32" s="38"/>
      <c r="H32" s="37"/>
      <c r="I32" s="38"/>
      <c r="J32" s="37"/>
      <c r="K32" s="38"/>
      <c r="L32" s="37"/>
      <c r="M32" s="38"/>
      <c r="N32" s="37"/>
      <c r="O32" s="38"/>
      <c r="P32" s="37"/>
      <c r="Q32" s="38"/>
      <c r="R32" s="37"/>
      <c r="S32" s="38"/>
      <c r="T32" s="37"/>
      <c r="U32" s="38"/>
      <c r="V32" s="37"/>
      <c r="W32" s="34">
        <f t="shared" si="2"/>
        <v>7299.65</v>
      </c>
      <c r="X32" s="35">
        <v>1</v>
      </c>
    </row>
    <row r="33" spans="1:25" x14ac:dyDescent="0.25">
      <c r="A33" s="40"/>
      <c r="B33" s="41" t="s">
        <v>163</v>
      </c>
      <c r="C33" s="42">
        <f>SUM(C8:C32)</f>
        <v>2012727.9699999995</v>
      </c>
      <c r="D33" s="43">
        <f>SUM(D8:D26)</f>
        <v>0.60101067209792902</v>
      </c>
      <c r="E33" s="42">
        <f>SUM(E8:E32)</f>
        <v>146617.2304</v>
      </c>
      <c r="F33" s="44">
        <f>E33/$C$33</f>
        <v>7.2845030518456019E-2</v>
      </c>
      <c r="G33" s="42">
        <f>SUM(G8:G32)</f>
        <v>132667.5496</v>
      </c>
      <c r="H33" s="44">
        <f>G33/$C$33</f>
        <v>6.5914297201325245E-2</v>
      </c>
      <c r="I33" s="42">
        <f>SUM(I8:I32)</f>
        <v>136855.39409999998</v>
      </c>
      <c r="J33" s="44">
        <f>I33/$C$33</f>
        <v>6.7994978029743386E-2</v>
      </c>
      <c r="K33" s="42">
        <f>SUM(K8:K32)</f>
        <v>108221.38649999999</v>
      </c>
      <c r="L33" s="44">
        <f>K33/$C$33</f>
        <v>5.3768511250926777E-2</v>
      </c>
      <c r="M33" s="42">
        <f>SUM(M8:M32)</f>
        <v>212798.58349999998</v>
      </c>
      <c r="N33" s="44">
        <f>M33/$C$33</f>
        <v>0.10572645020678081</v>
      </c>
      <c r="O33" s="42">
        <f>SUM(O8:O32)</f>
        <v>207798.15949999998</v>
      </c>
      <c r="P33" s="44">
        <f>O33/$C$33</f>
        <v>0.10324204889943475</v>
      </c>
      <c r="Q33" s="42">
        <f>SUM(Q8:Q32)</f>
        <v>192894.89449999999</v>
      </c>
      <c r="R33" s="44">
        <f>Q33/$C$33</f>
        <v>9.5837538591963839E-2</v>
      </c>
      <c r="S33" s="42">
        <f>SUM(S8:S32)</f>
        <v>472691.87659999996</v>
      </c>
      <c r="T33" s="44">
        <f>S33/$C$33</f>
        <v>0.23485134784508413</v>
      </c>
      <c r="U33" s="42">
        <f>SUM(U8:U32)</f>
        <v>231591.64959999998</v>
      </c>
      <c r="V33" s="44">
        <f t="shared" ref="V33" si="4">U33/$C$33</f>
        <v>0.11506356201727551</v>
      </c>
      <c r="W33" s="42">
        <f>SUM(W8:W32)</f>
        <v>170591.24569999997</v>
      </c>
      <c r="X33" s="44">
        <f t="shared" ref="X33" si="5">W33/$C$33</f>
        <v>8.4756235439009675E-2</v>
      </c>
    </row>
    <row r="34" spans="1:25" x14ac:dyDescent="0.25">
      <c r="A34" s="45"/>
      <c r="B34" s="41" t="s">
        <v>164</v>
      </c>
      <c r="C34" s="45"/>
      <c r="D34" s="46"/>
      <c r="E34" s="42">
        <f>E33</f>
        <v>146617.2304</v>
      </c>
      <c r="F34" s="44">
        <f>F33</f>
        <v>7.2845030518456019E-2</v>
      </c>
      <c r="G34" s="42">
        <f>G33+E34</f>
        <v>279284.78000000003</v>
      </c>
      <c r="H34" s="44">
        <f>H33+F34</f>
        <v>0.13875932771978128</v>
      </c>
      <c r="I34" s="42">
        <f>G34+I33</f>
        <v>416140.1741</v>
      </c>
      <c r="J34" s="44">
        <f>J33+H34</f>
        <v>0.20675430574952466</v>
      </c>
      <c r="K34" s="42">
        <f>I34+K33</f>
        <v>524361.56059999997</v>
      </c>
      <c r="L34" s="44">
        <f>L33+J34</f>
        <v>0.26052281700045143</v>
      </c>
      <c r="M34" s="42">
        <f>K34+M33</f>
        <v>737160.14409999992</v>
      </c>
      <c r="N34" s="44">
        <f>L34+N33</f>
        <v>0.36624926720723228</v>
      </c>
      <c r="O34" s="42">
        <f>M34+O33</f>
        <v>944958.30359999987</v>
      </c>
      <c r="P34" s="44">
        <f>P33+N34</f>
        <v>0.46949131610666706</v>
      </c>
      <c r="Q34" s="42">
        <f>O34+Q33</f>
        <v>1137853.1980999999</v>
      </c>
      <c r="R34" s="44">
        <f>R33+P34</f>
        <v>0.56532885469863092</v>
      </c>
      <c r="S34" s="42">
        <f>Q34+S33</f>
        <v>1610545.0746999998</v>
      </c>
      <c r="T34" s="44">
        <f>T33+R34</f>
        <v>0.80018020254371502</v>
      </c>
      <c r="U34" s="42">
        <f>S34+U33</f>
        <v>1842136.7242999997</v>
      </c>
      <c r="V34" s="44">
        <f t="shared" ref="V34" si="6">V33+T34</f>
        <v>0.91524376456099055</v>
      </c>
      <c r="W34" s="42">
        <f>U34+W33</f>
        <v>2012727.9699999997</v>
      </c>
      <c r="X34" s="44">
        <f t="shared" ref="X34" si="7">X33+V34</f>
        <v>1.0000000000000002</v>
      </c>
    </row>
    <row r="35" spans="1:25" x14ac:dyDescent="0.25">
      <c r="A35" s="18"/>
      <c r="B35" s="20"/>
      <c r="C35" s="18"/>
      <c r="D35" s="1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7"/>
    </row>
    <row r="36" spans="1:25" x14ac:dyDescent="0.25"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</row>
    <row r="38" spans="1:25" x14ac:dyDescent="0.25">
      <c r="F38" s="398"/>
    </row>
    <row r="39" spans="1:25" s="49" customFormat="1" x14ac:dyDescent="0.25">
      <c r="A39" s="21"/>
      <c r="B39" s="18"/>
      <c r="C39" s="48"/>
      <c r="E39" s="18"/>
      <c r="F39" s="18"/>
      <c r="G39" s="18"/>
      <c r="H39" s="18"/>
      <c r="M39" s="18"/>
      <c r="N39" s="18"/>
      <c r="O39" s="18"/>
      <c r="P39" s="18"/>
    </row>
    <row r="44" spans="1:25" s="49" customFormat="1" x14ac:dyDescent="0.25">
      <c r="A44" s="21"/>
      <c r="B44" s="18"/>
      <c r="C44" s="48"/>
      <c r="E44" s="18"/>
      <c r="F44" s="18"/>
      <c r="G44" s="18"/>
      <c r="H44" s="18"/>
      <c r="M44" s="18"/>
      <c r="N44" s="18"/>
      <c r="O44" s="18"/>
      <c r="P44" s="18"/>
    </row>
  </sheetData>
  <mergeCells count="18">
    <mergeCell ref="K6:L6"/>
    <mergeCell ref="A5:L5"/>
    <mergeCell ref="I6:J6"/>
    <mergeCell ref="B1:J1"/>
    <mergeCell ref="F2:G4"/>
    <mergeCell ref="A6:A7"/>
    <mergeCell ref="B6:B7"/>
    <mergeCell ref="C6:C7"/>
    <mergeCell ref="D6:D7"/>
    <mergeCell ref="E6:F6"/>
    <mergeCell ref="G6:H6"/>
    <mergeCell ref="Q6:R6"/>
    <mergeCell ref="S6:T6"/>
    <mergeCell ref="U6:V6"/>
    <mergeCell ref="W6:X6"/>
    <mergeCell ref="N2:O4"/>
    <mergeCell ref="M6:N6"/>
    <mergeCell ref="O6:P6"/>
  </mergeCells>
  <conditionalFormatting sqref="C1:C1048576">
    <cfRule type="duplicateValues" dxfId="1" priority="93"/>
  </conditionalFormatting>
  <pageMargins left="0.51181102362204722" right="0.51181102362204722" top="1.4173228346456694" bottom="0.9055118110236221" header="0.31496062992125984" footer="0.31496062992125984"/>
  <pageSetup paperSize="8" scale="68" fitToHeight="0" orientation="landscape" r:id="rId1"/>
  <headerFooter>
    <oddHeader>&amp;L&amp;G&amp;R&amp;G</oddHeader>
    <oddFooter xml:space="preserve">&amp;L&amp;"-,Negrito"&amp;9&amp;K00-048Superintendência Administrativa
Coordenadoria de Obras e Reformas.
Fone: 3613 5474 / 5431 – geobras@ses.mt.gov.br&amp;C&amp;9&amp;K00-048&amp;P / &amp;N&amp;R&amp;7&amp;K00-048&amp;A
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4"/>
  <sheetViews>
    <sheetView tabSelected="1" showOutlineSymbols="0" view="pageBreakPreview" topLeftCell="A130" zoomScale="90" zoomScaleNormal="100" zoomScaleSheetLayoutView="90" workbookViewId="0">
      <selection activeCell="M7" sqref="M7"/>
    </sheetView>
  </sheetViews>
  <sheetFormatPr defaultColWidth="9" defaultRowHeight="14.25" x14ac:dyDescent="0.2"/>
  <cols>
    <col min="1" max="1" width="10.125" style="122" customWidth="1"/>
    <col min="2" max="2" width="48.875" style="122" bestFit="1" customWidth="1"/>
    <col min="3" max="3" width="38" style="122" bestFit="1" customWidth="1"/>
    <col min="4" max="4" width="19" style="122" bestFit="1" customWidth="1"/>
    <col min="5" max="5" width="14.375" style="122" bestFit="1" customWidth="1"/>
    <col min="6" max="6" width="12.75" style="122" bestFit="1" customWidth="1"/>
    <col min="7" max="7" width="7.875" style="122" customWidth="1"/>
    <col min="8" max="8" width="6.125" style="122" customWidth="1"/>
    <col min="9" max="9" width="9.875" style="122" bestFit="1" customWidth="1"/>
    <col min="10" max="10" width="11.25" style="209" bestFit="1" customWidth="1"/>
    <col min="11" max="16384" width="9" style="122"/>
  </cols>
  <sheetData>
    <row r="1" spans="1:10" customFormat="1" ht="15" x14ac:dyDescent="0.25">
      <c r="A1" s="580" t="s">
        <v>232</v>
      </c>
      <c r="B1" s="580"/>
      <c r="C1" s="580"/>
      <c r="D1" s="580"/>
      <c r="E1" s="580"/>
      <c r="F1" s="580"/>
      <c r="G1" s="580"/>
      <c r="H1" s="580"/>
      <c r="I1" s="580"/>
      <c r="J1" s="580"/>
    </row>
    <row r="2" spans="1:10" customFormat="1" ht="30" x14ac:dyDescent="0.25">
      <c r="A2" s="125" t="s">
        <v>83</v>
      </c>
      <c r="B2" s="126" t="s">
        <v>84</v>
      </c>
      <c r="C2" s="126" t="s">
        <v>233</v>
      </c>
      <c r="D2" s="126" t="s">
        <v>234</v>
      </c>
      <c r="E2" s="126" t="s">
        <v>235</v>
      </c>
      <c r="F2" s="126" t="s">
        <v>236</v>
      </c>
      <c r="G2" s="127" t="s">
        <v>237</v>
      </c>
      <c r="H2" s="126" t="s">
        <v>238</v>
      </c>
      <c r="I2" s="128" t="s">
        <v>239</v>
      </c>
      <c r="J2" s="127" t="s">
        <v>240</v>
      </c>
    </row>
    <row r="3" spans="1:10" customFormat="1" ht="15" x14ac:dyDescent="0.25">
      <c r="A3" s="579"/>
      <c r="B3" s="579"/>
      <c r="C3" s="579"/>
      <c r="D3" s="579"/>
      <c r="E3" s="579"/>
      <c r="F3" s="579"/>
      <c r="G3" s="579"/>
      <c r="H3" s="579"/>
      <c r="I3" s="579"/>
      <c r="J3" s="579"/>
    </row>
    <row r="4" spans="1:10" customFormat="1" ht="15" customHeight="1" x14ac:dyDescent="0.25">
      <c r="A4" s="577">
        <v>179</v>
      </c>
      <c r="B4" s="578" t="s">
        <v>2282</v>
      </c>
      <c r="C4" s="423" t="s">
        <v>3212</v>
      </c>
      <c r="D4" s="424" t="s">
        <v>3213</v>
      </c>
      <c r="E4" s="425">
        <v>36644374</v>
      </c>
      <c r="F4" s="425" t="s">
        <v>3214</v>
      </c>
      <c r="G4" s="426">
        <v>42795</v>
      </c>
      <c r="H4" s="407" t="s">
        <v>3215</v>
      </c>
      <c r="I4" s="427">
        <v>8.0399999999999991</v>
      </c>
      <c r="J4" s="635">
        <v>4.88</v>
      </c>
    </row>
    <row r="5" spans="1:10" customFormat="1" ht="15" customHeight="1" x14ac:dyDescent="0.25">
      <c r="A5" s="577"/>
      <c r="B5" s="578"/>
      <c r="C5" s="423" t="s">
        <v>3216</v>
      </c>
      <c r="D5" s="424" t="s">
        <v>3217</v>
      </c>
      <c r="E5" s="425">
        <v>36344700</v>
      </c>
      <c r="F5" s="425" t="s">
        <v>3218</v>
      </c>
      <c r="G5" s="426">
        <v>42795</v>
      </c>
      <c r="H5" s="407" t="s">
        <v>3215</v>
      </c>
      <c r="I5" s="427">
        <v>4.42</v>
      </c>
      <c r="J5" s="635"/>
    </row>
    <row r="6" spans="1:10" customFormat="1" ht="15" customHeight="1" x14ac:dyDescent="0.25">
      <c r="A6" s="577"/>
      <c r="B6" s="578"/>
      <c r="C6" s="423" t="s">
        <v>3219</v>
      </c>
      <c r="D6" s="424" t="s">
        <v>3220</v>
      </c>
      <c r="E6" s="425">
        <v>36461605</v>
      </c>
      <c r="F6" s="425" t="s">
        <v>3221</v>
      </c>
      <c r="G6" s="426">
        <v>42795</v>
      </c>
      <c r="H6" s="407" t="s">
        <v>3215</v>
      </c>
      <c r="I6" s="427">
        <v>4.88</v>
      </c>
      <c r="J6" s="635"/>
    </row>
    <row r="7" spans="1:10" customFormat="1" ht="15" customHeight="1" x14ac:dyDescent="0.25">
      <c r="A7" s="577">
        <v>231</v>
      </c>
      <c r="B7" s="578" t="s">
        <v>2210</v>
      </c>
      <c r="C7" s="409" t="s">
        <v>3222</v>
      </c>
      <c r="D7" s="410"/>
      <c r="E7" s="411" t="s">
        <v>3223</v>
      </c>
      <c r="F7" s="411"/>
      <c r="G7" s="428">
        <v>43221</v>
      </c>
      <c r="H7" s="429" t="s">
        <v>775</v>
      </c>
      <c r="I7" s="430">
        <v>33.840000000000003</v>
      </c>
      <c r="J7" s="635">
        <v>31.67</v>
      </c>
    </row>
    <row r="8" spans="1:10" customFormat="1" ht="15" customHeight="1" x14ac:dyDescent="0.25">
      <c r="A8" s="577"/>
      <c r="B8" s="578"/>
      <c r="C8" s="409" t="s">
        <v>3224</v>
      </c>
      <c r="D8" s="410"/>
      <c r="E8" s="411">
        <v>36343437</v>
      </c>
      <c r="F8" s="411"/>
      <c r="G8" s="428">
        <v>43221</v>
      </c>
      <c r="H8" s="429" t="s">
        <v>775</v>
      </c>
      <c r="I8" s="430">
        <v>29.5</v>
      </c>
      <c r="J8" s="635"/>
    </row>
    <row r="9" spans="1:10" customFormat="1" ht="15" x14ac:dyDescent="0.25">
      <c r="A9" s="577">
        <v>199</v>
      </c>
      <c r="B9" s="578" t="s">
        <v>2652</v>
      </c>
      <c r="C9" s="431" t="s">
        <v>3225</v>
      </c>
      <c r="D9" s="432" t="s">
        <v>3226</v>
      </c>
      <c r="E9" s="433">
        <v>30291234</v>
      </c>
      <c r="F9" s="433" t="s">
        <v>3227</v>
      </c>
      <c r="G9" s="421">
        <v>43221</v>
      </c>
      <c r="H9" s="434" t="s">
        <v>26</v>
      </c>
      <c r="I9" s="430">
        <v>380</v>
      </c>
      <c r="J9" s="636">
        <v>382.94499999999999</v>
      </c>
    </row>
    <row r="10" spans="1:10" customFormat="1" ht="15" x14ac:dyDescent="0.25">
      <c r="A10" s="577"/>
      <c r="B10" s="578"/>
      <c r="C10" s="431" t="s">
        <v>3228</v>
      </c>
      <c r="D10" s="432" t="s">
        <v>3229</v>
      </c>
      <c r="E10" s="433">
        <v>21276585</v>
      </c>
      <c r="F10" s="433" t="s">
        <v>3230</v>
      </c>
      <c r="G10" s="421">
        <v>43221</v>
      </c>
      <c r="H10" s="434" t="s">
        <v>26</v>
      </c>
      <c r="I10" s="430">
        <v>385.89</v>
      </c>
      <c r="J10" s="637"/>
    </row>
    <row r="11" spans="1:10" customFormat="1" ht="15" x14ac:dyDescent="0.25">
      <c r="A11" s="577">
        <v>266</v>
      </c>
      <c r="B11" s="578" t="s">
        <v>3231</v>
      </c>
      <c r="C11" s="431" t="s">
        <v>3232</v>
      </c>
      <c r="D11" s="432" t="s">
        <v>3233</v>
      </c>
      <c r="E11" s="433" t="s">
        <v>3234</v>
      </c>
      <c r="F11" s="433" t="s">
        <v>3235</v>
      </c>
      <c r="G11" s="408">
        <v>43221</v>
      </c>
      <c r="H11" s="434" t="s">
        <v>26</v>
      </c>
      <c r="I11" s="430">
        <v>15.33</v>
      </c>
      <c r="J11" s="638">
        <v>12.1</v>
      </c>
    </row>
    <row r="12" spans="1:10" customFormat="1" ht="15" x14ac:dyDescent="0.25">
      <c r="A12" s="577"/>
      <c r="B12" s="578"/>
      <c r="C12" s="431" t="s">
        <v>3236</v>
      </c>
      <c r="D12" s="432" t="s">
        <v>3237</v>
      </c>
      <c r="E12" s="433">
        <v>36342266</v>
      </c>
      <c r="F12" s="433"/>
      <c r="G12" s="408">
        <v>43221</v>
      </c>
      <c r="H12" s="434" t="s">
        <v>26</v>
      </c>
      <c r="I12" s="430">
        <v>12.1</v>
      </c>
      <c r="J12" s="638"/>
    </row>
    <row r="13" spans="1:10" customFormat="1" ht="15" x14ac:dyDescent="0.25">
      <c r="A13" s="577"/>
      <c r="B13" s="578"/>
      <c r="C13" s="431" t="s">
        <v>3238</v>
      </c>
      <c r="D13" s="432"/>
      <c r="E13" s="433"/>
      <c r="F13" s="433" t="s">
        <v>3239</v>
      </c>
      <c r="G13" s="408">
        <v>43221</v>
      </c>
      <c r="H13" s="434" t="s">
        <v>26</v>
      </c>
      <c r="I13" s="430">
        <v>11.56</v>
      </c>
      <c r="J13" s="638"/>
    </row>
    <row r="14" spans="1:10" customFormat="1" ht="15" customHeight="1" x14ac:dyDescent="0.25">
      <c r="A14" s="577">
        <v>268</v>
      </c>
      <c r="B14" s="578" t="s">
        <v>3240</v>
      </c>
      <c r="C14" s="431" t="s">
        <v>3232</v>
      </c>
      <c r="D14" s="432" t="s">
        <v>3233</v>
      </c>
      <c r="E14" s="433" t="s">
        <v>3234</v>
      </c>
      <c r="F14" s="433" t="s">
        <v>3235</v>
      </c>
      <c r="G14" s="408">
        <v>43221</v>
      </c>
      <c r="H14" s="434" t="s">
        <v>26</v>
      </c>
      <c r="I14" s="430">
        <v>3.74</v>
      </c>
      <c r="J14" s="638">
        <v>2.6</v>
      </c>
    </row>
    <row r="15" spans="1:10" customFormat="1" ht="15" customHeight="1" x14ac:dyDescent="0.25">
      <c r="A15" s="577"/>
      <c r="B15" s="578"/>
      <c r="C15" s="431" t="s">
        <v>3236</v>
      </c>
      <c r="D15" s="432" t="s">
        <v>3237</v>
      </c>
      <c r="E15" s="433">
        <v>36342266</v>
      </c>
      <c r="F15" s="433"/>
      <c r="G15" s="408">
        <v>43221</v>
      </c>
      <c r="H15" s="434" t="s">
        <v>26</v>
      </c>
      <c r="I15" s="430">
        <v>2.6</v>
      </c>
      <c r="J15" s="638"/>
    </row>
    <row r="16" spans="1:10" customFormat="1" ht="15" customHeight="1" x14ac:dyDescent="0.25">
      <c r="A16" s="577"/>
      <c r="B16" s="578"/>
      <c r="C16" s="431" t="s">
        <v>3238</v>
      </c>
      <c r="D16" s="432"/>
      <c r="E16" s="433"/>
      <c r="F16" s="433" t="s">
        <v>3239</v>
      </c>
      <c r="G16" s="408">
        <v>43221</v>
      </c>
      <c r="H16" s="434" t="s">
        <v>26</v>
      </c>
      <c r="I16" s="430">
        <v>1.57</v>
      </c>
      <c r="J16" s="638"/>
    </row>
    <row r="17" spans="1:10" customFormat="1" ht="15" customHeight="1" x14ac:dyDescent="0.25">
      <c r="A17" s="577">
        <v>271</v>
      </c>
      <c r="B17" s="578" t="s">
        <v>2634</v>
      </c>
      <c r="C17" s="410" t="s">
        <v>3232</v>
      </c>
      <c r="D17" s="432" t="s">
        <v>3233</v>
      </c>
      <c r="E17" s="433" t="s">
        <v>3234</v>
      </c>
      <c r="F17" s="433" t="s">
        <v>3241</v>
      </c>
      <c r="G17" s="421">
        <v>43221</v>
      </c>
      <c r="H17" s="429" t="s">
        <v>26</v>
      </c>
      <c r="I17" s="427">
        <v>1.55</v>
      </c>
      <c r="J17" s="636">
        <v>1.55</v>
      </c>
    </row>
    <row r="18" spans="1:10" customFormat="1" ht="15" customHeight="1" x14ac:dyDescent="0.25">
      <c r="A18" s="577"/>
      <c r="B18" s="578"/>
      <c r="C18" s="409" t="s">
        <v>3236</v>
      </c>
      <c r="D18" s="410" t="s">
        <v>3237</v>
      </c>
      <c r="E18" s="411">
        <v>33210009</v>
      </c>
      <c r="F18" s="433"/>
      <c r="G18" s="421">
        <v>43221</v>
      </c>
      <c r="H18" s="429" t="s">
        <v>26</v>
      </c>
      <c r="I18" s="427">
        <v>1.29</v>
      </c>
      <c r="J18" s="639"/>
    </row>
    <row r="19" spans="1:10" customFormat="1" ht="15" customHeight="1" x14ac:dyDescent="0.25">
      <c r="A19" s="577"/>
      <c r="B19" s="578"/>
      <c r="C19" s="410" t="s">
        <v>3238</v>
      </c>
      <c r="D19" s="432"/>
      <c r="E19" s="433"/>
      <c r="F19" s="433" t="s">
        <v>3239</v>
      </c>
      <c r="G19" s="421">
        <v>43221</v>
      </c>
      <c r="H19" s="429" t="s">
        <v>701</v>
      </c>
      <c r="I19" s="427">
        <v>1.56</v>
      </c>
      <c r="J19" s="637"/>
    </row>
    <row r="20" spans="1:10" customFormat="1" ht="15" customHeight="1" x14ac:dyDescent="0.25">
      <c r="A20" s="577">
        <v>291</v>
      </c>
      <c r="B20" s="578" t="s">
        <v>613</v>
      </c>
      <c r="C20" s="409" t="s">
        <v>3242</v>
      </c>
      <c r="D20" s="410" t="s">
        <v>3243</v>
      </c>
      <c r="E20" s="411" t="s">
        <v>3244</v>
      </c>
      <c r="F20" s="433"/>
      <c r="G20" s="408">
        <v>42795</v>
      </c>
      <c r="H20" s="434" t="s">
        <v>26</v>
      </c>
      <c r="I20" s="435">
        <v>24.8</v>
      </c>
      <c r="J20" s="635">
        <v>24.8</v>
      </c>
    </row>
    <row r="21" spans="1:10" customFormat="1" ht="15" customHeight="1" x14ac:dyDescent="0.25">
      <c r="A21" s="577"/>
      <c r="B21" s="578"/>
      <c r="C21" s="409" t="s">
        <v>3245</v>
      </c>
      <c r="D21" s="410" t="s">
        <v>3246</v>
      </c>
      <c r="E21" s="411" t="s">
        <v>3247</v>
      </c>
      <c r="F21" s="411" t="s">
        <v>3248</v>
      </c>
      <c r="G21" s="408">
        <v>42795</v>
      </c>
      <c r="H21" s="434" t="s">
        <v>26</v>
      </c>
      <c r="I21" s="435">
        <v>21.85</v>
      </c>
      <c r="J21" s="635"/>
    </row>
    <row r="22" spans="1:10" customFormat="1" ht="15" customHeight="1" x14ac:dyDescent="0.25">
      <c r="A22" s="577"/>
      <c r="B22" s="578"/>
      <c r="C22" s="409" t="s">
        <v>3249</v>
      </c>
      <c r="D22" s="410"/>
      <c r="E22" s="411" t="s">
        <v>3250</v>
      </c>
      <c r="F22" s="411" t="s">
        <v>3251</v>
      </c>
      <c r="G22" s="408">
        <v>42856</v>
      </c>
      <c r="H22" s="434" t="s">
        <v>26</v>
      </c>
      <c r="I22" s="435">
        <v>27.51</v>
      </c>
      <c r="J22" s="635"/>
    </row>
    <row r="23" spans="1:10" customFormat="1" ht="15" customHeight="1" x14ac:dyDescent="0.25">
      <c r="A23" s="577">
        <v>292</v>
      </c>
      <c r="B23" s="578" t="s">
        <v>611</v>
      </c>
      <c r="C23" s="409" t="s">
        <v>3242</v>
      </c>
      <c r="D23" s="410" t="s">
        <v>3243</v>
      </c>
      <c r="E23" s="411" t="s">
        <v>3244</v>
      </c>
      <c r="F23" s="433"/>
      <c r="G23" s="408">
        <v>42795</v>
      </c>
      <c r="H23" s="434" t="s">
        <v>26</v>
      </c>
      <c r="I23" s="435">
        <v>23.03</v>
      </c>
      <c r="J23" s="635">
        <v>23.03</v>
      </c>
    </row>
    <row r="24" spans="1:10" customFormat="1" ht="15" customHeight="1" x14ac:dyDescent="0.25">
      <c r="A24" s="577"/>
      <c r="B24" s="578"/>
      <c r="C24" s="409" t="s">
        <v>3245</v>
      </c>
      <c r="D24" s="410" t="s">
        <v>3246</v>
      </c>
      <c r="E24" s="411" t="s">
        <v>3247</v>
      </c>
      <c r="F24" s="411" t="s">
        <v>3248</v>
      </c>
      <c r="G24" s="408">
        <v>42795</v>
      </c>
      <c r="H24" s="434" t="s">
        <v>26</v>
      </c>
      <c r="I24" s="435">
        <v>13.407</v>
      </c>
      <c r="J24" s="635"/>
    </row>
    <row r="25" spans="1:10" customFormat="1" ht="15" customHeight="1" x14ac:dyDescent="0.25">
      <c r="A25" s="577"/>
      <c r="B25" s="578"/>
      <c r="C25" s="409" t="s">
        <v>3249</v>
      </c>
      <c r="D25" s="410"/>
      <c r="E25" s="411" t="s">
        <v>3250</v>
      </c>
      <c r="F25" s="411" t="s">
        <v>3251</v>
      </c>
      <c r="G25" s="408">
        <v>42856</v>
      </c>
      <c r="H25" s="434" t="s">
        <v>26</v>
      </c>
      <c r="I25" s="435">
        <v>27.24</v>
      </c>
      <c r="J25" s="635"/>
    </row>
    <row r="26" spans="1:10" customFormat="1" ht="15" customHeight="1" x14ac:dyDescent="0.25">
      <c r="A26" s="577">
        <v>309</v>
      </c>
      <c r="B26" s="578" t="s">
        <v>607</v>
      </c>
      <c r="C26" s="409" t="s">
        <v>3242</v>
      </c>
      <c r="D26" s="410" t="s">
        <v>3243</v>
      </c>
      <c r="E26" s="411" t="s">
        <v>3244</v>
      </c>
      <c r="F26" s="433"/>
      <c r="G26" s="408">
        <v>42795</v>
      </c>
      <c r="H26" s="434" t="s">
        <v>26</v>
      </c>
      <c r="I26" s="435">
        <v>3393</v>
      </c>
      <c r="J26" s="635">
        <v>2922</v>
      </c>
    </row>
    <row r="27" spans="1:10" customFormat="1" ht="15" customHeight="1" x14ac:dyDescent="0.25">
      <c r="A27" s="577"/>
      <c r="B27" s="578"/>
      <c r="C27" s="409" t="s">
        <v>3245</v>
      </c>
      <c r="D27" s="410" t="s">
        <v>3246</v>
      </c>
      <c r="E27" s="411" t="s">
        <v>3247</v>
      </c>
      <c r="F27" s="411" t="s">
        <v>3248</v>
      </c>
      <c r="G27" s="408">
        <v>42795</v>
      </c>
      <c r="H27" s="434" t="s">
        <v>26</v>
      </c>
      <c r="I27" s="435">
        <v>2922</v>
      </c>
      <c r="J27" s="635"/>
    </row>
    <row r="28" spans="1:10" customFormat="1" ht="15" customHeight="1" x14ac:dyDescent="0.25">
      <c r="A28" s="577"/>
      <c r="B28" s="578"/>
      <c r="C28" s="409" t="s">
        <v>3249</v>
      </c>
      <c r="D28" s="410"/>
      <c r="E28" s="411" t="s">
        <v>3250</v>
      </c>
      <c r="F28" s="411" t="s">
        <v>3251</v>
      </c>
      <c r="G28" s="408">
        <v>42856</v>
      </c>
      <c r="H28" s="434" t="s">
        <v>26</v>
      </c>
      <c r="I28" s="435">
        <v>2346.6799999999998</v>
      </c>
      <c r="J28" s="635"/>
    </row>
    <row r="29" spans="1:10" customFormat="1" ht="15" x14ac:dyDescent="0.25">
      <c r="A29" s="577">
        <v>186</v>
      </c>
      <c r="B29" s="617" t="s">
        <v>3252</v>
      </c>
      <c r="C29" s="409" t="s">
        <v>3253</v>
      </c>
      <c r="D29" s="410" t="s">
        <v>3254</v>
      </c>
      <c r="E29" s="411">
        <v>33226142</v>
      </c>
      <c r="F29" s="411" t="s">
        <v>3255</v>
      </c>
      <c r="G29" s="428">
        <v>42795</v>
      </c>
      <c r="H29" s="429" t="s">
        <v>26</v>
      </c>
      <c r="I29" s="427">
        <v>140</v>
      </c>
      <c r="J29" s="635">
        <v>140</v>
      </c>
    </row>
    <row r="30" spans="1:10" customFormat="1" ht="15" x14ac:dyDescent="0.25">
      <c r="A30" s="577"/>
      <c r="B30" s="617"/>
      <c r="C30" s="409" t="s">
        <v>3256</v>
      </c>
      <c r="D30" s="410" t="s">
        <v>3257</v>
      </c>
      <c r="E30" s="411" t="s">
        <v>3258</v>
      </c>
      <c r="F30" s="411" t="s">
        <v>3259</v>
      </c>
      <c r="G30" s="428">
        <v>42795</v>
      </c>
      <c r="H30" s="429" t="s">
        <v>26</v>
      </c>
      <c r="I30" s="427">
        <v>54.9</v>
      </c>
      <c r="J30" s="635"/>
    </row>
    <row r="31" spans="1:10" customFormat="1" ht="15" x14ac:dyDescent="0.25">
      <c r="A31" s="577"/>
      <c r="B31" s="617"/>
      <c r="C31" s="409" t="s">
        <v>3260</v>
      </c>
      <c r="D31" s="410" t="s">
        <v>3261</v>
      </c>
      <c r="E31" s="411">
        <v>21368272</v>
      </c>
      <c r="F31" s="411"/>
      <c r="G31" s="428">
        <v>42795</v>
      </c>
      <c r="H31" s="429" t="s">
        <v>26</v>
      </c>
      <c r="I31" s="427">
        <v>300</v>
      </c>
      <c r="J31" s="635"/>
    </row>
    <row r="32" spans="1:10" customFormat="1" ht="15" x14ac:dyDescent="0.25">
      <c r="A32" s="577">
        <v>185</v>
      </c>
      <c r="B32" s="578" t="s">
        <v>3056</v>
      </c>
      <c r="C32" s="409" t="s">
        <v>3262</v>
      </c>
      <c r="D32" s="410" t="s">
        <v>3263</v>
      </c>
      <c r="E32" s="411" t="s">
        <v>3264</v>
      </c>
      <c r="F32" s="411" t="s">
        <v>3265</v>
      </c>
      <c r="G32" s="428">
        <v>42795</v>
      </c>
      <c r="H32" s="429" t="s">
        <v>26</v>
      </c>
      <c r="I32" s="430">
        <v>4.6100000000000003</v>
      </c>
      <c r="J32" s="635">
        <v>7.1</v>
      </c>
    </row>
    <row r="33" spans="1:10" customFormat="1" ht="15" x14ac:dyDescent="0.25">
      <c r="A33" s="577"/>
      <c r="B33" s="578"/>
      <c r="C33" s="409" t="s">
        <v>3266</v>
      </c>
      <c r="D33" s="410"/>
      <c r="E33" s="411">
        <v>36143500</v>
      </c>
      <c r="F33" s="411" t="s">
        <v>3267</v>
      </c>
      <c r="G33" s="428">
        <v>42795</v>
      </c>
      <c r="H33" s="429" t="s">
        <v>26</v>
      </c>
      <c r="I33" s="430">
        <v>7.1</v>
      </c>
      <c r="J33" s="635"/>
    </row>
    <row r="34" spans="1:10" customFormat="1" ht="15" x14ac:dyDescent="0.25">
      <c r="A34" s="577"/>
      <c r="B34" s="578"/>
      <c r="C34" s="409" t="s">
        <v>3256</v>
      </c>
      <c r="D34" s="410" t="s">
        <v>3257</v>
      </c>
      <c r="E34" s="436" t="s">
        <v>3268</v>
      </c>
      <c r="F34" s="411" t="s">
        <v>3259</v>
      </c>
      <c r="G34" s="428">
        <v>42795</v>
      </c>
      <c r="H34" s="429" t="s">
        <v>26</v>
      </c>
      <c r="I34" s="430">
        <v>12.72</v>
      </c>
      <c r="J34" s="635"/>
    </row>
    <row r="35" spans="1:10" customFormat="1" ht="15" x14ac:dyDescent="0.25">
      <c r="A35" s="577">
        <v>75</v>
      </c>
      <c r="B35" s="578" t="s">
        <v>3034</v>
      </c>
      <c r="C35" s="410" t="s">
        <v>3269</v>
      </c>
      <c r="D35" s="410" t="s">
        <v>3226</v>
      </c>
      <c r="E35" s="433" t="s">
        <v>3270</v>
      </c>
      <c r="F35" s="429" t="s">
        <v>3271</v>
      </c>
      <c r="G35" s="408">
        <v>42948</v>
      </c>
      <c r="H35" s="434" t="s">
        <v>26</v>
      </c>
      <c r="I35" s="430">
        <v>129.9</v>
      </c>
      <c r="J35" s="635">
        <v>129.94999999999999</v>
      </c>
    </row>
    <row r="36" spans="1:10" customFormat="1" ht="15" x14ac:dyDescent="0.25">
      <c r="A36" s="577"/>
      <c r="B36" s="578"/>
      <c r="C36" s="410" t="s">
        <v>3272</v>
      </c>
      <c r="D36" s="410" t="s">
        <v>3273</v>
      </c>
      <c r="E36" s="433" t="s">
        <v>3274</v>
      </c>
      <c r="F36" s="429" t="s">
        <v>3275</v>
      </c>
      <c r="G36" s="408">
        <v>42948</v>
      </c>
      <c r="H36" s="434" t="s">
        <v>26</v>
      </c>
      <c r="I36" s="430">
        <v>129.94999999999999</v>
      </c>
      <c r="J36" s="635"/>
    </row>
    <row r="37" spans="1:10" customFormat="1" ht="15" x14ac:dyDescent="0.25">
      <c r="A37" s="577"/>
      <c r="B37" s="578"/>
      <c r="C37" s="410" t="s">
        <v>3276</v>
      </c>
      <c r="D37" s="410" t="s">
        <v>3277</v>
      </c>
      <c r="E37" s="433" t="s">
        <v>3278</v>
      </c>
      <c r="F37" s="429" t="s">
        <v>3279</v>
      </c>
      <c r="G37" s="408">
        <v>42948</v>
      </c>
      <c r="H37" s="434" t="s">
        <v>26</v>
      </c>
      <c r="I37" s="430">
        <v>142.38999999999999</v>
      </c>
      <c r="J37" s="635"/>
    </row>
    <row r="38" spans="1:10" customFormat="1" ht="15" x14ac:dyDescent="0.25">
      <c r="A38" s="577">
        <v>57</v>
      </c>
      <c r="B38" s="618" t="s">
        <v>2875</v>
      </c>
      <c r="C38" s="437" t="s">
        <v>3232</v>
      </c>
      <c r="D38" s="432" t="s">
        <v>3233</v>
      </c>
      <c r="E38" s="433" t="s">
        <v>3234</v>
      </c>
      <c r="F38" s="433" t="s">
        <v>3241</v>
      </c>
      <c r="G38" s="421">
        <v>43221</v>
      </c>
      <c r="H38" s="434" t="s">
        <v>26</v>
      </c>
      <c r="I38" s="427">
        <v>49.68</v>
      </c>
      <c r="J38" s="636">
        <v>55.71</v>
      </c>
    </row>
    <row r="39" spans="1:10" customFormat="1" ht="15" x14ac:dyDescent="0.25">
      <c r="A39" s="577"/>
      <c r="B39" s="618"/>
      <c r="C39" s="437" t="s">
        <v>3280</v>
      </c>
      <c r="D39" s="432"/>
      <c r="E39" s="433"/>
      <c r="F39" s="433"/>
      <c r="G39" s="421">
        <v>43221</v>
      </c>
      <c r="H39" s="434" t="s">
        <v>26</v>
      </c>
      <c r="I39" s="427">
        <v>66</v>
      </c>
      <c r="J39" s="639"/>
    </row>
    <row r="40" spans="1:10" customFormat="1" ht="15" x14ac:dyDescent="0.25">
      <c r="A40" s="577"/>
      <c r="B40" s="618"/>
      <c r="C40" s="411" t="s">
        <v>3236</v>
      </c>
      <c r="D40" s="410" t="s">
        <v>3237</v>
      </c>
      <c r="E40" s="411">
        <v>36342266</v>
      </c>
      <c r="F40" s="411"/>
      <c r="G40" s="421">
        <v>43221</v>
      </c>
      <c r="H40" s="434" t="s">
        <v>26</v>
      </c>
      <c r="I40" s="427">
        <v>55.71</v>
      </c>
      <c r="J40" s="637"/>
    </row>
    <row r="41" spans="1:10" customFormat="1" ht="15" x14ac:dyDescent="0.25">
      <c r="A41" s="577">
        <v>58</v>
      </c>
      <c r="B41" s="618" t="s">
        <v>2933</v>
      </c>
      <c r="C41" s="438" t="s">
        <v>3281</v>
      </c>
      <c r="D41" s="432" t="s">
        <v>3282</v>
      </c>
      <c r="E41" s="433">
        <v>30279000</v>
      </c>
      <c r="F41" s="411" t="s">
        <v>3241</v>
      </c>
      <c r="G41" s="421">
        <v>43221</v>
      </c>
      <c r="H41" s="429" t="s">
        <v>26</v>
      </c>
      <c r="I41" s="427">
        <v>0.9</v>
      </c>
      <c r="J41" s="636">
        <v>1.05</v>
      </c>
    </row>
    <row r="42" spans="1:10" customFormat="1" ht="15" x14ac:dyDescent="0.25">
      <c r="A42" s="577"/>
      <c r="B42" s="618"/>
      <c r="C42" s="411" t="s">
        <v>3283</v>
      </c>
      <c r="D42" s="410" t="s">
        <v>3237</v>
      </c>
      <c r="E42" s="411">
        <v>33210009</v>
      </c>
      <c r="F42" s="411"/>
      <c r="G42" s="421">
        <v>43221</v>
      </c>
      <c r="H42" s="429" t="s">
        <v>26</v>
      </c>
      <c r="I42" s="427">
        <v>1.2</v>
      </c>
      <c r="J42" s="637"/>
    </row>
    <row r="43" spans="1:10" customFormat="1" ht="15" x14ac:dyDescent="0.25">
      <c r="A43" s="577">
        <v>79</v>
      </c>
      <c r="B43" s="619" t="s">
        <v>2894</v>
      </c>
      <c r="C43" s="437" t="s">
        <v>3232</v>
      </c>
      <c r="D43" s="432" t="s">
        <v>3233</v>
      </c>
      <c r="E43" s="433" t="s">
        <v>3234</v>
      </c>
      <c r="F43" s="433" t="s">
        <v>3241</v>
      </c>
      <c r="G43" s="421">
        <v>43221</v>
      </c>
      <c r="H43" s="434" t="s">
        <v>26</v>
      </c>
      <c r="I43" s="427">
        <v>68.08</v>
      </c>
      <c r="J43" s="636">
        <v>108.20500000000001</v>
      </c>
    </row>
    <row r="44" spans="1:10" customFormat="1" ht="15" x14ac:dyDescent="0.25">
      <c r="A44" s="577"/>
      <c r="B44" s="619"/>
      <c r="C44" s="411" t="s">
        <v>3236</v>
      </c>
      <c r="D44" s="410" t="s">
        <v>3237</v>
      </c>
      <c r="E44" s="411">
        <v>36342266</v>
      </c>
      <c r="F44" s="411"/>
      <c r="G44" s="421">
        <v>43221</v>
      </c>
      <c r="H44" s="434" t="s">
        <v>26</v>
      </c>
      <c r="I44" s="427">
        <v>148.33000000000001</v>
      </c>
      <c r="J44" s="637"/>
    </row>
    <row r="45" spans="1:10" customFormat="1" ht="15" x14ac:dyDescent="0.25">
      <c r="A45" s="577">
        <v>113</v>
      </c>
      <c r="B45" s="619" t="s">
        <v>2887</v>
      </c>
      <c r="C45" s="411" t="s">
        <v>3283</v>
      </c>
      <c r="D45" s="410" t="s">
        <v>3237</v>
      </c>
      <c r="E45" s="411">
        <v>33210009</v>
      </c>
      <c r="F45" s="411"/>
      <c r="G45" s="421">
        <v>43221</v>
      </c>
      <c r="H45" s="429" t="s">
        <v>26</v>
      </c>
      <c r="I45" s="427">
        <v>577.29999999999995</v>
      </c>
      <c r="J45" s="636">
        <v>645.15</v>
      </c>
    </row>
    <row r="46" spans="1:10" customFormat="1" ht="15" x14ac:dyDescent="0.25">
      <c r="A46" s="577"/>
      <c r="B46" s="619"/>
      <c r="C46" s="411" t="s">
        <v>3242</v>
      </c>
      <c r="D46" s="410" t="s">
        <v>3243</v>
      </c>
      <c r="E46" s="411" t="s">
        <v>3244</v>
      </c>
      <c r="F46" s="433"/>
      <c r="G46" s="421">
        <v>43221</v>
      </c>
      <c r="H46" s="434" t="s">
        <v>26</v>
      </c>
      <c r="I46" s="435">
        <v>713</v>
      </c>
      <c r="J46" s="637"/>
    </row>
    <row r="47" spans="1:10" customFormat="1" ht="15" x14ac:dyDescent="0.25">
      <c r="A47" s="577">
        <v>118</v>
      </c>
      <c r="B47" s="618" t="s">
        <v>3284</v>
      </c>
      <c r="C47" s="438" t="s">
        <v>3281</v>
      </c>
      <c r="D47" s="432" t="s">
        <v>3282</v>
      </c>
      <c r="E47" s="433">
        <v>30279000</v>
      </c>
      <c r="F47" s="411" t="s">
        <v>3241</v>
      </c>
      <c r="G47" s="421">
        <v>43221</v>
      </c>
      <c r="H47" s="429" t="s">
        <v>26</v>
      </c>
      <c r="I47" s="427">
        <v>4.96</v>
      </c>
      <c r="J47" s="636">
        <v>4.5750000000000002</v>
      </c>
    </row>
    <row r="48" spans="1:10" customFormat="1" ht="15" x14ac:dyDescent="0.25">
      <c r="A48" s="577"/>
      <c r="B48" s="618"/>
      <c r="C48" s="411" t="s">
        <v>3236</v>
      </c>
      <c r="D48" s="410" t="s">
        <v>3237</v>
      </c>
      <c r="E48" s="411">
        <v>36342266</v>
      </c>
      <c r="F48" s="411"/>
      <c r="G48" s="421">
        <v>43221</v>
      </c>
      <c r="H48" s="434" t="s">
        <v>26</v>
      </c>
      <c r="I48" s="427">
        <v>4.1900000000000004</v>
      </c>
      <c r="J48" s="637"/>
    </row>
    <row r="49" spans="1:10" customFormat="1" ht="15" x14ac:dyDescent="0.25">
      <c r="A49" s="577">
        <v>165</v>
      </c>
      <c r="B49" s="618" t="s">
        <v>2911</v>
      </c>
      <c r="C49" s="438" t="s">
        <v>3281</v>
      </c>
      <c r="D49" s="432" t="s">
        <v>3282</v>
      </c>
      <c r="E49" s="433">
        <v>30279000</v>
      </c>
      <c r="F49" s="411" t="s">
        <v>3241</v>
      </c>
      <c r="G49" s="421">
        <v>43221</v>
      </c>
      <c r="H49" s="429" t="s">
        <v>26</v>
      </c>
      <c r="I49" s="427">
        <v>1.1399999999999999</v>
      </c>
      <c r="J49" s="636">
        <v>2.1349999999999998</v>
      </c>
    </row>
    <row r="50" spans="1:10" customFormat="1" ht="15" x14ac:dyDescent="0.25">
      <c r="A50" s="577"/>
      <c r="B50" s="618"/>
      <c r="C50" s="411" t="s">
        <v>3236</v>
      </c>
      <c r="D50" s="410" t="s">
        <v>3237</v>
      </c>
      <c r="E50" s="411">
        <v>36342266</v>
      </c>
      <c r="F50" s="411"/>
      <c r="G50" s="421">
        <v>43221</v>
      </c>
      <c r="H50" s="434" t="s">
        <v>26</v>
      </c>
      <c r="I50" s="427">
        <v>3.13</v>
      </c>
      <c r="J50" s="637"/>
    </row>
    <row r="51" spans="1:10" customFormat="1" ht="15" x14ac:dyDescent="0.25">
      <c r="A51" s="577">
        <v>187</v>
      </c>
      <c r="B51" s="619" t="s">
        <v>2859</v>
      </c>
      <c r="C51" s="431" t="s">
        <v>3285</v>
      </c>
      <c r="D51" s="432" t="s">
        <v>3237</v>
      </c>
      <c r="E51" s="433" t="s">
        <v>3286</v>
      </c>
      <c r="F51" s="433" t="s">
        <v>3287</v>
      </c>
      <c r="G51" s="428">
        <v>42856</v>
      </c>
      <c r="H51" s="434" t="s">
        <v>26</v>
      </c>
      <c r="I51" s="430">
        <v>11</v>
      </c>
      <c r="J51" s="635">
        <v>11</v>
      </c>
    </row>
    <row r="52" spans="1:10" customFormat="1" ht="15" x14ac:dyDescent="0.25">
      <c r="A52" s="577"/>
      <c r="B52" s="619"/>
      <c r="C52" s="431" t="s">
        <v>3288</v>
      </c>
      <c r="D52" s="432" t="s">
        <v>3289</v>
      </c>
      <c r="E52" s="433" t="s">
        <v>3290</v>
      </c>
      <c r="F52" s="433" t="s">
        <v>3291</v>
      </c>
      <c r="G52" s="428">
        <v>42795</v>
      </c>
      <c r="H52" s="434" t="s">
        <v>26</v>
      </c>
      <c r="I52" s="430">
        <v>16.440000000000001</v>
      </c>
      <c r="J52" s="635"/>
    </row>
    <row r="53" spans="1:10" customFormat="1" ht="15" x14ac:dyDescent="0.25">
      <c r="A53" s="577"/>
      <c r="B53" s="619"/>
      <c r="C53" s="431" t="s">
        <v>3292</v>
      </c>
      <c r="D53" s="432" t="s">
        <v>3293</v>
      </c>
      <c r="E53" s="433" t="s">
        <v>3294</v>
      </c>
      <c r="F53" s="433" t="s">
        <v>3295</v>
      </c>
      <c r="G53" s="428">
        <v>42795</v>
      </c>
      <c r="H53" s="434" t="s">
        <v>26</v>
      </c>
      <c r="I53" s="430">
        <v>6.75</v>
      </c>
      <c r="J53" s="635"/>
    </row>
    <row r="54" spans="1:10" customFormat="1" ht="15" x14ac:dyDescent="0.25">
      <c r="A54" s="577">
        <v>188</v>
      </c>
      <c r="B54" s="619" t="s">
        <v>2870</v>
      </c>
      <c r="C54" s="409" t="s">
        <v>3296</v>
      </c>
      <c r="D54" s="410" t="s">
        <v>3297</v>
      </c>
      <c r="E54" s="411">
        <v>36345253</v>
      </c>
      <c r="F54" s="411" t="s">
        <v>3298</v>
      </c>
      <c r="G54" s="428">
        <v>42795</v>
      </c>
      <c r="H54" s="429" t="s">
        <v>26</v>
      </c>
      <c r="I54" s="427">
        <v>6.75</v>
      </c>
      <c r="J54" s="635">
        <v>14.87</v>
      </c>
    </row>
    <row r="55" spans="1:10" customFormat="1" ht="15" x14ac:dyDescent="0.25">
      <c r="A55" s="577"/>
      <c r="B55" s="619"/>
      <c r="C55" s="409" t="s">
        <v>3283</v>
      </c>
      <c r="D55" s="410" t="s">
        <v>3237</v>
      </c>
      <c r="E55" s="411">
        <v>33210009</v>
      </c>
      <c r="F55" s="411" t="s">
        <v>3299</v>
      </c>
      <c r="G55" s="428">
        <v>42856</v>
      </c>
      <c r="H55" s="429" t="s">
        <v>26</v>
      </c>
      <c r="I55" s="427">
        <v>14.87</v>
      </c>
      <c r="J55" s="635"/>
    </row>
    <row r="56" spans="1:10" customFormat="1" ht="15" x14ac:dyDescent="0.25">
      <c r="A56" s="577"/>
      <c r="B56" s="619"/>
      <c r="C56" s="409" t="s">
        <v>3300</v>
      </c>
      <c r="D56" s="410" t="s">
        <v>3289</v>
      </c>
      <c r="E56" s="411">
        <v>33883800</v>
      </c>
      <c r="F56" s="411" t="s">
        <v>3301</v>
      </c>
      <c r="G56" s="428">
        <v>42795</v>
      </c>
      <c r="H56" s="429" t="s">
        <v>26</v>
      </c>
      <c r="I56" s="427">
        <v>16.440000000000001</v>
      </c>
      <c r="J56" s="635"/>
    </row>
    <row r="57" spans="1:10" customFormat="1" ht="15" x14ac:dyDescent="0.25">
      <c r="A57" s="577">
        <v>206</v>
      </c>
      <c r="B57" s="619" t="s">
        <v>2881</v>
      </c>
      <c r="C57" s="438" t="s">
        <v>3281</v>
      </c>
      <c r="D57" s="432" t="s">
        <v>3282</v>
      </c>
      <c r="E57" s="433">
        <v>30279000</v>
      </c>
      <c r="F57" s="411" t="s">
        <v>3241</v>
      </c>
      <c r="G57" s="421">
        <v>43221</v>
      </c>
      <c r="H57" s="429" t="s">
        <v>26</v>
      </c>
      <c r="I57" s="427">
        <v>23.92</v>
      </c>
      <c r="J57" s="636">
        <v>20.8</v>
      </c>
    </row>
    <row r="58" spans="1:10" customFormat="1" ht="15" x14ac:dyDescent="0.25">
      <c r="A58" s="577"/>
      <c r="B58" s="619"/>
      <c r="C58" s="411" t="s">
        <v>3236</v>
      </c>
      <c r="D58" s="410" t="s">
        <v>3237</v>
      </c>
      <c r="E58" s="411">
        <v>33210009</v>
      </c>
      <c r="F58" s="411" t="s">
        <v>3299</v>
      </c>
      <c r="G58" s="421">
        <v>43221</v>
      </c>
      <c r="H58" s="429" t="s">
        <v>26</v>
      </c>
      <c r="I58" s="427">
        <v>17.68</v>
      </c>
      <c r="J58" s="637"/>
    </row>
    <row r="59" spans="1:10" customFormat="1" ht="15" x14ac:dyDescent="0.25">
      <c r="A59" s="577">
        <v>212</v>
      </c>
      <c r="B59" s="618" t="s">
        <v>2921</v>
      </c>
      <c r="C59" s="438" t="s">
        <v>3281</v>
      </c>
      <c r="D59" s="432" t="s">
        <v>3282</v>
      </c>
      <c r="E59" s="433">
        <v>30279000</v>
      </c>
      <c r="F59" s="411" t="s">
        <v>3241</v>
      </c>
      <c r="G59" s="421">
        <v>43221</v>
      </c>
      <c r="H59" s="429" t="s">
        <v>26</v>
      </c>
      <c r="I59" s="427">
        <v>2.02</v>
      </c>
      <c r="J59" s="640">
        <v>2.125</v>
      </c>
    </row>
    <row r="60" spans="1:10" customFormat="1" ht="15" x14ac:dyDescent="0.25">
      <c r="A60" s="577"/>
      <c r="B60" s="618"/>
      <c r="C60" s="411" t="s">
        <v>3236</v>
      </c>
      <c r="D60" s="410" t="s">
        <v>3237</v>
      </c>
      <c r="E60" s="411">
        <v>33210009</v>
      </c>
      <c r="F60" s="411"/>
      <c r="G60" s="421">
        <v>43221</v>
      </c>
      <c r="H60" s="429" t="s">
        <v>26</v>
      </c>
      <c r="I60" s="439">
        <v>2.23</v>
      </c>
      <c r="J60" s="641"/>
    </row>
    <row r="61" spans="1:10" customFormat="1" ht="15" x14ac:dyDescent="0.25">
      <c r="A61" s="577">
        <v>244</v>
      </c>
      <c r="B61" s="619" t="s">
        <v>3302</v>
      </c>
      <c r="C61" s="411" t="s">
        <v>3236</v>
      </c>
      <c r="D61" s="440" t="s">
        <v>3237</v>
      </c>
      <c r="E61" s="441">
        <v>33210009</v>
      </c>
      <c r="F61" s="441"/>
      <c r="G61" s="421">
        <v>43221</v>
      </c>
      <c r="H61" s="442" t="s">
        <v>26</v>
      </c>
      <c r="I61" s="435">
        <v>1.7292000000000001</v>
      </c>
      <c r="J61" s="640">
        <v>1.6196000000000002</v>
      </c>
    </row>
    <row r="62" spans="1:10" customFormat="1" ht="15.75" thickBot="1" x14ac:dyDescent="0.3">
      <c r="A62" s="577"/>
      <c r="B62" s="619"/>
      <c r="C62" s="438" t="s">
        <v>3238</v>
      </c>
      <c r="D62" s="410"/>
      <c r="E62" s="411"/>
      <c r="F62" s="411" t="s">
        <v>3239</v>
      </c>
      <c r="G62" s="421">
        <v>43221</v>
      </c>
      <c r="H62" s="434" t="s">
        <v>26</v>
      </c>
      <c r="I62" s="430">
        <v>1.51</v>
      </c>
      <c r="J62" s="641"/>
    </row>
    <row r="63" spans="1:10" customFormat="1" ht="15" x14ac:dyDescent="0.25">
      <c r="A63" s="620">
        <v>324</v>
      </c>
      <c r="B63" s="621" t="s">
        <v>3303</v>
      </c>
      <c r="C63" s="443" t="s">
        <v>3304</v>
      </c>
      <c r="D63" s="444" t="s">
        <v>3237</v>
      </c>
      <c r="E63" s="445" t="s">
        <v>3286</v>
      </c>
      <c r="F63" s="445" t="s">
        <v>3299</v>
      </c>
      <c r="G63" s="446">
        <v>42887</v>
      </c>
      <c r="H63" s="447" t="s">
        <v>12</v>
      </c>
      <c r="I63" s="448">
        <v>6.68</v>
      </c>
      <c r="J63" s="642">
        <v>5.57</v>
      </c>
    </row>
    <row r="64" spans="1:10" customFormat="1" ht="15" x14ac:dyDescent="0.25">
      <c r="A64" s="622"/>
      <c r="B64" s="619"/>
      <c r="C64" s="409" t="s">
        <v>3305</v>
      </c>
      <c r="D64" s="410"/>
      <c r="E64" s="411" t="s">
        <v>3306</v>
      </c>
      <c r="F64" s="411" t="s">
        <v>3307</v>
      </c>
      <c r="G64" s="408">
        <v>42887</v>
      </c>
      <c r="H64" s="429" t="s">
        <v>12</v>
      </c>
      <c r="I64" s="427">
        <v>5.57</v>
      </c>
      <c r="J64" s="643"/>
    </row>
    <row r="65" spans="1:10" customFormat="1" ht="15.75" thickBot="1" x14ac:dyDescent="0.3">
      <c r="A65" s="623"/>
      <c r="B65" s="624"/>
      <c r="C65" s="449" t="s">
        <v>3308</v>
      </c>
      <c r="D65" s="450" t="s">
        <v>3277</v>
      </c>
      <c r="E65" s="451" t="s">
        <v>3278</v>
      </c>
      <c r="F65" s="451" t="s">
        <v>3309</v>
      </c>
      <c r="G65" s="452">
        <v>42887</v>
      </c>
      <c r="H65" s="453" t="s">
        <v>12</v>
      </c>
      <c r="I65" s="454">
        <v>5.3</v>
      </c>
      <c r="J65" s="644"/>
    </row>
    <row r="66" spans="1:10" customFormat="1" ht="15" customHeight="1" x14ac:dyDescent="0.25">
      <c r="A66" s="577">
        <v>693</v>
      </c>
      <c r="B66" s="619" t="s">
        <v>364</v>
      </c>
      <c r="C66" s="409" t="s">
        <v>3310</v>
      </c>
      <c r="D66" s="410"/>
      <c r="E66" s="411" t="s">
        <v>3311</v>
      </c>
      <c r="F66" s="411" t="s">
        <v>3312</v>
      </c>
      <c r="G66" s="428">
        <v>42826</v>
      </c>
      <c r="H66" s="429" t="s">
        <v>26</v>
      </c>
      <c r="I66" s="427">
        <v>1000</v>
      </c>
      <c r="J66" s="635">
        <v>1000</v>
      </c>
    </row>
    <row r="67" spans="1:10" customFormat="1" ht="15" customHeight="1" x14ac:dyDescent="0.25">
      <c r="A67" s="577"/>
      <c r="B67" s="619"/>
      <c r="C67" s="409" t="s">
        <v>3313</v>
      </c>
      <c r="D67" s="410" t="s">
        <v>3314</v>
      </c>
      <c r="E67" s="411" t="s">
        <v>3315</v>
      </c>
      <c r="F67" s="411" t="s">
        <v>3316</v>
      </c>
      <c r="G67" s="428">
        <v>42826</v>
      </c>
      <c r="H67" s="429" t="s">
        <v>26</v>
      </c>
      <c r="I67" s="427">
        <v>950</v>
      </c>
      <c r="J67" s="635"/>
    </row>
    <row r="68" spans="1:10" customFormat="1" ht="15" customHeight="1" x14ac:dyDescent="0.25">
      <c r="A68" s="577"/>
      <c r="B68" s="619"/>
      <c r="C68" s="409" t="s">
        <v>3317</v>
      </c>
      <c r="D68" s="410"/>
      <c r="E68" s="411" t="s">
        <v>3318</v>
      </c>
      <c r="F68" s="411"/>
      <c r="G68" s="428">
        <v>42826</v>
      </c>
      <c r="H68" s="429" t="s">
        <v>26</v>
      </c>
      <c r="I68" s="427">
        <v>1500</v>
      </c>
      <c r="J68" s="635"/>
    </row>
    <row r="69" spans="1:10" s="1" customFormat="1" ht="15" x14ac:dyDescent="0.25">
      <c r="A69" s="577">
        <v>703</v>
      </c>
      <c r="B69" s="578" t="s">
        <v>2997</v>
      </c>
      <c r="C69" s="431" t="s">
        <v>3319</v>
      </c>
      <c r="D69" s="455"/>
      <c r="E69" s="433" t="s">
        <v>3320</v>
      </c>
      <c r="F69" s="433" t="s">
        <v>3321</v>
      </c>
      <c r="G69" s="408">
        <v>43069</v>
      </c>
      <c r="H69" s="456" t="s">
        <v>266</v>
      </c>
      <c r="I69" s="457">
        <v>5410</v>
      </c>
      <c r="J69" s="635">
        <v>4966.0200000000004</v>
      </c>
    </row>
    <row r="70" spans="1:10" s="1" customFormat="1" ht="15" x14ac:dyDescent="0.25">
      <c r="A70" s="577"/>
      <c r="B70" s="578"/>
      <c r="C70" s="431" t="s">
        <v>3322</v>
      </c>
      <c r="D70" s="455" t="s">
        <v>3323</v>
      </c>
      <c r="E70" s="433" t="s">
        <v>3324</v>
      </c>
      <c r="F70" s="433" t="s">
        <v>3325</v>
      </c>
      <c r="G70" s="408">
        <v>43069</v>
      </c>
      <c r="H70" s="456" t="s">
        <v>266</v>
      </c>
      <c r="I70" s="457">
        <v>4207</v>
      </c>
      <c r="J70" s="635"/>
    </row>
    <row r="71" spans="1:10" s="1" customFormat="1" ht="15" x14ac:dyDescent="0.25">
      <c r="A71" s="577"/>
      <c r="B71" s="578"/>
      <c r="C71" s="409" t="s">
        <v>3326</v>
      </c>
      <c r="D71" s="410"/>
      <c r="E71" s="411" t="s">
        <v>3327</v>
      </c>
      <c r="F71" s="411" t="s">
        <v>3299</v>
      </c>
      <c r="G71" s="408">
        <v>43099</v>
      </c>
      <c r="H71" s="456" t="s">
        <v>266</v>
      </c>
      <c r="I71" s="457">
        <v>4966.0200000000004</v>
      </c>
      <c r="J71" s="635"/>
    </row>
    <row r="72" spans="1:10" customFormat="1" ht="15" x14ac:dyDescent="0.25">
      <c r="A72" s="625"/>
      <c r="B72" s="459"/>
      <c r="C72" s="458"/>
      <c r="D72" s="459"/>
      <c r="E72" s="459"/>
      <c r="F72" s="460"/>
      <c r="G72" s="461"/>
      <c r="H72" s="460"/>
      <c r="I72" s="462"/>
      <c r="J72" s="645"/>
    </row>
    <row r="73" spans="1:10" customFormat="1" ht="15" x14ac:dyDescent="0.25">
      <c r="A73" s="625"/>
      <c r="B73" s="459"/>
      <c r="C73" s="458"/>
      <c r="D73" s="459"/>
      <c r="E73" s="459"/>
      <c r="F73" s="460"/>
      <c r="G73" s="461"/>
      <c r="H73" s="460"/>
      <c r="I73" s="462"/>
      <c r="J73" s="645"/>
    </row>
    <row r="74" spans="1:10" customFormat="1" ht="15" x14ac:dyDescent="0.25">
      <c r="A74" s="575">
        <v>778</v>
      </c>
      <c r="B74" s="626" t="s">
        <v>2667</v>
      </c>
      <c r="C74" s="463" t="s">
        <v>3328</v>
      </c>
      <c r="D74" s="420" t="s">
        <v>3329</v>
      </c>
      <c r="E74" s="420" t="s">
        <v>3330</v>
      </c>
      <c r="F74" s="420" t="s">
        <v>3331</v>
      </c>
      <c r="G74" s="421">
        <v>43160</v>
      </c>
      <c r="H74" s="420" t="s">
        <v>168</v>
      </c>
      <c r="I74" s="422">
        <v>32.61</v>
      </c>
      <c r="J74" s="646">
        <v>32.61</v>
      </c>
    </row>
    <row r="75" spans="1:10" customFormat="1" ht="15" x14ac:dyDescent="0.25">
      <c r="A75" s="575"/>
      <c r="B75" s="627"/>
      <c r="C75" s="463" t="s">
        <v>3332</v>
      </c>
      <c r="D75" s="464" t="s">
        <v>3282</v>
      </c>
      <c r="E75" s="420" t="s">
        <v>3333</v>
      </c>
      <c r="F75" s="420" t="s">
        <v>3334</v>
      </c>
      <c r="G75" s="421">
        <v>43160</v>
      </c>
      <c r="H75" s="420" t="s">
        <v>168</v>
      </c>
      <c r="I75" s="422">
        <v>33.26</v>
      </c>
      <c r="J75" s="646"/>
    </row>
    <row r="76" spans="1:10" customFormat="1" ht="15" x14ac:dyDescent="0.25">
      <c r="A76" s="575"/>
      <c r="B76" s="628"/>
      <c r="C76" s="463" t="s">
        <v>3335</v>
      </c>
      <c r="D76" s="420" t="s">
        <v>3233</v>
      </c>
      <c r="E76" s="420" t="s">
        <v>3234</v>
      </c>
      <c r="F76" s="420" t="s">
        <v>3336</v>
      </c>
      <c r="G76" s="421">
        <v>43160</v>
      </c>
      <c r="H76" s="420" t="s">
        <v>168</v>
      </c>
      <c r="I76" s="422">
        <v>27.77</v>
      </c>
      <c r="J76" s="646"/>
    </row>
    <row r="77" spans="1:10" customFormat="1" ht="15" x14ac:dyDescent="0.25">
      <c r="A77" s="625"/>
      <c r="B77" s="459"/>
      <c r="C77" s="458"/>
      <c r="D77" s="459"/>
      <c r="E77" s="459"/>
      <c r="F77" s="460"/>
      <c r="G77" s="461"/>
      <c r="H77" s="460"/>
      <c r="I77" s="462"/>
      <c r="J77" s="645"/>
    </row>
    <row r="78" spans="1:10" customFormat="1" ht="15" x14ac:dyDescent="0.25">
      <c r="A78" s="575">
        <v>779</v>
      </c>
      <c r="B78" s="626" t="s">
        <v>3166</v>
      </c>
      <c r="C78" s="463" t="s">
        <v>3328</v>
      </c>
      <c r="D78" s="420" t="s">
        <v>3329</v>
      </c>
      <c r="E78" s="420" t="s">
        <v>3330</v>
      </c>
      <c r="F78" s="420" t="s">
        <v>3331</v>
      </c>
      <c r="G78" s="421">
        <v>43160</v>
      </c>
      <c r="H78" s="420" t="s">
        <v>12</v>
      </c>
      <c r="I78" s="422">
        <v>24.48</v>
      </c>
      <c r="J78" s="646">
        <v>24.48</v>
      </c>
    </row>
    <row r="79" spans="1:10" customFormat="1" ht="15" x14ac:dyDescent="0.25">
      <c r="A79" s="575"/>
      <c r="B79" s="627"/>
      <c r="C79" s="463" t="s">
        <v>3332</v>
      </c>
      <c r="D79" s="464" t="s">
        <v>3282</v>
      </c>
      <c r="E79" s="420" t="s">
        <v>3333</v>
      </c>
      <c r="F79" s="420" t="s">
        <v>3334</v>
      </c>
      <c r="G79" s="421">
        <v>43160</v>
      </c>
      <c r="H79" s="420" t="s">
        <v>12</v>
      </c>
      <c r="I79" s="422">
        <v>19.21</v>
      </c>
      <c r="J79" s="646"/>
    </row>
    <row r="80" spans="1:10" customFormat="1" ht="15" x14ac:dyDescent="0.25">
      <c r="A80" s="575"/>
      <c r="B80" s="628"/>
      <c r="C80" s="463" t="s">
        <v>3335</v>
      </c>
      <c r="D80" s="420" t="s">
        <v>3233</v>
      </c>
      <c r="E80" s="420" t="s">
        <v>3234</v>
      </c>
      <c r="F80" s="420" t="s">
        <v>3336</v>
      </c>
      <c r="G80" s="421">
        <v>43160</v>
      </c>
      <c r="H80" s="420" t="s">
        <v>12</v>
      </c>
      <c r="I80" s="422">
        <v>24.55</v>
      </c>
      <c r="J80" s="646"/>
    </row>
    <row r="81" spans="1:10" customFormat="1" ht="15" x14ac:dyDescent="0.25">
      <c r="A81" s="625"/>
      <c r="B81" s="459"/>
      <c r="C81" s="458"/>
      <c r="D81" s="459"/>
      <c r="E81" s="459"/>
      <c r="F81" s="460"/>
      <c r="G81" s="461"/>
      <c r="H81" s="460"/>
      <c r="I81" s="462"/>
      <c r="J81" s="645"/>
    </row>
    <row r="82" spans="1:10" customFormat="1" ht="15" x14ac:dyDescent="0.25">
      <c r="A82" s="625"/>
      <c r="B82" s="459"/>
      <c r="C82" s="458"/>
      <c r="D82" s="459"/>
      <c r="E82" s="459"/>
      <c r="F82" s="460"/>
      <c r="G82" s="461"/>
      <c r="H82" s="460"/>
      <c r="I82" s="462"/>
      <c r="J82" s="645"/>
    </row>
    <row r="83" spans="1:10" customFormat="1" ht="15" x14ac:dyDescent="0.25">
      <c r="A83" s="575">
        <v>792</v>
      </c>
      <c r="B83" s="626" t="s">
        <v>3169</v>
      </c>
      <c r="C83" s="463" t="s">
        <v>3332</v>
      </c>
      <c r="D83" s="420" t="s">
        <v>3282</v>
      </c>
      <c r="E83" s="420" t="s">
        <v>3333</v>
      </c>
      <c r="F83" s="420" t="s">
        <v>3334</v>
      </c>
      <c r="G83" s="421">
        <v>43160</v>
      </c>
      <c r="H83" s="420" t="s">
        <v>3337</v>
      </c>
      <c r="I83" s="422">
        <v>15.49</v>
      </c>
      <c r="J83" s="646">
        <v>15.49</v>
      </c>
    </row>
    <row r="84" spans="1:10" customFormat="1" ht="15" x14ac:dyDescent="0.25">
      <c r="A84" s="575"/>
      <c r="B84" s="627"/>
      <c r="C84" s="463" t="s">
        <v>3328</v>
      </c>
      <c r="D84" s="464" t="s">
        <v>3329</v>
      </c>
      <c r="E84" s="420" t="s">
        <v>3330</v>
      </c>
      <c r="F84" s="420"/>
      <c r="G84" s="421">
        <v>43160</v>
      </c>
      <c r="H84" s="420" t="s">
        <v>3337</v>
      </c>
      <c r="I84" s="422">
        <v>12.48</v>
      </c>
      <c r="J84" s="646"/>
    </row>
    <row r="85" spans="1:10" customFormat="1" ht="15" x14ac:dyDescent="0.25">
      <c r="A85" s="575"/>
      <c r="B85" s="628"/>
      <c r="C85" s="463" t="s">
        <v>3335</v>
      </c>
      <c r="D85" s="420" t="s">
        <v>3233</v>
      </c>
      <c r="E85" s="420" t="s">
        <v>3234</v>
      </c>
      <c r="F85" s="420" t="s">
        <v>3336</v>
      </c>
      <c r="G85" s="421">
        <v>43160</v>
      </c>
      <c r="H85" s="420" t="s">
        <v>3337</v>
      </c>
      <c r="I85" s="422">
        <v>22.23</v>
      </c>
      <c r="J85" s="646"/>
    </row>
    <row r="86" spans="1:10" customFormat="1" ht="15" x14ac:dyDescent="0.25">
      <c r="A86" s="625"/>
      <c r="B86" s="459"/>
      <c r="C86" s="458"/>
      <c r="D86" s="459"/>
      <c r="E86" s="459"/>
      <c r="F86" s="460"/>
      <c r="G86" s="461"/>
      <c r="H86" s="460"/>
      <c r="I86" s="462"/>
      <c r="J86" s="645"/>
    </row>
    <row r="87" spans="1:10" customFormat="1" ht="15" x14ac:dyDescent="0.25">
      <c r="A87" s="575">
        <v>784</v>
      </c>
      <c r="B87" s="626" t="s">
        <v>3172</v>
      </c>
      <c r="C87" s="463"/>
      <c r="D87" s="420"/>
      <c r="E87" s="420"/>
      <c r="F87" s="420"/>
      <c r="G87" s="421"/>
      <c r="H87" s="420"/>
      <c r="I87" s="420"/>
      <c r="J87" s="646">
        <v>24.04</v>
      </c>
    </row>
    <row r="88" spans="1:10" customFormat="1" ht="15" x14ac:dyDescent="0.25">
      <c r="A88" s="575"/>
      <c r="B88" s="627"/>
      <c r="C88" s="463" t="s">
        <v>3332</v>
      </c>
      <c r="D88" s="464" t="s">
        <v>3282</v>
      </c>
      <c r="E88" s="420" t="s">
        <v>3333</v>
      </c>
      <c r="F88" s="420" t="s">
        <v>3334</v>
      </c>
      <c r="G88" s="421">
        <v>43160</v>
      </c>
      <c r="H88" s="420" t="s">
        <v>3337</v>
      </c>
      <c r="I88" s="422">
        <v>14.98</v>
      </c>
      <c r="J88" s="646"/>
    </row>
    <row r="89" spans="1:10" customFormat="1" ht="15" x14ac:dyDescent="0.25">
      <c r="A89" s="575"/>
      <c r="B89" s="628"/>
      <c r="C89" s="463" t="s">
        <v>3335</v>
      </c>
      <c r="D89" s="420" t="s">
        <v>3233</v>
      </c>
      <c r="E89" s="420" t="s">
        <v>3234</v>
      </c>
      <c r="F89" s="420" t="s">
        <v>3336</v>
      </c>
      <c r="G89" s="421">
        <v>43160</v>
      </c>
      <c r="H89" s="420" t="s">
        <v>3337</v>
      </c>
      <c r="I89" s="422">
        <v>33.1</v>
      </c>
      <c r="J89" s="646"/>
    </row>
    <row r="90" spans="1:10" customFormat="1" ht="15" x14ac:dyDescent="0.25">
      <c r="A90" s="625"/>
      <c r="B90" s="459"/>
      <c r="C90" s="458"/>
      <c r="D90" s="459"/>
      <c r="E90" s="459"/>
      <c r="F90" s="460"/>
      <c r="G90" s="461"/>
      <c r="H90" s="460"/>
      <c r="I90" s="462"/>
      <c r="J90" s="645"/>
    </row>
    <row r="91" spans="1:10" customFormat="1" ht="15" x14ac:dyDescent="0.25">
      <c r="A91" s="575">
        <v>785</v>
      </c>
      <c r="B91" s="629" t="s">
        <v>2640</v>
      </c>
      <c r="C91" s="463" t="s">
        <v>3332</v>
      </c>
      <c r="D91" s="464" t="s">
        <v>3282</v>
      </c>
      <c r="E91" s="420" t="s">
        <v>3333</v>
      </c>
      <c r="F91" s="420" t="s">
        <v>3334</v>
      </c>
      <c r="G91" s="421">
        <v>43160</v>
      </c>
      <c r="H91" s="420" t="s">
        <v>3337</v>
      </c>
      <c r="I91" s="422">
        <v>177.96</v>
      </c>
      <c r="J91" s="646">
        <v>242.83</v>
      </c>
    </row>
    <row r="92" spans="1:10" customFormat="1" ht="15" x14ac:dyDescent="0.25">
      <c r="A92" s="575"/>
      <c r="B92" s="629"/>
      <c r="C92" s="463" t="s">
        <v>3335</v>
      </c>
      <c r="D92" s="420" t="s">
        <v>3233</v>
      </c>
      <c r="E92" s="420" t="s">
        <v>3234</v>
      </c>
      <c r="F92" s="420" t="s">
        <v>3336</v>
      </c>
      <c r="G92" s="421">
        <v>43160</v>
      </c>
      <c r="H92" s="420" t="s">
        <v>3337</v>
      </c>
      <c r="I92" s="422">
        <v>242.83</v>
      </c>
      <c r="J92" s="646"/>
    </row>
    <row r="93" spans="1:10" customFormat="1" ht="15" x14ac:dyDescent="0.25">
      <c r="A93" s="575"/>
      <c r="B93" s="629"/>
      <c r="C93" s="463" t="s">
        <v>3338</v>
      </c>
      <c r="D93" s="420" t="s">
        <v>3339</v>
      </c>
      <c r="E93" s="420" t="s">
        <v>3286</v>
      </c>
      <c r="F93" s="420" t="s">
        <v>3299</v>
      </c>
      <c r="G93" s="421">
        <v>43160</v>
      </c>
      <c r="H93" s="420" t="s">
        <v>3337</v>
      </c>
      <c r="I93" s="422">
        <v>254.93</v>
      </c>
      <c r="J93" s="646"/>
    </row>
    <row r="94" spans="1:10" customFormat="1" ht="15" x14ac:dyDescent="0.25">
      <c r="A94" s="625"/>
      <c r="B94" s="459"/>
      <c r="C94" s="458"/>
      <c r="D94" s="459"/>
      <c r="E94" s="459"/>
      <c r="F94" s="460"/>
      <c r="G94" s="461"/>
      <c r="H94" s="460"/>
      <c r="I94" s="462"/>
      <c r="J94" s="645"/>
    </row>
    <row r="95" spans="1:10" customFormat="1" ht="15" x14ac:dyDescent="0.25">
      <c r="A95" s="625"/>
      <c r="B95" s="459"/>
      <c r="C95" s="458"/>
      <c r="D95" s="459"/>
      <c r="E95" s="459"/>
      <c r="F95" s="460"/>
      <c r="G95" s="461"/>
      <c r="H95" s="460"/>
      <c r="I95" s="462"/>
      <c r="J95" s="645"/>
    </row>
    <row r="96" spans="1:10" customFormat="1" ht="15" x14ac:dyDescent="0.25">
      <c r="A96" s="575">
        <v>798</v>
      </c>
      <c r="B96" s="629" t="s">
        <v>2755</v>
      </c>
      <c r="C96" s="463" t="s">
        <v>3328</v>
      </c>
      <c r="D96" s="420" t="s">
        <v>3329</v>
      </c>
      <c r="E96" s="420" t="s">
        <v>3330</v>
      </c>
      <c r="F96" s="420" t="s">
        <v>3331</v>
      </c>
      <c r="G96" s="421">
        <v>43160</v>
      </c>
      <c r="H96" s="420" t="s">
        <v>3337</v>
      </c>
      <c r="I96" s="422">
        <v>446.39</v>
      </c>
      <c r="J96" s="646">
        <v>458.44499999999999</v>
      </c>
    </row>
    <row r="97" spans="1:10" customFormat="1" ht="15" x14ac:dyDescent="0.25">
      <c r="A97" s="575"/>
      <c r="B97" s="629"/>
      <c r="C97" s="463" t="s">
        <v>3340</v>
      </c>
      <c r="D97" s="420" t="s">
        <v>3341</v>
      </c>
      <c r="E97" s="420" t="s">
        <v>3342</v>
      </c>
      <c r="F97" s="420" t="s">
        <v>3343</v>
      </c>
      <c r="G97" s="421">
        <v>43160</v>
      </c>
      <c r="H97" s="420" t="s">
        <v>3337</v>
      </c>
      <c r="I97" s="422">
        <v>470.5</v>
      </c>
      <c r="J97" s="646"/>
    </row>
    <row r="98" spans="1:10" customFormat="1" ht="15" x14ac:dyDescent="0.25">
      <c r="A98" s="575"/>
      <c r="B98" s="629"/>
      <c r="C98" s="463"/>
      <c r="D98" s="420"/>
      <c r="E98" s="420"/>
      <c r="F98" s="420"/>
      <c r="G98" s="420"/>
      <c r="H98" s="420"/>
      <c r="I98" s="422"/>
      <c r="J98" s="646"/>
    </row>
    <row r="99" spans="1:10" customFormat="1" ht="15" x14ac:dyDescent="0.25">
      <c r="A99" s="625"/>
      <c r="B99" s="459"/>
      <c r="C99" s="458"/>
      <c r="D99" s="459"/>
      <c r="E99" s="459"/>
      <c r="F99" s="460"/>
      <c r="G99" s="461"/>
      <c r="H99" s="460"/>
      <c r="I99" s="462"/>
      <c r="J99" s="645"/>
    </row>
    <row r="100" spans="1:10" customFormat="1" ht="15" x14ac:dyDescent="0.25">
      <c r="A100" s="575">
        <v>793</v>
      </c>
      <c r="B100" s="629" t="s">
        <v>3179</v>
      </c>
      <c r="C100" s="463" t="s">
        <v>3328</v>
      </c>
      <c r="D100" s="420" t="s">
        <v>3329</v>
      </c>
      <c r="E100" s="420" t="s">
        <v>3330</v>
      </c>
      <c r="F100" s="420" t="s">
        <v>3331</v>
      </c>
      <c r="G100" s="421">
        <v>43160</v>
      </c>
      <c r="H100" s="420" t="s">
        <v>3337</v>
      </c>
      <c r="I100" s="422">
        <v>18.73</v>
      </c>
      <c r="J100" s="646">
        <v>18.73</v>
      </c>
    </row>
    <row r="101" spans="1:10" customFormat="1" ht="15" x14ac:dyDescent="0.25">
      <c r="A101" s="575"/>
      <c r="B101" s="629"/>
      <c r="C101" s="463" t="s">
        <v>3344</v>
      </c>
      <c r="D101" s="420" t="s">
        <v>3345</v>
      </c>
      <c r="E101" s="420" t="s">
        <v>3346</v>
      </c>
      <c r="F101" s="420" t="s">
        <v>3347</v>
      </c>
      <c r="G101" s="421">
        <v>43160</v>
      </c>
      <c r="H101" s="420" t="s">
        <v>3337</v>
      </c>
      <c r="I101" s="422">
        <v>12.79</v>
      </c>
      <c r="J101" s="646"/>
    </row>
    <row r="102" spans="1:10" customFormat="1" ht="15" x14ac:dyDescent="0.25">
      <c r="A102" s="575"/>
      <c r="B102" s="629"/>
      <c r="C102" s="463" t="s">
        <v>3348</v>
      </c>
      <c r="D102" s="420" t="s">
        <v>3349</v>
      </c>
      <c r="E102" s="420" t="s">
        <v>3350</v>
      </c>
      <c r="F102" s="420" t="s">
        <v>3351</v>
      </c>
      <c r="G102" s="421">
        <v>43160</v>
      </c>
      <c r="H102" s="420" t="s">
        <v>3337</v>
      </c>
      <c r="I102" s="422">
        <v>250</v>
      </c>
      <c r="J102" s="646"/>
    </row>
    <row r="103" spans="1:10" customFormat="1" ht="15" x14ac:dyDescent="0.25">
      <c r="A103" s="625"/>
      <c r="B103" s="459"/>
      <c r="C103" s="458"/>
      <c r="D103" s="459"/>
      <c r="E103" s="459"/>
      <c r="F103" s="460"/>
      <c r="G103" s="461"/>
      <c r="H103" s="460"/>
      <c r="I103" s="462"/>
      <c r="J103" s="645"/>
    </row>
    <row r="104" spans="1:10" customFormat="1" ht="15" x14ac:dyDescent="0.25">
      <c r="A104" s="575">
        <v>800</v>
      </c>
      <c r="B104" s="575" t="s">
        <v>2803</v>
      </c>
      <c r="C104" s="463" t="s">
        <v>3328</v>
      </c>
      <c r="D104" s="420" t="s">
        <v>3329</v>
      </c>
      <c r="E104" s="420" t="s">
        <v>3330</v>
      </c>
      <c r="F104" s="420" t="s">
        <v>3331</v>
      </c>
      <c r="G104" s="421">
        <v>43160</v>
      </c>
      <c r="H104" s="420" t="s">
        <v>12</v>
      </c>
      <c r="I104" s="422">
        <v>5.13</v>
      </c>
      <c r="J104" s="646">
        <v>5.1150000000000002</v>
      </c>
    </row>
    <row r="105" spans="1:10" customFormat="1" ht="15" x14ac:dyDescent="0.25">
      <c r="A105" s="575"/>
      <c r="B105" s="575"/>
      <c r="C105" s="463" t="s">
        <v>3340</v>
      </c>
      <c r="D105" s="420" t="s">
        <v>3341</v>
      </c>
      <c r="E105" s="420" t="s">
        <v>3342</v>
      </c>
      <c r="F105" s="420" t="s">
        <v>3343</v>
      </c>
      <c r="G105" s="421">
        <v>43160</v>
      </c>
      <c r="H105" s="420" t="s">
        <v>12</v>
      </c>
      <c r="I105" s="422">
        <v>5.0999999999999996</v>
      </c>
      <c r="J105" s="646"/>
    </row>
    <row r="106" spans="1:10" customFormat="1" ht="15" x14ac:dyDescent="0.25">
      <c r="A106" s="575"/>
      <c r="B106" s="575"/>
      <c r="C106" s="463"/>
      <c r="D106" s="420"/>
      <c r="E106" s="420"/>
      <c r="F106" s="420"/>
      <c r="G106" s="420"/>
      <c r="H106" s="420"/>
      <c r="I106" s="422"/>
      <c r="J106" s="646"/>
    </row>
    <row r="107" spans="1:10" customFormat="1" ht="15" x14ac:dyDescent="0.25">
      <c r="A107" s="625"/>
      <c r="B107" s="459"/>
      <c r="C107" s="458"/>
      <c r="D107" s="459"/>
      <c r="E107" s="459"/>
      <c r="F107" s="460"/>
      <c r="G107" s="461"/>
      <c r="H107" s="460"/>
      <c r="I107" s="462"/>
      <c r="J107" s="645"/>
    </row>
    <row r="108" spans="1:10" customFormat="1" ht="15" x14ac:dyDescent="0.25">
      <c r="A108" s="575">
        <v>795</v>
      </c>
      <c r="B108" s="629" t="s">
        <v>2730</v>
      </c>
      <c r="C108" s="463" t="s">
        <v>3328</v>
      </c>
      <c r="D108" s="420" t="s">
        <v>3329</v>
      </c>
      <c r="E108" s="420" t="s">
        <v>3330</v>
      </c>
      <c r="F108" s="420" t="s">
        <v>3331</v>
      </c>
      <c r="G108" s="421">
        <v>43160</v>
      </c>
      <c r="H108" s="420" t="s">
        <v>3337</v>
      </c>
      <c r="I108" s="422">
        <v>402.64</v>
      </c>
      <c r="J108" s="646">
        <v>402.64</v>
      </c>
    </row>
    <row r="109" spans="1:10" customFormat="1" ht="15" x14ac:dyDescent="0.25">
      <c r="A109" s="575"/>
      <c r="B109" s="629"/>
      <c r="C109" s="463" t="s">
        <v>3344</v>
      </c>
      <c r="D109" s="420" t="s">
        <v>3345</v>
      </c>
      <c r="E109" s="420" t="s">
        <v>3346</v>
      </c>
      <c r="F109" s="420" t="s">
        <v>3347</v>
      </c>
      <c r="G109" s="421">
        <v>43160</v>
      </c>
      <c r="H109" s="420" t="s">
        <v>3337</v>
      </c>
      <c r="I109" s="466">
        <v>429.99</v>
      </c>
      <c r="J109" s="646"/>
    </row>
    <row r="110" spans="1:10" customFormat="1" ht="15" x14ac:dyDescent="0.25">
      <c r="A110" s="575"/>
      <c r="B110" s="629"/>
      <c r="C110" s="463" t="s">
        <v>3348</v>
      </c>
      <c r="D110" s="420" t="s">
        <v>3349</v>
      </c>
      <c r="E110" s="420" t="s">
        <v>3350</v>
      </c>
      <c r="F110" s="420" t="s">
        <v>3351</v>
      </c>
      <c r="G110" s="421">
        <v>43160</v>
      </c>
      <c r="H110" s="420" t="s">
        <v>3337</v>
      </c>
      <c r="I110" s="422">
        <v>133.77000000000001</v>
      </c>
      <c r="J110" s="646"/>
    </row>
    <row r="111" spans="1:10" customFormat="1" ht="15" x14ac:dyDescent="0.25">
      <c r="A111" s="625"/>
      <c r="B111" s="459"/>
      <c r="C111" s="458"/>
      <c r="D111" s="459"/>
      <c r="E111" s="459"/>
      <c r="F111" s="460"/>
      <c r="G111" s="461"/>
      <c r="H111" s="460"/>
      <c r="I111" s="462"/>
      <c r="J111" s="645"/>
    </row>
    <row r="112" spans="1:10" customFormat="1" ht="15" x14ac:dyDescent="0.25">
      <c r="A112" s="575">
        <v>796</v>
      </c>
      <c r="B112" s="575" t="s">
        <v>2810</v>
      </c>
      <c r="C112" s="463" t="s">
        <v>3328</v>
      </c>
      <c r="D112" s="420" t="s">
        <v>3329</v>
      </c>
      <c r="E112" s="420" t="s">
        <v>3330</v>
      </c>
      <c r="F112" s="420" t="s">
        <v>3331</v>
      </c>
      <c r="G112" s="421">
        <v>43160</v>
      </c>
      <c r="H112" s="420" t="s">
        <v>3337</v>
      </c>
      <c r="I112" s="422">
        <v>4124.51</v>
      </c>
      <c r="J112" s="646">
        <v>2986.91</v>
      </c>
    </row>
    <row r="113" spans="1:10" customFormat="1" ht="15" x14ac:dyDescent="0.25">
      <c r="A113" s="575"/>
      <c r="B113" s="575"/>
      <c r="C113" s="463" t="s">
        <v>3344</v>
      </c>
      <c r="D113" s="420" t="s">
        <v>3345</v>
      </c>
      <c r="E113" s="420" t="s">
        <v>3346</v>
      </c>
      <c r="F113" s="420" t="s">
        <v>3347</v>
      </c>
      <c r="G113" s="421">
        <v>43160</v>
      </c>
      <c r="H113" s="420" t="s">
        <v>3337</v>
      </c>
      <c r="I113" s="422">
        <v>2907.78</v>
      </c>
      <c r="J113" s="646"/>
    </row>
    <row r="114" spans="1:10" customFormat="1" ht="15" x14ac:dyDescent="0.25">
      <c r="A114" s="575"/>
      <c r="B114" s="575"/>
      <c r="C114" s="463" t="s">
        <v>3348</v>
      </c>
      <c r="D114" s="420" t="s">
        <v>3349</v>
      </c>
      <c r="E114" s="420" t="s">
        <v>3350</v>
      </c>
      <c r="F114" s="420" t="s">
        <v>3351</v>
      </c>
      <c r="G114" s="421">
        <v>43160</v>
      </c>
      <c r="H114" s="420" t="s">
        <v>3337</v>
      </c>
      <c r="I114" s="422">
        <v>2986.91</v>
      </c>
      <c r="J114" s="646"/>
    </row>
    <row r="115" spans="1:10" customFormat="1" ht="15" x14ac:dyDescent="0.25">
      <c r="A115" s="625"/>
      <c r="B115" s="459"/>
      <c r="C115" s="458"/>
      <c r="D115" s="459"/>
      <c r="E115" s="459"/>
      <c r="F115" s="460"/>
      <c r="G115" s="461"/>
      <c r="H115" s="460"/>
      <c r="I115" s="462"/>
      <c r="J115" s="645"/>
    </row>
    <row r="116" spans="1:10" customFormat="1" ht="15" x14ac:dyDescent="0.25">
      <c r="A116" s="575">
        <v>797</v>
      </c>
      <c r="B116" s="575" t="s">
        <v>3352</v>
      </c>
      <c r="C116" s="463" t="s">
        <v>3328</v>
      </c>
      <c r="D116" s="420" t="s">
        <v>3329</v>
      </c>
      <c r="E116" s="420" t="s">
        <v>3330</v>
      </c>
      <c r="F116" s="420" t="s">
        <v>3331</v>
      </c>
      <c r="G116" s="421">
        <v>43160</v>
      </c>
      <c r="H116" s="420" t="s">
        <v>3337</v>
      </c>
      <c r="I116" s="422">
        <v>2963.8</v>
      </c>
      <c r="J116" s="646">
        <v>2063.19</v>
      </c>
    </row>
    <row r="117" spans="1:10" customFormat="1" ht="15" x14ac:dyDescent="0.25">
      <c r="A117" s="575"/>
      <c r="B117" s="575"/>
      <c r="C117" s="463" t="s">
        <v>3344</v>
      </c>
      <c r="D117" s="420" t="s">
        <v>3345</v>
      </c>
      <c r="E117" s="420" t="s">
        <v>3346</v>
      </c>
      <c r="F117" s="420" t="s">
        <v>3347</v>
      </c>
      <c r="G117" s="421">
        <v>43160</v>
      </c>
      <c r="H117" s="420" t="s">
        <v>3337</v>
      </c>
      <c r="I117" s="422">
        <v>2063.19</v>
      </c>
      <c r="J117" s="646"/>
    </row>
    <row r="118" spans="1:10" customFormat="1" ht="15" x14ac:dyDescent="0.25">
      <c r="A118" s="575"/>
      <c r="B118" s="575"/>
      <c r="C118" s="463" t="s">
        <v>3348</v>
      </c>
      <c r="D118" s="420" t="s">
        <v>3349</v>
      </c>
      <c r="E118" s="420" t="s">
        <v>3350</v>
      </c>
      <c r="F118" s="420" t="s">
        <v>3351</v>
      </c>
      <c r="G118" s="421">
        <v>43160</v>
      </c>
      <c r="H118" s="420" t="s">
        <v>3337</v>
      </c>
      <c r="I118" s="422">
        <v>1951.74</v>
      </c>
      <c r="J118" s="646"/>
    </row>
    <row r="119" spans="1:10" customFormat="1" ht="15" x14ac:dyDescent="0.25">
      <c r="A119" s="625"/>
      <c r="B119" s="459"/>
      <c r="C119" s="458"/>
      <c r="D119" s="459"/>
      <c r="E119" s="459"/>
      <c r="F119" s="460"/>
      <c r="G119" s="461"/>
      <c r="H119" s="460"/>
      <c r="I119" s="462"/>
      <c r="J119" s="645"/>
    </row>
    <row r="120" spans="1:10" customFormat="1" ht="15" x14ac:dyDescent="0.25">
      <c r="A120" s="625"/>
      <c r="B120" s="459"/>
      <c r="C120" s="458"/>
      <c r="D120" s="459"/>
      <c r="E120" s="459"/>
      <c r="F120" s="460"/>
      <c r="G120" s="461"/>
      <c r="H120" s="460"/>
      <c r="I120" s="462"/>
      <c r="J120" s="645"/>
    </row>
    <row r="121" spans="1:10" customFormat="1" ht="15" x14ac:dyDescent="0.25">
      <c r="A121" s="575">
        <v>804</v>
      </c>
      <c r="B121" s="575" t="s">
        <v>2798</v>
      </c>
      <c r="C121" s="467" t="s">
        <v>3353</v>
      </c>
      <c r="D121" s="468" t="s">
        <v>3354</v>
      </c>
      <c r="E121" s="468" t="s">
        <v>3355</v>
      </c>
      <c r="F121" s="468" t="s">
        <v>3356</v>
      </c>
      <c r="G121" s="421">
        <v>43160</v>
      </c>
      <c r="H121" s="468" t="s">
        <v>168</v>
      </c>
      <c r="I121" s="466">
        <v>80</v>
      </c>
      <c r="J121" s="647">
        <v>40</v>
      </c>
    </row>
    <row r="122" spans="1:10" customFormat="1" ht="15" x14ac:dyDescent="0.25">
      <c r="A122" s="575"/>
      <c r="B122" s="575"/>
      <c r="C122" s="463" t="s">
        <v>3357</v>
      </c>
      <c r="D122" s="464" t="s">
        <v>3358</v>
      </c>
      <c r="E122" s="420" t="s">
        <v>3359</v>
      </c>
      <c r="F122" s="420" t="s">
        <v>3360</v>
      </c>
      <c r="G122" s="421">
        <v>43160</v>
      </c>
      <c r="H122" s="420" t="s">
        <v>168</v>
      </c>
      <c r="I122" s="422">
        <v>40</v>
      </c>
      <c r="J122" s="647"/>
    </row>
    <row r="123" spans="1:10" customFormat="1" ht="15" x14ac:dyDescent="0.25">
      <c r="A123" s="575"/>
      <c r="B123" s="575"/>
      <c r="C123" s="463" t="s">
        <v>3361</v>
      </c>
      <c r="D123" s="420" t="s">
        <v>3362</v>
      </c>
      <c r="E123" s="420" t="s">
        <v>3363</v>
      </c>
      <c r="F123" s="420" t="s">
        <v>3336</v>
      </c>
      <c r="G123" s="421">
        <v>43160</v>
      </c>
      <c r="H123" s="420" t="s">
        <v>168</v>
      </c>
      <c r="I123" s="466">
        <v>40</v>
      </c>
      <c r="J123" s="647"/>
    </row>
    <row r="124" spans="1:10" customFormat="1" ht="15" x14ac:dyDescent="0.25">
      <c r="A124" s="625"/>
      <c r="B124" s="459"/>
      <c r="C124" s="458"/>
      <c r="D124" s="459"/>
      <c r="E124" s="459"/>
      <c r="F124" s="460"/>
      <c r="G124" s="461"/>
      <c r="H124" s="460"/>
      <c r="I124" s="462"/>
      <c r="J124" s="645"/>
    </row>
    <row r="125" spans="1:10" customFormat="1" ht="15" x14ac:dyDescent="0.25">
      <c r="A125" s="575">
        <v>805</v>
      </c>
      <c r="B125" s="629" t="s">
        <v>2793</v>
      </c>
      <c r="C125" s="463" t="s">
        <v>3357</v>
      </c>
      <c r="D125" s="420" t="s">
        <v>3358</v>
      </c>
      <c r="E125" s="420" t="s">
        <v>3359</v>
      </c>
      <c r="F125" s="420" t="s">
        <v>3360</v>
      </c>
      <c r="G125" s="421">
        <v>43160</v>
      </c>
      <c r="H125" s="420" t="s">
        <v>168</v>
      </c>
      <c r="I125" s="422">
        <v>80</v>
      </c>
      <c r="J125" s="647">
        <v>46</v>
      </c>
    </row>
    <row r="126" spans="1:10" customFormat="1" ht="15" x14ac:dyDescent="0.25">
      <c r="A126" s="575"/>
      <c r="B126" s="629"/>
      <c r="C126" s="463" t="s">
        <v>3361</v>
      </c>
      <c r="D126" s="420" t="s">
        <v>3362</v>
      </c>
      <c r="E126" s="420" t="s">
        <v>3363</v>
      </c>
      <c r="F126" s="420" t="s">
        <v>3336</v>
      </c>
      <c r="G126" s="421">
        <v>43160</v>
      </c>
      <c r="H126" s="420" t="s">
        <v>168</v>
      </c>
      <c r="I126" s="422">
        <v>12</v>
      </c>
      <c r="J126" s="647"/>
    </row>
    <row r="127" spans="1:10" customFormat="1" ht="15" x14ac:dyDescent="0.25">
      <c r="A127" s="575"/>
      <c r="B127" s="629"/>
      <c r="C127" s="463"/>
      <c r="D127" s="420"/>
      <c r="E127" s="420"/>
      <c r="F127" s="420"/>
      <c r="G127" s="420"/>
      <c r="H127" s="420"/>
      <c r="I127" s="422"/>
      <c r="J127" s="647"/>
    </row>
    <row r="128" spans="1:10" customFormat="1" ht="15" x14ac:dyDescent="0.25">
      <c r="A128" s="625"/>
      <c r="B128" s="459"/>
      <c r="C128" s="458"/>
      <c r="D128" s="459"/>
      <c r="E128" s="459"/>
      <c r="F128" s="460"/>
      <c r="G128" s="461"/>
      <c r="H128" s="460"/>
      <c r="I128" s="462"/>
      <c r="J128" s="645"/>
    </row>
    <row r="129" spans="1:25" s="151" customFormat="1" ht="15" customHeight="1" x14ac:dyDescent="0.25">
      <c r="A129" s="630">
        <v>811</v>
      </c>
      <c r="B129" s="631" t="s">
        <v>2562</v>
      </c>
      <c r="C129" s="463" t="s">
        <v>3364</v>
      </c>
      <c r="D129" s="412" t="s">
        <v>3365</v>
      </c>
      <c r="E129" s="412" t="s">
        <v>3366</v>
      </c>
      <c r="F129" s="412" t="s">
        <v>3367</v>
      </c>
      <c r="G129" s="413">
        <v>43252</v>
      </c>
      <c r="H129" s="412" t="s">
        <v>3368</v>
      </c>
      <c r="I129" s="412">
        <v>15.61</v>
      </c>
      <c r="J129" s="648">
        <v>12.25</v>
      </c>
      <c r="K129" s="415"/>
      <c r="L129" s="414"/>
      <c r="M129" s="414"/>
      <c r="N129" s="414"/>
      <c r="O129" s="414"/>
      <c r="P129" s="414"/>
      <c r="Q129" s="414"/>
      <c r="R129" s="414"/>
      <c r="S129" s="414"/>
      <c r="T129" s="414"/>
      <c r="U129" s="414"/>
      <c r="V129" s="414"/>
      <c r="W129" s="414"/>
      <c r="X129" s="414"/>
      <c r="Y129" s="414"/>
    </row>
    <row r="130" spans="1:25" s="151" customFormat="1" ht="15" customHeight="1" x14ac:dyDescent="0.25">
      <c r="A130" s="632"/>
      <c r="B130" s="633"/>
      <c r="C130" s="463" t="s">
        <v>3242</v>
      </c>
      <c r="D130" s="412" t="s">
        <v>3243</v>
      </c>
      <c r="E130" s="412" t="s">
        <v>3369</v>
      </c>
      <c r="F130" s="412"/>
      <c r="G130" s="413">
        <v>43252</v>
      </c>
      <c r="H130" s="412" t="s">
        <v>3368</v>
      </c>
      <c r="I130" s="412">
        <v>8.89</v>
      </c>
      <c r="J130" s="649"/>
      <c r="K130" s="415"/>
      <c r="L130" s="414"/>
      <c r="M130" s="414"/>
      <c r="N130" s="414"/>
      <c r="O130" s="414"/>
      <c r="P130" s="414"/>
      <c r="Q130" s="414"/>
      <c r="R130" s="414"/>
      <c r="S130" s="414"/>
      <c r="T130" s="414"/>
      <c r="U130" s="414"/>
      <c r="V130" s="414"/>
      <c r="W130" s="414"/>
      <c r="X130" s="414"/>
      <c r="Y130" s="414"/>
    </row>
    <row r="131" spans="1:25" s="151" customFormat="1" ht="15" customHeight="1" x14ac:dyDescent="0.25">
      <c r="A131" s="625"/>
      <c r="B131" s="459"/>
      <c r="C131" s="458"/>
      <c r="D131" s="459"/>
      <c r="E131" s="459"/>
      <c r="F131" s="460"/>
      <c r="G131" s="461"/>
      <c r="H131" s="460"/>
      <c r="I131" s="462"/>
      <c r="J131" s="645"/>
      <c r="K131" s="415"/>
      <c r="L131" s="414"/>
      <c r="M131" s="414"/>
      <c r="N131" s="414"/>
      <c r="O131" s="414"/>
      <c r="P131" s="414"/>
      <c r="Q131" s="414"/>
      <c r="R131" s="414"/>
      <c r="S131" s="414"/>
      <c r="T131" s="414"/>
      <c r="U131" s="414"/>
      <c r="V131" s="414"/>
      <c r="W131" s="414"/>
      <c r="X131" s="414"/>
      <c r="Y131" s="414"/>
    </row>
    <row r="132" spans="1:25" customFormat="1" ht="15" x14ac:dyDescent="0.25">
      <c r="A132" s="625"/>
      <c r="B132" s="459"/>
      <c r="C132" s="458"/>
      <c r="D132" s="459"/>
      <c r="E132" s="459"/>
      <c r="F132" s="460"/>
      <c r="G132" s="461"/>
      <c r="H132" s="460"/>
      <c r="I132" s="462"/>
      <c r="J132" s="645"/>
      <c r="K132" s="417"/>
      <c r="L132" s="416"/>
      <c r="M132" s="416"/>
      <c r="N132" s="416"/>
      <c r="O132" s="416"/>
      <c r="P132" s="416"/>
      <c r="Q132" s="416"/>
      <c r="R132" s="416"/>
      <c r="S132" s="416"/>
      <c r="T132" s="416"/>
      <c r="U132" s="416"/>
      <c r="V132" s="416"/>
      <c r="W132" s="416"/>
      <c r="X132" s="416"/>
      <c r="Y132" s="416"/>
    </row>
    <row r="133" spans="1:25" customFormat="1" ht="15" customHeight="1" x14ac:dyDescent="0.25">
      <c r="A133" s="630">
        <v>817</v>
      </c>
      <c r="B133" s="631" t="s">
        <v>2733</v>
      </c>
      <c r="C133" s="463" t="s">
        <v>3328</v>
      </c>
      <c r="D133" s="412" t="s">
        <v>3370</v>
      </c>
      <c r="E133" s="412" t="s">
        <v>3371</v>
      </c>
      <c r="F133" s="412"/>
      <c r="G133" s="413">
        <v>43252</v>
      </c>
      <c r="H133" s="412" t="s">
        <v>3368</v>
      </c>
      <c r="I133" s="412">
        <v>26.21</v>
      </c>
      <c r="J133" s="650">
        <v>22.5</v>
      </c>
      <c r="K133" s="417"/>
      <c r="L133" s="416"/>
      <c r="M133" s="416"/>
      <c r="N133" s="416"/>
      <c r="O133" s="416"/>
      <c r="P133" s="416"/>
      <c r="Q133" s="416"/>
      <c r="R133" s="416"/>
      <c r="S133" s="416"/>
      <c r="T133" s="416"/>
      <c r="U133" s="416"/>
      <c r="V133" s="416"/>
      <c r="W133" s="416"/>
      <c r="X133" s="416"/>
      <c r="Y133" s="416"/>
    </row>
    <row r="134" spans="1:25" customFormat="1" ht="15" x14ac:dyDescent="0.25">
      <c r="A134" s="632"/>
      <c r="B134" s="633"/>
      <c r="C134" s="463" t="s">
        <v>3242</v>
      </c>
      <c r="D134" s="412" t="s">
        <v>3243</v>
      </c>
      <c r="E134" s="412" t="s">
        <v>3369</v>
      </c>
      <c r="F134" s="412"/>
      <c r="G134" s="413">
        <v>43252</v>
      </c>
      <c r="H134" s="412" t="s">
        <v>3368</v>
      </c>
      <c r="I134" s="412">
        <v>18.79</v>
      </c>
      <c r="J134" s="650">
        <v>18.79</v>
      </c>
      <c r="K134" s="417"/>
      <c r="L134" s="416"/>
      <c r="M134" s="416"/>
      <c r="N134" s="416"/>
      <c r="O134" s="416"/>
      <c r="P134" s="416"/>
      <c r="Q134" s="416"/>
      <c r="R134" s="416"/>
      <c r="S134" s="416"/>
      <c r="T134" s="416"/>
      <c r="U134" s="416"/>
      <c r="V134" s="416"/>
      <c r="W134" s="416"/>
      <c r="X134" s="416"/>
      <c r="Y134" s="416"/>
    </row>
    <row r="135" spans="1:25" customFormat="1" ht="15" x14ac:dyDescent="0.25">
      <c r="A135" s="625"/>
      <c r="B135" s="459"/>
      <c r="C135" s="458"/>
      <c r="D135" s="459"/>
      <c r="E135" s="459"/>
      <c r="F135" s="460"/>
      <c r="G135" s="461"/>
      <c r="H135" s="460"/>
      <c r="I135" s="462"/>
      <c r="J135" s="645"/>
      <c r="K135" s="417"/>
      <c r="L135" s="416"/>
      <c r="M135" s="416"/>
      <c r="N135" s="416"/>
      <c r="O135" s="416"/>
      <c r="P135" s="416"/>
      <c r="Q135" s="416"/>
      <c r="R135" s="416"/>
      <c r="S135" s="416"/>
      <c r="T135" s="416"/>
      <c r="U135" s="416"/>
      <c r="V135" s="416"/>
      <c r="W135" s="416"/>
      <c r="X135" s="416"/>
      <c r="Y135" s="416"/>
    </row>
    <row r="136" spans="1:25" customFormat="1" ht="15" customHeight="1" x14ac:dyDescent="0.25">
      <c r="A136" s="630">
        <v>819</v>
      </c>
      <c r="B136" s="631" t="s">
        <v>2787</v>
      </c>
      <c r="C136" s="463" t="s">
        <v>3328</v>
      </c>
      <c r="D136" s="412" t="s">
        <v>3370</v>
      </c>
      <c r="E136" s="412" t="s">
        <v>3371</v>
      </c>
      <c r="F136" s="412"/>
      <c r="G136" s="413">
        <v>43252</v>
      </c>
      <c r="H136" s="412" t="s">
        <v>3368</v>
      </c>
      <c r="I136" s="412">
        <v>1444.7</v>
      </c>
      <c r="J136" s="650">
        <v>1175.8900000000001</v>
      </c>
      <c r="K136" s="417"/>
      <c r="L136" s="416"/>
      <c r="M136" s="416"/>
      <c r="N136" s="416"/>
      <c r="O136" s="416"/>
      <c r="P136" s="416"/>
      <c r="Q136" s="416"/>
      <c r="R136" s="416"/>
      <c r="S136" s="416"/>
      <c r="T136" s="416"/>
      <c r="U136" s="416"/>
      <c r="V136" s="416"/>
      <c r="W136" s="416"/>
      <c r="X136" s="416"/>
      <c r="Y136" s="416"/>
    </row>
    <row r="137" spans="1:25" customFormat="1" ht="15" x14ac:dyDescent="0.25">
      <c r="A137" s="632"/>
      <c r="B137" s="633"/>
      <c r="C137" s="463" t="s">
        <v>3242</v>
      </c>
      <c r="D137" s="412" t="s">
        <v>3243</v>
      </c>
      <c r="E137" s="412" t="s">
        <v>3369</v>
      </c>
      <c r="F137" s="412"/>
      <c r="G137" s="413">
        <v>43252</v>
      </c>
      <c r="H137" s="412" t="s">
        <v>3368</v>
      </c>
      <c r="I137" s="412">
        <v>907.08</v>
      </c>
      <c r="J137" s="650">
        <v>907.08</v>
      </c>
      <c r="K137" s="417"/>
      <c r="L137" s="416"/>
      <c r="M137" s="416"/>
      <c r="N137" s="416"/>
      <c r="O137" s="416"/>
      <c r="P137" s="416"/>
      <c r="Q137" s="416"/>
      <c r="R137" s="416"/>
      <c r="S137" s="416"/>
      <c r="T137" s="416"/>
      <c r="U137" s="416"/>
      <c r="V137" s="416"/>
      <c r="W137" s="416"/>
      <c r="X137" s="416"/>
      <c r="Y137" s="416"/>
    </row>
    <row r="138" spans="1:25" customFormat="1" ht="15" x14ac:dyDescent="0.25">
      <c r="A138" s="625"/>
      <c r="B138" s="459"/>
      <c r="C138" s="458"/>
      <c r="D138" s="459"/>
      <c r="E138" s="459"/>
      <c r="F138" s="460"/>
      <c r="G138" s="461"/>
      <c r="H138" s="460"/>
      <c r="I138" s="462"/>
      <c r="J138" s="645"/>
    </row>
    <row r="139" spans="1:25" customFormat="1" ht="15" x14ac:dyDescent="0.25">
      <c r="A139" s="576">
        <v>840</v>
      </c>
      <c r="B139" s="634" t="s">
        <v>1252</v>
      </c>
      <c r="C139" s="463" t="s">
        <v>3372</v>
      </c>
      <c r="D139" s="420" t="s">
        <v>3297</v>
      </c>
      <c r="E139" s="420" t="s">
        <v>3373</v>
      </c>
      <c r="F139" s="420" t="s">
        <v>3374</v>
      </c>
      <c r="G139" s="421">
        <v>43160</v>
      </c>
      <c r="H139" s="420" t="s">
        <v>168</v>
      </c>
      <c r="I139" s="422">
        <v>73.650000000000006</v>
      </c>
      <c r="J139" s="651">
        <v>68.349999999999994</v>
      </c>
      <c r="K139" s="418"/>
    </row>
    <row r="140" spans="1:25" customFormat="1" ht="15" x14ac:dyDescent="0.25">
      <c r="A140" s="576"/>
      <c r="B140" s="634"/>
      <c r="C140" s="463" t="s">
        <v>3375</v>
      </c>
      <c r="D140" s="420" t="s">
        <v>3339</v>
      </c>
      <c r="E140" s="420" t="s">
        <v>3327</v>
      </c>
      <c r="F140" s="420" t="s">
        <v>3287</v>
      </c>
      <c r="G140" s="421">
        <v>43160</v>
      </c>
      <c r="H140" s="420" t="s">
        <v>168</v>
      </c>
      <c r="I140" s="422">
        <v>68.349999999999994</v>
      </c>
      <c r="J140" s="652"/>
      <c r="K140" s="418"/>
    </row>
    <row r="141" spans="1:25" customFormat="1" ht="15" x14ac:dyDescent="0.25">
      <c r="A141" s="576"/>
      <c r="B141" s="634"/>
      <c r="C141" s="463" t="s">
        <v>3376</v>
      </c>
      <c r="D141" s="420" t="s">
        <v>3377</v>
      </c>
      <c r="E141" s="420" t="s">
        <v>3324</v>
      </c>
      <c r="F141" s="420" t="s">
        <v>3378</v>
      </c>
      <c r="G141" s="421">
        <v>43160</v>
      </c>
      <c r="H141" s="420" t="s">
        <v>168</v>
      </c>
      <c r="I141" s="422">
        <v>59.34</v>
      </c>
      <c r="J141" s="653"/>
      <c r="K141" s="418"/>
    </row>
    <row r="142" spans="1:25" customFormat="1" ht="15" x14ac:dyDescent="0.25">
      <c r="A142" s="625"/>
      <c r="B142" s="459"/>
      <c r="C142" s="458"/>
      <c r="D142" s="459"/>
      <c r="E142" s="459"/>
      <c r="F142" s="460"/>
      <c r="G142" s="461"/>
      <c r="H142" s="460"/>
      <c r="I142" s="462"/>
      <c r="J142" s="645"/>
    </row>
    <row r="143" spans="1:25" customFormat="1" ht="15" x14ac:dyDescent="0.25">
      <c r="A143" s="575" t="s">
        <v>3379</v>
      </c>
      <c r="B143" s="575" t="s">
        <v>3380</v>
      </c>
      <c r="C143" s="420" t="s">
        <v>3332</v>
      </c>
      <c r="D143" s="469" t="s">
        <v>3282</v>
      </c>
      <c r="E143" s="420" t="s">
        <v>3381</v>
      </c>
      <c r="F143" s="420" t="s">
        <v>3334</v>
      </c>
      <c r="G143" s="421">
        <v>43313</v>
      </c>
      <c r="H143" s="420" t="s">
        <v>3382</v>
      </c>
      <c r="I143" s="422">
        <v>37.369999999999997</v>
      </c>
      <c r="J143" s="651">
        <v>43.8</v>
      </c>
    </row>
    <row r="144" spans="1:25" customFormat="1" ht="15" x14ac:dyDescent="0.25">
      <c r="A144" s="575"/>
      <c r="B144" s="575"/>
      <c r="C144" s="420" t="s">
        <v>3372</v>
      </c>
      <c r="D144" s="464" t="s">
        <v>3297</v>
      </c>
      <c r="E144" s="420" t="s">
        <v>3294</v>
      </c>
      <c r="F144" s="420" t="s">
        <v>3383</v>
      </c>
      <c r="G144" s="421">
        <v>43313</v>
      </c>
      <c r="H144" s="420" t="s">
        <v>3382</v>
      </c>
      <c r="I144" s="422">
        <v>43.8</v>
      </c>
      <c r="J144" s="652"/>
    </row>
    <row r="145" spans="1:10" customFormat="1" ht="15" x14ac:dyDescent="0.25">
      <c r="A145" s="575"/>
      <c r="B145" s="575"/>
      <c r="C145" s="420" t="s">
        <v>3384</v>
      </c>
      <c r="D145" s="420" t="s">
        <v>3385</v>
      </c>
      <c r="E145" s="420" t="s">
        <v>3386</v>
      </c>
      <c r="F145" s="420" t="s">
        <v>3387</v>
      </c>
      <c r="G145" s="421">
        <v>43313</v>
      </c>
      <c r="H145" s="420" t="s">
        <v>3382</v>
      </c>
      <c r="I145" s="422">
        <v>44.42</v>
      </c>
      <c r="J145" s="653"/>
    </row>
    <row r="146" spans="1:10" s="1" customFormat="1" ht="15" x14ac:dyDescent="0.25">
      <c r="A146" s="465"/>
      <c r="B146" s="465"/>
      <c r="C146" s="420"/>
      <c r="D146" s="420"/>
      <c r="E146" s="420"/>
      <c r="F146" s="420"/>
      <c r="G146" s="421"/>
      <c r="H146" s="420"/>
      <c r="I146" s="422"/>
      <c r="J146" s="654"/>
    </row>
    <row r="147" spans="1:10" customFormat="1" ht="15" x14ac:dyDescent="0.25">
      <c r="A147" s="575" t="s">
        <v>3388</v>
      </c>
      <c r="B147" s="575" t="s">
        <v>3389</v>
      </c>
      <c r="C147" s="420" t="s">
        <v>3332</v>
      </c>
      <c r="D147" s="469" t="s">
        <v>3282</v>
      </c>
      <c r="E147" s="420" t="s">
        <v>3381</v>
      </c>
      <c r="F147" s="420" t="s">
        <v>3334</v>
      </c>
      <c r="G147" s="421">
        <v>43313</v>
      </c>
      <c r="H147" s="420" t="s">
        <v>168</v>
      </c>
      <c r="I147" s="422">
        <v>20.3</v>
      </c>
      <c r="J147" s="651">
        <v>20.3</v>
      </c>
    </row>
    <row r="148" spans="1:10" customFormat="1" ht="15" x14ac:dyDescent="0.25">
      <c r="A148" s="575"/>
      <c r="B148" s="575"/>
      <c r="C148" s="420" t="s">
        <v>3384</v>
      </c>
      <c r="D148" s="420" t="s">
        <v>3385</v>
      </c>
      <c r="E148" s="420" t="s">
        <v>3386</v>
      </c>
      <c r="F148" s="420" t="s">
        <v>3387</v>
      </c>
      <c r="G148" s="421">
        <v>43313</v>
      </c>
      <c r="H148" s="420" t="s">
        <v>168</v>
      </c>
      <c r="I148" s="422">
        <v>26.85</v>
      </c>
      <c r="J148" s="652"/>
    </row>
    <row r="149" spans="1:10" customFormat="1" ht="15" x14ac:dyDescent="0.25">
      <c r="A149" s="575"/>
      <c r="B149" s="575"/>
      <c r="C149" s="420" t="s">
        <v>3372</v>
      </c>
      <c r="D149" s="464" t="s">
        <v>3297</v>
      </c>
      <c r="E149" s="420" t="s">
        <v>3294</v>
      </c>
      <c r="F149" s="420" t="s">
        <v>3383</v>
      </c>
      <c r="G149" s="421">
        <v>43313</v>
      </c>
      <c r="H149" s="420" t="s">
        <v>3382</v>
      </c>
      <c r="I149" s="422">
        <v>12.53</v>
      </c>
      <c r="J149" s="653"/>
    </row>
    <row r="150" spans="1:10" s="1" customFormat="1" ht="15" x14ac:dyDescent="0.25">
      <c r="A150" s="465"/>
      <c r="B150" s="465"/>
      <c r="C150" s="420"/>
      <c r="D150" s="420"/>
      <c r="E150" s="420"/>
      <c r="F150" s="420"/>
      <c r="G150" s="421"/>
      <c r="H150" s="420"/>
      <c r="I150" s="422"/>
      <c r="J150" s="654"/>
    </row>
    <row r="151" spans="1:10" customFormat="1" ht="15" x14ac:dyDescent="0.25">
      <c r="A151" s="575" t="s">
        <v>3390</v>
      </c>
      <c r="B151" s="575" t="s">
        <v>3391</v>
      </c>
      <c r="C151" s="420" t="s">
        <v>3384</v>
      </c>
      <c r="D151" s="420" t="s">
        <v>3385</v>
      </c>
      <c r="E151" s="420" t="s">
        <v>3386</v>
      </c>
      <c r="F151" s="420" t="s">
        <v>3392</v>
      </c>
      <c r="G151" s="421">
        <v>43313</v>
      </c>
      <c r="H151" s="420" t="s">
        <v>168</v>
      </c>
      <c r="I151" s="422">
        <v>36.54</v>
      </c>
      <c r="J151" s="646">
        <v>27.53</v>
      </c>
    </row>
    <row r="152" spans="1:10" customFormat="1" ht="15" x14ac:dyDescent="0.25">
      <c r="A152" s="575"/>
      <c r="B152" s="575"/>
      <c r="C152" s="420" t="s">
        <v>3332</v>
      </c>
      <c r="D152" s="464" t="s">
        <v>3282</v>
      </c>
      <c r="E152" s="420" t="s">
        <v>3381</v>
      </c>
      <c r="F152" s="420" t="s">
        <v>3334</v>
      </c>
      <c r="G152" s="421">
        <v>43313</v>
      </c>
      <c r="H152" s="420" t="s">
        <v>168</v>
      </c>
      <c r="I152" s="422">
        <v>18.52</v>
      </c>
      <c r="J152" s="646"/>
    </row>
    <row r="153" spans="1:10" customFormat="1" ht="15" x14ac:dyDescent="0.25">
      <c r="A153" s="575"/>
      <c r="B153" s="575"/>
      <c r="C153" s="420"/>
      <c r="D153" s="420"/>
      <c r="E153" s="420"/>
      <c r="F153" s="420"/>
      <c r="G153" s="421">
        <v>43313</v>
      </c>
      <c r="H153" s="420" t="s">
        <v>168</v>
      </c>
      <c r="I153" s="422"/>
      <c r="J153" s="646"/>
    </row>
    <row r="154" spans="1:10" s="1" customFormat="1" ht="15" x14ac:dyDescent="0.25">
      <c r="A154" s="419"/>
      <c r="B154" s="419"/>
      <c r="C154" s="420"/>
      <c r="D154" s="420"/>
      <c r="E154" s="420"/>
      <c r="F154" s="420"/>
      <c r="G154" s="421"/>
      <c r="H154" s="420"/>
      <c r="I154" s="422"/>
      <c r="J154" s="654"/>
    </row>
  </sheetData>
  <mergeCells count="140">
    <mergeCell ref="A7:A8"/>
    <mergeCell ref="B7:B8"/>
    <mergeCell ref="J7:J8"/>
    <mergeCell ref="A9:A10"/>
    <mergeCell ref="B9:B10"/>
    <mergeCell ref="J9:J10"/>
    <mergeCell ref="A3:J3"/>
    <mergeCell ref="A1:J1"/>
    <mergeCell ref="A4:A6"/>
    <mergeCell ref="B4:B6"/>
    <mergeCell ref="J4:J6"/>
    <mergeCell ref="A17:A19"/>
    <mergeCell ref="B17:B19"/>
    <mergeCell ref="J17:J19"/>
    <mergeCell ref="A20:A22"/>
    <mergeCell ref="B20:B22"/>
    <mergeCell ref="J20:J22"/>
    <mergeCell ref="A11:A13"/>
    <mergeCell ref="B11:B13"/>
    <mergeCell ref="J11:J13"/>
    <mergeCell ref="A14:A16"/>
    <mergeCell ref="B14:B16"/>
    <mergeCell ref="J14:J16"/>
    <mergeCell ref="A29:A31"/>
    <mergeCell ref="B29:B31"/>
    <mergeCell ref="J29:J31"/>
    <mergeCell ref="A32:A34"/>
    <mergeCell ref="B32:B34"/>
    <mergeCell ref="J32:J34"/>
    <mergeCell ref="A23:A25"/>
    <mergeCell ref="B23:B25"/>
    <mergeCell ref="J23:J25"/>
    <mergeCell ref="A26:A28"/>
    <mergeCell ref="B26:B28"/>
    <mergeCell ref="J26:J28"/>
    <mergeCell ref="A41:A42"/>
    <mergeCell ref="B41:B42"/>
    <mergeCell ref="J41:J42"/>
    <mergeCell ref="A43:A44"/>
    <mergeCell ref="B43:B44"/>
    <mergeCell ref="J43:J44"/>
    <mergeCell ref="A35:A37"/>
    <mergeCell ref="B35:B37"/>
    <mergeCell ref="J35:J37"/>
    <mergeCell ref="A38:A40"/>
    <mergeCell ref="B38:B40"/>
    <mergeCell ref="J38:J40"/>
    <mergeCell ref="A49:A50"/>
    <mergeCell ref="B49:B50"/>
    <mergeCell ref="J49:J50"/>
    <mergeCell ref="A51:A53"/>
    <mergeCell ref="B51:B53"/>
    <mergeCell ref="J51:J53"/>
    <mergeCell ref="A45:A46"/>
    <mergeCell ref="B45:B46"/>
    <mergeCell ref="J45:J46"/>
    <mergeCell ref="A47:A48"/>
    <mergeCell ref="B47:B48"/>
    <mergeCell ref="J47:J48"/>
    <mergeCell ref="A59:A60"/>
    <mergeCell ref="B59:B60"/>
    <mergeCell ref="J59:J60"/>
    <mergeCell ref="A61:A62"/>
    <mergeCell ref="B61:B62"/>
    <mergeCell ref="J61:J62"/>
    <mergeCell ref="A54:A56"/>
    <mergeCell ref="B54:B56"/>
    <mergeCell ref="J54:J56"/>
    <mergeCell ref="A57:A58"/>
    <mergeCell ref="B57:B58"/>
    <mergeCell ref="J57:J58"/>
    <mergeCell ref="A69:A71"/>
    <mergeCell ref="B69:B71"/>
    <mergeCell ref="J69:J71"/>
    <mergeCell ref="A74:A76"/>
    <mergeCell ref="B74:B76"/>
    <mergeCell ref="J74:J76"/>
    <mergeCell ref="A63:A65"/>
    <mergeCell ref="B63:B65"/>
    <mergeCell ref="J63:J65"/>
    <mergeCell ref="A66:A68"/>
    <mergeCell ref="B66:B68"/>
    <mergeCell ref="J66:J68"/>
    <mergeCell ref="A87:A89"/>
    <mergeCell ref="B87:B89"/>
    <mergeCell ref="J87:J89"/>
    <mergeCell ref="A91:A93"/>
    <mergeCell ref="B91:B93"/>
    <mergeCell ref="J91:J93"/>
    <mergeCell ref="A78:A80"/>
    <mergeCell ref="B78:B80"/>
    <mergeCell ref="J78:J80"/>
    <mergeCell ref="A83:A85"/>
    <mergeCell ref="B83:B85"/>
    <mergeCell ref="J83:J85"/>
    <mergeCell ref="A104:A106"/>
    <mergeCell ref="B104:B106"/>
    <mergeCell ref="J104:J106"/>
    <mergeCell ref="A108:A110"/>
    <mergeCell ref="B108:B110"/>
    <mergeCell ref="J108:J110"/>
    <mergeCell ref="A96:A98"/>
    <mergeCell ref="B96:B98"/>
    <mergeCell ref="J96:J98"/>
    <mergeCell ref="A100:A102"/>
    <mergeCell ref="B100:B102"/>
    <mergeCell ref="J100:J102"/>
    <mergeCell ref="A121:A123"/>
    <mergeCell ref="B121:B123"/>
    <mergeCell ref="J121:J123"/>
    <mergeCell ref="A125:A127"/>
    <mergeCell ref="B125:B127"/>
    <mergeCell ref="J125:J127"/>
    <mergeCell ref="A112:A114"/>
    <mergeCell ref="B112:B114"/>
    <mergeCell ref="J112:J114"/>
    <mergeCell ref="A116:A118"/>
    <mergeCell ref="B116:B118"/>
    <mergeCell ref="J116:J118"/>
    <mergeCell ref="A136:A137"/>
    <mergeCell ref="B136:B137"/>
    <mergeCell ref="J136:J137"/>
    <mergeCell ref="A139:A141"/>
    <mergeCell ref="B139:B141"/>
    <mergeCell ref="J139:J141"/>
    <mergeCell ref="A129:A130"/>
    <mergeCell ref="B129:B130"/>
    <mergeCell ref="J129:J130"/>
    <mergeCell ref="A133:A134"/>
    <mergeCell ref="B133:B134"/>
    <mergeCell ref="J133:J134"/>
    <mergeCell ref="A151:A153"/>
    <mergeCell ref="B151:B153"/>
    <mergeCell ref="J151:J153"/>
    <mergeCell ref="A143:A145"/>
    <mergeCell ref="B143:B145"/>
    <mergeCell ref="J143:J145"/>
    <mergeCell ref="A147:A149"/>
    <mergeCell ref="B147:B149"/>
    <mergeCell ref="J147:J149"/>
  </mergeCells>
  <conditionalFormatting sqref="A69:A71">
    <cfRule type="duplicateValues" dxfId="0" priority="1"/>
  </conditionalFormatting>
  <pageMargins left="0.51181102362204722" right="0.51181102362204722" top="1.299212598425197" bottom="0.98425196850393704" header="0.51181102362204722" footer="0.51181102362204722"/>
  <pageSetup paperSize="8" scale="78" orientation="portrait" r:id="rId1"/>
  <headerFooter>
    <oddHeader>&amp;L&amp;G&amp;R&amp;G</oddHeader>
    <oddFooter>&amp;L&amp;9&amp;K01+048Superintendência Administrativa
Coordenadoria de Obras e Reformas.
Fone: 3613 5474 / 5431 – geobras@ses.mt.gov.br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view="pageLayout" topLeftCell="A7" zoomScaleNormal="100" workbookViewId="0">
      <selection activeCell="H21" sqref="H21"/>
    </sheetView>
  </sheetViews>
  <sheetFormatPr defaultColWidth="9.125" defaultRowHeight="15" x14ac:dyDescent="0.25"/>
  <cols>
    <col min="1" max="1" width="12.75" style="2" customWidth="1"/>
    <col min="2" max="2" width="47.875" style="2" customWidth="1"/>
    <col min="3" max="3" width="15.125" style="2" customWidth="1"/>
    <col min="4" max="4" width="20" style="2" customWidth="1"/>
    <col min="5" max="16384" width="9.125" style="2"/>
  </cols>
  <sheetData>
    <row r="1" spans="1:4" ht="15.75" thickBot="1" x14ac:dyDescent="0.3">
      <c r="A1" s="586" t="s">
        <v>82</v>
      </c>
      <c r="B1" s="587"/>
      <c r="C1" s="587"/>
      <c r="D1" s="588"/>
    </row>
    <row r="2" spans="1:4" x14ac:dyDescent="0.25">
      <c r="A2" s="589" t="s">
        <v>83</v>
      </c>
      <c r="B2" s="591" t="s">
        <v>84</v>
      </c>
      <c r="C2" s="591" t="s">
        <v>85</v>
      </c>
      <c r="D2" s="593"/>
    </row>
    <row r="3" spans="1:4" ht="15.75" thickBot="1" x14ac:dyDescent="0.3">
      <c r="A3" s="590"/>
      <c r="B3" s="592"/>
      <c r="C3" s="3" t="s">
        <v>86</v>
      </c>
      <c r="D3" s="4" t="s">
        <v>87</v>
      </c>
    </row>
    <row r="4" spans="1:4" x14ac:dyDescent="0.25">
      <c r="A4" s="581" t="s">
        <v>88</v>
      </c>
      <c r="B4" s="582"/>
      <c r="C4" s="582"/>
      <c r="D4" s="583"/>
    </row>
    <row r="5" spans="1:4" x14ac:dyDescent="0.25">
      <c r="A5" s="5" t="s">
        <v>89</v>
      </c>
      <c r="B5" s="6" t="s">
        <v>90</v>
      </c>
      <c r="C5" s="7">
        <v>0</v>
      </c>
      <c r="D5" s="8">
        <v>0</v>
      </c>
    </row>
    <row r="6" spans="1:4" x14ac:dyDescent="0.25">
      <c r="A6" s="5" t="s">
        <v>91</v>
      </c>
      <c r="B6" s="6" t="s">
        <v>92</v>
      </c>
      <c r="C6" s="7">
        <v>1.4999999999999999E-2</v>
      </c>
      <c r="D6" s="8">
        <v>1.4999999999999999E-2</v>
      </c>
    </row>
    <row r="7" spans="1:4" x14ac:dyDescent="0.25">
      <c r="A7" s="5" t="s">
        <v>93</v>
      </c>
      <c r="B7" s="6" t="s">
        <v>94</v>
      </c>
      <c r="C7" s="7">
        <v>0.01</v>
      </c>
      <c r="D7" s="8">
        <v>0.01</v>
      </c>
    </row>
    <row r="8" spans="1:4" x14ac:dyDescent="0.25">
      <c r="A8" s="5" t="s">
        <v>95</v>
      </c>
      <c r="B8" s="6" t="s">
        <v>96</v>
      </c>
      <c r="C8" s="7">
        <v>2E-3</v>
      </c>
      <c r="D8" s="8">
        <v>2E-3</v>
      </c>
    </row>
    <row r="9" spans="1:4" x14ac:dyDescent="0.25">
      <c r="A9" s="5" t="s">
        <v>97</v>
      </c>
      <c r="B9" s="6" t="s">
        <v>98</v>
      </c>
      <c r="C9" s="7">
        <v>6.0000000000000001E-3</v>
      </c>
      <c r="D9" s="8">
        <v>6.0000000000000001E-3</v>
      </c>
    </row>
    <row r="10" spans="1:4" x14ac:dyDescent="0.25">
      <c r="A10" s="5" t="s">
        <v>99</v>
      </c>
      <c r="B10" s="6" t="s">
        <v>100</v>
      </c>
      <c r="C10" s="7">
        <v>2.5000000000000001E-2</v>
      </c>
      <c r="D10" s="8">
        <v>2.5000000000000001E-2</v>
      </c>
    </row>
    <row r="11" spans="1:4" x14ac:dyDescent="0.25">
      <c r="A11" s="5" t="s">
        <v>101</v>
      </c>
      <c r="B11" s="6" t="s">
        <v>102</v>
      </c>
      <c r="C11" s="7">
        <v>0.03</v>
      </c>
      <c r="D11" s="8">
        <v>0.03</v>
      </c>
    </row>
    <row r="12" spans="1:4" x14ac:dyDescent="0.25">
      <c r="A12" s="5" t="s">
        <v>103</v>
      </c>
      <c r="B12" s="6" t="s">
        <v>104</v>
      </c>
      <c r="C12" s="7">
        <v>0.08</v>
      </c>
      <c r="D12" s="8">
        <v>0.08</v>
      </c>
    </row>
    <row r="13" spans="1:4" x14ac:dyDescent="0.25">
      <c r="A13" s="5" t="s">
        <v>105</v>
      </c>
      <c r="B13" s="6" t="s">
        <v>106</v>
      </c>
      <c r="C13" s="7">
        <v>0</v>
      </c>
      <c r="D13" s="8">
        <v>0</v>
      </c>
    </row>
    <row r="14" spans="1:4" x14ac:dyDescent="0.25">
      <c r="A14" s="9" t="s">
        <v>107</v>
      </c>
      <c r="B14" s="10" t="s">
        <v>50</v>
      </c>
      <c r="C14" s="11">
        <v>0.16800000000000001</v>
      </c>
      <c r="D14" s="12">
        <v>0.16800000000000001</v>
      </c>
    </row>
    <row r="15" spans="1:4" x14ac:dyDescent="0.25">
      <c r="A15" s="581" t="s">
        <v>108</v>
      </c>
      <c r="B15" s="582"/>
      <c r="C15" s="582"/>
      <c r="D15" s="583"/>
    </row>
    <row r="16" spans="1:4" x14ac:dyDescent="0.25">
      <c r="A16" s="5" t="s">
        <v>109</v>
      </c>
      <c r="B16" s="6" t="s">
        <v>110</v>
      </c>
      <c r="C16" s="7">
        <v>0.1777</v>
      </c>
      <c r="D16" s="13" t="s">
        <v>111</v>
      </c>
    </row>
    <row r="17" spans="1:10" x14ac:dyDescent="0.25">
      <c r="A17" s="5" t="s">
        <v>112</v>
      </c>
      <c r="B17" s="6" t="s">
        <v>113</v>
      </c>
      <c r="C17" s="7">
        <v>3.6700000000000003E-2</v>
      </c>
      <c r="D17" s="13" t="s">
        <v>111</v>
      </c>
    </row>
    <row r="18" spans="1:10" x14ac:dyDescent="0.25">
      <c r="A18" s="5" t="s">
        <v>114</v>
      </c>
      <c r="B18" s="6" t="s">
        <v>115</v>
      </c>
      <c r="C18" s="7">
        <v>9.1999999999999998E-3</v>
      </c>
      <c r="D18" s="8">
        <v>7.0000000000000001E-3</v>
      </c>
    </row>
    <row r="19" spans="1:10" x14ac:dyDescent="0.25">
      <c r="A19" s="5" t="s">
        <v>116</v>
      </c>
      <c r="B19" s="6" t="s">
        <v>117</v>
      </c>
      <c r="C19" s="7">
        <v>0.1103</v>
      </c>
      <c r="D19" s="8">
        <v>8.3299999999999999E-2</v>
      </c>
    </row>
    <row r="20" spans="1:10" x14ac:dyDescent="0.25">
      <c r="A20" s="5" t="s">
        <v>118</v>
      </c>
      <c r="B20" s="6" t="s">
        <v>119</v>
      </c>
      <c r="C20" s="7">
        <v>6.9999999999999999E-4</v>
      </c>
      <c r="D20" s="8">
        <v>5.0000000000000001E-4</v>
      </c>
    </row>
    <row r="21" spans="1:10" x14ac:dyDescent="0.25">
      <c r="A21" s="5" t="s">
        <v>120</v>
      </c>
      <c r="B21" s="6" t="s">
        <v>121</v>
      </c>
      <c r="C21" s="7">
        <v>7.4000000000000003E-3</v>
      </c>
      <c r="D21" s="8">
        <v>5.5999999999999999E-3</v>
      </c>
    </row>
    <row r="22" spans="1:10" x14ac:dyDescent="0.25">
      <c r="A22" s="5" t="s">
        <v>122</v>
      </c>
      <c r="B22" s="6" t="s">
        <v>123</v>
      </c>
      <c r="C22" s="7">
        <v>1.0999999999999999E-2</v>
      </c>
      <c r="D22" s="13" t="s">
        <v>111</v>
      </c>
    </row>
    <row r="23" spans="1:10" x14ac:dyDescent="0.25">
      <c r="A23" s="5" t="s">
        <v>124</v>
      </c>
      <c r="B23" s="6" t="s">
        <v>125</v>
      </c>
      <c r="C23" s="7">
        <v>1.1000000000000001E-3</v>
      </c>
      <c r="D23" s="8">
        <v>8.0000000000000004E-4</v>
      </c>
    </row>
    <row r="24" spans="1:10" x14ac:dyDescent="0.25">
      <c r="A24" s="5" t="s">
        <v>126</v>
      </c>
      <c r="B24" s="6" t="s">
        <v>127</v>
      </c>
      <c r="C24" s="7">
        <v>0.13200000000000001</v>
      </c>
      <c r="D24" s="8">
        <v>9.9699999999999997E-2</v>
      </c>
    </row>
    <row r="25" spans="1:10" x14ac:dyDescent="0.25">
      <c r="A25" s="5" t="s">
        <v>128</v>
      </c>
      <c r="B25" s="6" t="s">
        <v>129</v>
      </c>
      <c r="C25" s="7">
        <v>2.9999999999999997E-4</v>
      </c>
      <c r="D25" s="8">
        <v>2.0000000000000001E-4</v>
      </c>
      <c r="J25" s="14"/>
    </row>
    <row r="26" spans="1:10" x14ac:dyDescent="0.25">
      <c r="A26" s="9" t="s">
        <v>130</v>
      </c>
      <c r="B26" s="10" t="s">
        <v>50</v>
      </c>
      <c r="C26" s="11">
        <f>SUM(C16:C25)</f>
        <v>0.48640000000000005</v>
      </c>
      <c r="D26" s="12">
        <v>0.1971</v>
      </c>
    </row>
    <row r="27" spans="1:10" x14ac:dyDescent="0.25">
      <c r="A27" s="581" t="s">
        <v>131</v>
      </c>
      <c r="B27" s="582"/>
      <c r="C27" s="582"/>
      <c r="D27" s="583"/>
    </row>
    <row r="28" spans="1:10" x14ac:dyDescent="0.25">
      <c r="A28" s="5" t="s">
        <v>132</v>
      </c>
      <c r="B28" s="6" t="s">
        <v>133</v>
      </c>
      <c r="C28" s="7">
        <v>7.9399999999999998E-2</v>
      </c>
      <c r="D28" s="8">
        <v>0.06</v>
      </c>
      <c r="J28" s="15"/>
    </row>
    <row r="29" spans="1:10" x14ac:dyDescent="0.25">
      <c r="A29" s="5" t="s">
        <v>134</v>
      </c>
      <c r="B29" s="6" t="s">
        <v>135</v>
      </c>
      <c r="C29" s="7">
        <v>1.9E-3</v>
      </c>
      <c r="D29" s="8">
        <v>1.4E-3</v>
      </c>
    </row>
    <row r="30" spans="1:10" x14ac:dyDescent="0.25">
      <c r="A30" s="5" t="s">
        <v>136</v>
      </c>
      <c r="B30" s="6" t="s">
        <v>137</v>
      </c>
      <c r="C30" s="7">
        <v>8.8999999999999999E-3</v>
      </c>
      <c r="D30" s="8">
        <v>6.7000000000000002E-3</v>
      </c>
    </row>
    <row r="31" spans="1:10" x14ac:dyDescent="0.25">
      <c r="A31" s="5" t="s">
        <v>138</v>
      </c>
      <c r="B31" s="6" t="s">
        <v>139</v>
      </c>
      <c r="C31" s="7">
        <v>4.8300000000000003E-2</v>
      </c>
      <c r="D31" s="8">
        <v>3.6499999999999998E-2</v>
      </c>
    </row>
    <row r="32" spans="1:10" x14ac:dyDescent="0.25">
      <c r="A32" s="5" t="s">
        <v>140</v>
      </c>
      <c r="B32" s="6" t="s">
        <v>141</v>
      </c>
      <c r="C32" s="7">
        <v>6.7000000000000002E-3</v>
      </c>
      <c r="D32" s="8">
        <v>5.0000000000000001E-3</v>
      </c>
    </row>
    <row r="33" spans="1:4" x14ac:dyDescent="0.25">
      <c r="A33" s="9" t="s">
        <v>142</v>
      </c>
      <c r="B33" s="10" t="s">
        <v>50</v>
      </c>
      <c r="C33" s="11">
        <f>SUM(C28:C32)</f>
        <v>0.14520000000000002</v>
      </c>
      <c r="D33" s="12">
        <f>SUM(D28:D32)</f>
        <v>0.1096</v>
      </c>
    </row>
    <row r="34" spans="1:4" x14ac:dyDescent="0.25">
      <c r="A34" s="581" t="s">
        <v>143</v>
      </c>
      <c r="B34" s="582"/>
      <c r="C34" s="582"/>
      <c r="D34" s="583"/>
    </row>
    <row r="35" spans="1:4" x14ac:dyDescent="0.25">
      <c r="A35" s="5" t="s">
        <v>144</v>
      </c>
      <c r="B35" s="6" t="s">
        <v>145</v>
      </c>
      <c r="C35" s="7">
        <v>8.1699999999999995E-2</v>
      </c>
      <c r="D35" s="8">
        <v>3.3099999999999997E-2</v>
      </c>
    </row>
    <row r="36" spans="1:4" ht="24" x14ac:dyDescent="0.25">
      <c r="A36" s="5" t="s">
        <v>146</v>
      </c>
      <c r="B36" s="6" t="s">
        <v>147</v>
      </c>
      <c r="C36" s="7">
        <v>6.7000000000000002E-3</v>
      </c>
      <c r="D36" s="8">
        <v>5.0000000000000001E-3</v>
      </c>
    </row>
    <row r="37" spans="1:4" x14ac:dyDescent="0.25">
      <c r="A37" s="9" t="s">
        <v>148</v>
      </c>
      <c r="B37" s="10" t="s">
        <v>50</v>
      </c>
      <c r="C37" s="11">
        <f>SUM(C35:C36)</f>
        <v>8.8399999999999992E-2</v>
      </c>
      <c r="D37" s="12">
        <f>SUM(D35:D36)</f>
        <v>3.8099999999999995E-2</v>
      </c>
    </row>
    <row r="38" spans="1:4" ht="15.75" thickBot="1" x14ac:dyDescent="0.3">
      <c r="A38" s="584" t="s">
        <v>149</v>
      </c>
      <c r="B38" s="585"/>
      <c r="C38" s="16">
        <f>C14+C26+C33+C37</f>
        <v>0.88800000000000012</v>
      </c>
      <c r="D38" s="16">
        <f>D14+D26+D33+D37</f>
        <v>0.51280000000000003</v>
      </c>
    </row>
  </sheetData>
  <mergeCells count="9">
    <mergeCell ref="A27:D27"/>
    <mergeCell ref="A34:D34"/>
    <mergeCell ref="A38:B38"/>
    <mergeCell ref="A1:D1"/>
    <mergeCell ref="A2:A3"/>
    <mergeCell ref="B2:B3"/>
    <mergeCell ref="C2:D2"/>
    <mergeCell ref="A4:D4"/>
    <mergeCell ref="A15:D15"/>
  </mergeCells>
  <pageMargins left="0.51181102362204722" right="0.51181102362204722" top="1.1023622047244095" bottom="0.78740157480314965" header="0.31496062992125984" footer="0.31496062992125984"/>
  <pageSetup paperSize="9" scale="95" orientation="portrait" r:id="rId1"/>
  <headerFooter>
    <oddHeader>&amp;L&amp;G&amp;R&amp;G</oddHeader>
    <oddFooter>&amp;L&amp;9&amp;K01+049Superintendência Administrativa
Coordenadoria de Obras e Reformas.
Fone: 3613 5474 / 5431 – geobras@ses.mt.gov.br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view="pageBreakPreview" zoomScaleNormal="100" zoomScaleSheetLayoutView="100" zoomScalePageLayoutView="120" workbookViewId="0">
      <selection activeCell="E26" sqref="E26"/>
    </sheetView>
  </sheetViews>
  <sheetFormatPr defaultRowHeight="12.75" x14ac:dyDescent="0.2"/>
  <cols>
    <col min="1" max="1" width="36.125" style="72" customWidth="1"/>
    <col min="2" max="2" width="26.625" style="72" customWidth="1"/>
    <col min="3" max="3" width="15.25" style="72" customWidth="1"/>
    <col min="4" max="256" width="9" style="72"/>
    <col min="257" max="257" width="36.125" style="72" customWidth="1"/>
    <col min="258" max="258" width="26.625" style="72" customWidth="1"/>
    <col min="259" max="259" width="15.25" style="72" customWidth="1"/>
    <col min="260" max="512" width="9" style="72"/>
    <col min="513" max="513" width="36.125" style="72" customWidth="1"/>
    <col min="514" max="514" width="26.625" style="72" customWidth="1"/>
    <col min="515" max="515" width="15.25" style="72" customWidth="1"/>
    <col min="516" max="768" width="9" style="72"/>
    <col min="769" max="769" width="36.125" style="72" customWidth="1"/>
    <col min="770" max="770" width="26.625" style="72" customWidth="1"/>
    <col min="771" max="771" width="15.25" style="72" customWidth="1"/>
    <col min="772" max="1024" width="9" style="72"/>
    <col min="1025" max="1025" width="36.125" style="72" customWidth="1"/>
    <col min="1026" max="1026" width="26.625" style="72" customWidth="1"/>
    <col min="1027" max="1027" width="15.25" style="72" customWidth="1"/>
    <col min="1028" max="1280" width="9" style="72"/>
    <col min="1281" max="1281" width="36.125" style="72" customWidth="1"/>
    <col min="1282" max="1282" width="26.625" style="72" customWidth="1"/>
    <col min="1283" max="1283" width="15.25" style="72" customWidth="1"/>
    <col min="1284" max="1536" width="9" style="72"/>
    <col min="1537" max="1537" width="36.125" style="72" customWidth="1"/>
    <col min="1538" max="1538" width="26.625" style="72" customWidth="1"/>
    <col min="1539" max="1539" width="15.25" style="72" customWidth="1"/>
    <col min="1540" max="1792" width="9" style="72"/>
    <col min="1793" max="1793" width="36.125" style="72" customWidth="1"/>
    <col min="1794" max="1794" width="26.625" style="72" customWidth="1"/>
    <col min="1795" max="1795" width="15.25" style="72" customWidth="1"/>
    <col min="1796" max="2048" width="9" style="72"/>
    <col min="2049" max="2049" width="36.125" style="72" customWidth="1"/>
    <col min="2050" max="2050" width="26.625" style="72" customWidth="1"/>
    <col min="2051" max="2051" width="15.25" style="72" customWidth="1"/>
    <col min="2052" max="2304" width="9" style="72"/>
    <col min="2305" max="2305" width="36.125" style="72" customWidth="1"/>
    <col min="2306" max="2306" width="26.625" style="72" customWidth="1"/>
    <col min="2307" max="2307" width="15.25" style="72" customWidth="1"/>
    <col min="2308" max="2560" width="9" style="72"/>
    <col min="2561" max="2561" width="36.125" style="72" customWidth="1"/>
    <col min="2562" max="2562" width="26.625" style="72" customWidth="1"/>
    <col min="2563" max="2563" width="15.25" style="72" customWidth="1"/>
    <col min="2564" max="2816" width="9" style="72"/>
    <col min="2817" max="2817" width="36.125" style="72" customWidth="1"/>
    <col min="2818" max="2818" width="26.625" style="72" customWidth="1"/>
    <col min="2819" max="2819" width="15.25" style="72" customWidth="1"/>
    <col min="2820" max="3072" width="9" style="72"/>
    <col min="3073" max="3073" width="36.125" style="72" customWidth="1"/>
    <col min="3074" max="3074" width="26.625" style="72" customWidth="1"/>
    <col min="3075" max="3075" width="15.25" style="72" customWidth="1"/>
    <col min="3076" max="3328" width="9" style="72"/>
    <col min="3329" max="3329" width="36.125" style="72" customWidth="1"/>
    <col min="3330" max="3330" width="26.625" style="72" customWidth="1"/>
    <col min="3331" max="3331" width="15.25" style="72" customWidth="1"/>
    <col min="3332" max="3584" width="9" style="72"/>
    <col min="3585" max="3585" width="36.125" style="72" customWidth="1"/>
    <col min="3586" max="3586" width="26.625" style="72" customWidth="1"/>
    <col min="3587" max="3587" width="15.25" style="72" customWidth="1"/>
    <col min="3588" max="3840" width="9" style="72"/>
    <col min="3841" max="3841" width="36.125" style="72" customWidth="1"/>
    <col min="3842" max="3842" width="26.625" style="72" customWidth="1"/>
    <col min="3843" max="3843" width="15.25" style="72" customWidth="1"/>
    <col min="3844" max="4096" width="9" style="72"/>
    <col min="4097" max="4097" width="36.125" style="72" customWidth="1"/>
    <col min="4098" max="4098" width="26.625" style="72" customWidth="1"/>
    <col min="4099" max="4099" width="15.25" style="72" customWidth="1"/>
    <col min="4100" max="4352" width="9" style="72"/>
    <col min="4353" max="4353" width="36.125" style="72" customWidth="1"/>
    <col min="4354" max="4354" width="26.625" style="72" customWidth="1"/>
    <col min="4355" max="4355" width="15.25" style="72" customWidth="1"/>
    <col min="4356" max="4608" width="9" style="72"/>
    <col min="4609" max="4609" width="36.125" style="72" customWidth="1"/>
    <col min="4610" max="4610" width="26.625" style="72" customWidth="1"/>
    <col min="4611" max="4611" width="15.25" style="72" customWidth="1"/>
    <col min="4612" max="4864" width="9" style="72"/>
    <col min="4865" max="4865" width="36.125" style="72" customWidth="1"/>
    <col min="4866" max="4866" width="26.625" style="72" customWidth="1"/>
    <col min="4867" max="4867" width="15.25" style="72" customWidth="1"/>
    <col min="4868" max="5120" width="9" style="72"/>
    <col min="5121" max="5121" width="36.125" style="72" customWidth="1"/>
    <col min="5122" max="5122" width="26.625" style="72" customWidth="1"/>
    <col min="5123" max="5123" width="15.25" style="72" customWidth="1"/>
    <col min="5124" max="5376" width="9" style="72"/>
    <col min="5377" max="5377" width="36.125" style="72" customWidth="1"/>
    <col min="5378" max="5378" width="26.625" style="72" customWidth="1"/>
    <col min="5379" max="5379" width="15.25" style="72" customWidth="1"/>
    <col min="5380" max="5632" width="9" style="72"/>
    <col min="5633" max="5633" width="36.125" style="72" customWidth="1"/>
    <col min="5634" max="5634" width="26.625" style="72" customWidth="1"/>
    <col min="5635" max="5635" width="15.25" style="72" customWidth="1"/>
    <col min="5636" max="5888" width="9" style="72"/>
    <col min="5889" max="5889" width="36.125" style="72" customWidth="1"/>
    <col min="5890" max="5890" width="26.625" style="72" customWidth="1"/>
    <col min="5891" max="5891" width="15.25" style="72" customWidth="1"/>
    <col min="5892" max="6144" width="9" style="72"/>
    <col min="6145" max="6145" width="36.125" style="72" customWidth="1"/>
    <col min="6146" max="6146" width="26.625" style="72" customWidth="1"/>
    <col min="6147" max="6147" width="15.25" style="72" customWidth="1"/>
    <col min="6148" max="6400" width="9" style="72"/>
    <col min="6401" max="6401" width="36.125" style="72" customWidth="1"/>
    <col min="6402" max="6402" width="26.625" style="72" customWidth="1"/>
    <col min="6403" max="6403" width="15.25" style="72" customWidth="1"/>
    <col min="6404" max="6656" width="9" style="72"/>
    <col min="6657" max="6657" width="36.125" style="72" customWidth="1"/>
    <col min="6658" max="6658" width="26.625" style="72" customWidth="1"/>
    <col min="6659" max="6659" width="15.25" style="72" customWidth="1"/>
    <col min="6660" max="6912" width="9" style="72"/>
    <col min="6913" max="6913" width="36.125" style="72" customWidth="1"/>
    <col min="6914" max="6914" width="26.625" style="72" customWidth="1"/>
    <col min="6915" max="6915" width="15.25" style="72" customWidth="1"/>
    <col min="6916" max="7168" width="9" style="72"/>
    <col min="7169" max="7169" width="36.125" style="72" customWidth="1"/>
    <col min="7170" max="7170" width="26.625" style="72" customWidth="1"/>
    <col min="7171" max="7171" width="15.25" style="72" customWidth="1"/>
    <col min="7172" max="7424" width="9" style="72"/>
    <col min="7425" max="7425" width="36.125" style="72" customWidth="1"/>
    <col min="7426" max="7426" width="26.625" style="72" customWidth="1"/>
    <col min="7427" max="7427" width="15.25" style="72" customWidth="1"/>
    <col min="7428" max="7680" width="9" style="72"/>
    <col min="7681" max="7681" width="36.125" style="72" customWidth="1"/>
    <col min="7682" max="7682" width="26.625" style="72" customWidth="1"/>
    <col min="7683" max="7683" width="15.25" style="72" customWidth="1"/>
    <col min="7684" max="7936" width="9" style="72"/>
    <col min="7937" max="7937" width="36.125" style="72" customWidth="1"/>
    <col min="7938" max="7938" width="26.625" style="72" customWidth="1"/>
    <col min="7939" max="7939" width="15.25" style="72" customWidth="1"/>
    <col min="7940" max="8192" width="9" style="72"/>
    <col min="8193" max="8193" width="36.125" style="72" customWidth="1"/>
    <col min="8194" max="8194" width="26.625" style="72" customWidth="1"/>
    <col min="8195" max="8195" width="15.25" style="72" customWidth="1"/>
    <col min="8196" max="8448" width="9" style="72"/>
    <col min="8449" max="8449" width="36.125" style="72" customWidth="1"/>
    <col min="8450" max="8450" width="26.625" style="72" customWidth="1"/>
    <col min="8451" max="8451" width="15.25" style="72" customWidth="1"/>
    <col min="8452" max="8704" width="9" style="72"/>
    <col min="8705" max="8705" width="36.125" style="72" customWidth="1"/>
    <col min="8706" max="8706" width="26.625" style="72" customWidth="1"/>
    <col min="8707" max="8707" width="15.25" style="72" customWidth="1"/>
    <col min="8708" max="8960" width="9" style="72"/>
    <col min="8961" max="8961" width="36.125" style="72" customWidth="1"/>
    <col min="8962" max="8962" width="26.625" style="72" customWidth="1"/>
    <col min="8963" max="8963" width="15.25" style="72" customWidth="1"/>
    <col min="8964" max="9216" width="9" style="72"/>
    <col min="9217" max="9217" width="36.125" style="72" customWidth="1"/>
    <col min="9218" max="9218" width="26.625" style="72" customWidth="1"/>
    <col min="9219" max="9219" width="15.25" style="72" customWidth="1"/>
    <col min="9220" max="9472" width="9" style="72"/>
    <col min="9473" max="9473" width="36.125" style="72" customWidth="1"/>
    <col min="9474" max="9474" width="26.625" style="72" customWidth="1"/>
    <col min="9475" max="9475" width="15.25" style="72" customWidth="1"/>
    <col min="9476" max="9728" width="9" style="72"/>
    <col min="9729" max="9729" width="36.125" style="72" customWidth="1"/>
    <col min="9730" max="9730" width="26.625" style="72" customWidth="1"/>
    <col min="9731" max="9731" width="15.25" style="72" customWidth="1"/>
    <col min="9732" max="9984" width="9" style="72"/>
    <col min="9985" max="9985" width="36.125" style="72" customWidth="1"/>
    <col min="9986" max="9986" width="26.625" style="72" customWidth="1"/>
    <col min="9987" max="9987" width="15.25" style="72" customWidth="1"/>
    <col min="9988" max="10240" width="9" style="72"/>
    <col min="10241" max="10241" width="36.125" style="72" customWidth="1"/>
    <col min="10242" max="10242" width="26.625" style="72" customWidth="1"/>
    <col min="10243" max="10243" width="15.25" style="72" customWidth="1"/>
    <col min="10244" max="10496" width="9" style="72"/>
    <col min="10497" max="10497" width="36.125" style="72" customWidth="1"/>
    <col min="10498" max="10498" width="26.625" style="72" customWidth="1"/>
    <col min="10499" max="10499" width="15.25" style="72" customWidth="1"/>
    <col min="10500" max="10752" width="9" style="72"/>
    <col min="10753" max="10753" width="36.125" style="72" customWidth="1"/>
    <col min="10754" max="10754" width="26.625" style="72" customWidth="1"/>
    <col min="10755" max="10755" width="15.25" style="72" customWidth="1"/>
    <col min="10756" max="11008" width="9" style="72"/>
    <col min="11009" max="11009" width="36.125" style="72" customWidth="1"/>
    <col min="11010" max="11010" width="26.625" style="72" customWidth="1"/>
    <col min="11011" max="11011" width="15.25" style="72" customWidth="1"/>
    <col min="11012" max="11264" width="9" style="72"/>
    <col min="11265" max="11265" width="36.125" style="72" customWidth="1"/>
    <col min="11266" max="11266" width="26.625" style="72" customWidth="1"/>
    <col min="11267" max="11267" width="15.25" style="72" customWidth="1"/>
    <col min="11268" max="11520" width="9" style="72"/>
    <col min="11521" max="11521" width="36.125" style="72" customWidth="1"/>
    <col min="11522" max="11522" width="26.625" style="72" customWidth="1"/>
    <col min="11523" max="11523" width="15.25" style="72" customWidth="1"/>
    <col min="11524" max="11776" width="9" style="72"/>
    <col min="11777" max="11777" width="36.125" style="72" customWidth="1"/>
    <col min="11778" max="11778" width="26.625" style="72" customWidth="1"/>
    <col min="11779" max="11779" width="15.25" style="72" customWidth="1"/>
    <col min="11780" max="12032" width="9" style="72"/>
    <col min="12033" max="12033" width="36.125" style="72" customWidth="1"/>
    <col min="12034" max="12034" width="26.625" style="72" customWidth="1"/>
    <col min="12035" max="12035" width="15.25" style="72" customWidth="1"/>
    <col min="12036" max="12288" width="9" style="72"/>
    <col min="12289" max="12289" width="36.125" style="72" customWidth="1"/>
    <col min="12290" max="12290" width="26.625" style="72" customWidth="1"/>
    <col min="12291" max="12291" width="15.25" style="72" customWidth="1"/>
    <col min="12292" max="12544" width="9" style="72"/>
    <col min="12545" max="12545" width="36.125" style="72" customWidth="1"/>
    <col min="12546" max="12546" width="26.625" style="72" customWidth="1"/>
    <col min="12547" max="12547" width="15.25" style="72" customWidth="1"/>
    <col min="12548" max="12800" width="9" style="72"/>
    <col min="12801" max="12801" width="36.125" style="72" customWidth="1"/>
    <col min="12802" max="12802" width="26.625" style="72" customWidth="1"/>
    <col min="12803" max="12803" width="15.25" style="72" customWidth="1"/>
    <col min="12804" max="13056" width="9" style="72"/>
    <col min="13057" max="13057" width="36.125" style="72" customWidth="1"/>
    <col min="13058" max="13058" width="26.625" style="72" customWidth="1"/>
    <col min="13059" max="13059" width="15.25" style="72" customWidth="1"/>
    <col min="13060" max="13312" width="9" style="72"/>
    <col min="13313" max="13313" width="36.125" style="72" customWidth="1"/>
    <col min="13314" max="13314" width="26.625" style="72" customWidth="1"/>
    <col min="13315" max="13315" width="15.25" style="72" customWidth="1"/>
    <col min="13316" max="13568" width="9" style="72"/>
    <col min="13569" max="13569" width="36.125" style="72" customWidth="1"/>
    <col min="13570" max="13570" width="26.625" style="72" customWidth="1"/>
    <col min="13571" max="13571" width="15.25" style="72" customWidth="1"/>
    <col min="13572" max="13824" width="9" style="72"/>
    <col min="13825" max="13825" width="36.125" style="72" customWidth="1"/>
    <col min="13826" max="13826" width="26.625" style="72" customWidth="1"/>
    <col min="13827" max="13827" width="15.25" style="72" customWidth="1"/>
    <col min="13828" max="14080" width="9" style="72"/>
    <col min="14081" max="14081" width="36.125" style="72" customWidth="1"/>
    <col min="14082" max="14082" width="26.625" style="72" customWidth="1"/>
    <col min="14083" max="14083" width="15.25" style="72" customWidth="1"/>
    <col min="14084" max="14336" width="9" style="72"/>
    <col min="14337" max="14337" width="36.125" style="72" customWidth="1"/>
    <col min="14338" max="14338" width="26.625" style="72" customWidth="1"/>
    <col min="14339" max="14339" width="15.25" style="72" customWidth="1"/>
    <col min="14340" max="14592" width="9" style="72"/>
    <col min="14593" max="14593" width="36.125" style="72" customWidth="1"/>
    <col min="14594" max="14594" width="26.625" style="72" customWidth="1"/>
    <col min="14595" max="14595" width="15.25" style="72" customWidth="1"/>
    <col min="14596" max="14848" width="9" style="72"/>
    <col min="14849" max="14849" width="36.125" style="72" customWidth="1"/>
    <col min="14850" max="14850" width="26.625" style="72" customWidth="1"/>
    <col min="14851" max="14851" width="15.25" style="72" customWidth="1"/>
    <col min="14852" max="15104" width="9" style="72"/>
    <col min="15105" max="15105" width="36.125" style="72" customWidth="1"/>
    <col min="15106" max="15106" width="26.625" style="72" customWidth="1"/>
    <col min="15107" max="15107" width="15.25" style="72" customWidth="1"/>
    <col min="15108" max="15360" width="9" style="72"/>
    <col min="15361" max="15361" width="36.125" style="72" customWidth="1"/>
    <col min="15362" max="15362" width="26.625" style="72" customWidth="1"/>
    <col min="15363" max="15363" width="15.25" style="72" customWidth="1"/>
    <col min="15364" max="15616" width="9" style="72"/>
    <col min="15617" max="15617" width="36.125" style="72" customWidth="1"/>
    <col min="15618" max="15618" width="26.625" style="72" customWidth="1"/>
    <col min="15619" max="15619" width="15.25" style="72" customWidth="1"/>
    <col min="15620" max="15872" width="9" style="72"/>
    <col min="15873" max="15873" width="36.125" style="72" customWidth="1"/>
    <col min="15874" max="15874" width="26.625" style="72" customWidth="1"/>
    <col min="15875" max="15875" width="15.25" style="72" customWidth="1"/>
    <col min="15876" max="16128" width="9" style="72"/>
    <col min="16129" max="16129" width="36.125" style="72" customWidth="1"/>
    <col min="16130" max="16130" width="26.625" style="72" customWidth="1"/>
    <col min="16131" max="16131" width="15.25" style="72" customWidth="1"/>
    <col min="16132" max="16384" width="9" style="72"/>
  </cols>
  <sheetData>
    <row r="1" spans="1:3" ht="15.75" thickBot="1" x14ac:dyDescent="0.3">
      <c r="A1" s="598" t="s">
        <v>171</v>
      </c>
      <c r="B1" s="599"/>
      <c r="C1" s="600"/>
    </row>
    <row r="2" spans="1:3" ht="15" x14ac:dyDescent="0.25">
      <c r="A2" s="601" t="s">
        <v>172</v>
      </c>
      <c r="B2" s="602"/>
      <c r="C2" s="73" t="s">
        <v>173</v>
      </c>
    </row>
    <row r="3" spans="1:3" x14ac:dyDescent="0.2">
      <c r="A3" s="74" t="s">
        <v>174</v>
      </c>
      <c r="B3" s="75" t="s">
        <v>175</v>
      </c>
      <c r="C3" s="76">
        <v>0.04</v>
      </c>
    </row>
    <row r="4" spans="1:3" x14ac:dyDescent="0.2">
      <c r="A4" s="74" t="s">
        <v>176</v>
      </c>
      <c r="B4" s="75" t="s">
        <v>177</v>
      </c>
      <c r="C4" s="76">
        <v>1.23E-2</v>
      </c>
    </row>
    <row r="5" spans="1:3" x14ac:dyDescent="0.2">
      <c r="A5" s="74" t="s">
        <v>178</v>
      </c>
      <c r="B5" s="75" t="s">
        <v>179</v>
      </c>
      <c r="C5" s="76">
        <v>1.2699999999999999E-2</v>
      </c>
    </row>
    <row r="6" spans="1:3" x14ac:dyDescent="0.2">
      <c r="A6" s="74" t="s">
        <v>180</v>
      </c>
      <c r="B6" s="77" t="s">
        <v>181</v>
      </c>
      <c r="C6" s="76">
        <v>8.0000000000000002E-3</v>
      </c>
    </row>
    <row r="7" spans="1:3" ht="15.75" thickBot="1" x14ac:dyDescent="0.3">
      <c r="A7" s="78"/>
      <c r="B7" s="79" t="s">
        <v>182</v>
      </c>
      <c r="C7" s="80">
        <f>SUM(C3:C6)</f>
        <v>7.3000000000000009E-2</v>
      </c>
    </row>
    <row r="8" spans="1:3" ht="15.75" thickTop="1" x14ac:dyDescent="0.25">
      <c r="A8" s="74"/>
      <c r="B8" s="81"/>
      <c r="C8" s="82"/>
    </row>
    <row r="9" spans="1:3" ht="15" x14ac:dyDescent="0.25">
      <c r="A9" s="603" t="s">
        <v>183</v>
      </c>
      <c r="B9" s="604"/>
      <c r="C9" s="83" t="s">
        <v>173</v>
      </c>
    </row>
    <row r="10" spans="1:3" x14ac:dyDescent="0.2">
      <c r="A10" s="84" t="s">
        <v>184</v>
      </c>
      <c r="B10" s="85" t="s">
        <v>185</v>
      </c>
      <c r="C10" s="86">
        <v>7.3999999999999996E-2</v>
      </c>
    </row>
    <row r="11" spans="1:3" ht="15.75" thickBot="1" x14ac:dyDescent="0.3">
      <c r="A11" s="78"/>
      <c r="B11" s="79" t="s">
        <v>182</v>
      </c>
      <c r="C11" s="80">
        <f>SUM(C10)</f>
        <v>7.3999999999999996E-2</v>
      </c>
    </row>
    <row r="12" spans="1:3" ht="13.5" thickTop="1" x14ac:dyDescent="0.2">
      <c r="A12" s="74"/>
      <c r="C12" s="87"/>
    </row>
    <row r="13" spans="1:3" ht="15" x14ac:dyDescent="0.25">
      <c r="A13" s="603" t="s">
        <v>186</v>
      </c>
      <c r="B13" s="604"/>
      <c r="C13" s="88">
        <v>0.14130000000000001</v>
      </c>
    </row>
    <row r="14" spans="1:3" ht="15" x14ac:dyDescent="0.25">
      <c r="A14" s="603" t="s">
        <v>187</v>
      </c>
      <c r="B14" s="604"/>
      <c r="C14" s="83" t="s">
        <v>173</v>
      </c>
    </row>
    <row r="15" spans="1:3" x14ac:dyDescent="0.2">
      <c r="A15" s="89" t="s">
        <v>188</v>
      </c>
      <c r="B15" s="72" t="s">
        <v>189</v>
      </c>
      <c r="C15" s="76">
        <v>6.4999999999999997E-3</v>
      </c>
    </row>
    <row r="16" spans="1:3" x14ac:dyDescent="0.2">
      <c r="A16" s="89" t="s">
        <v>190</v>
      </c>
      <c r="B16" s="72" t="s">
        <v>191</v>
      </c>
      <c r="C16" s="76">
        <v>0.03</v>
      </c>
    </row>
    <row r="17" spans="1:3" x14ac:dyDescent="0.2">
      <c r="A17" s="90" t="s">
        <v>192</v>
      </c>
      <c r="B17" s="91" t="s">
        <v>193</v>
      </c>
      <c r="C17" s="92">
        <v>0.02</v>
      </c>
    </row>
    <row r="18" spans="1:3" x14ac:dyDescent="0.2">
      <c r="A18" s="74" t="s">
        <v>194</v>
      </c>
      <c r="C18" s="76">
        <v>4.4999999999999998E-2</v>
      </c>
    </row>
    <row r="19" spans="1:3" ht="15.75" thickBot="1" x14ac:dyDescent="0.3">
      <c r="A19" s="93"/>
      <c r="B19" s="94" t="s">
        <v>182</v>
      </c>
      <c r="C19" s="95">
        <f>SUM(C15:C18)</f>
        <v>0.10149999999999999</v>
      </c>
    </row>
    <row r="20" spans="1:3" ht="13.5" thickTop="1" x14ac:dyDescent="0.2">
      <c r="A20" s="74"/>
      <c r="C20" s="87"/>
    </row>
    <row r="21" spans="1:3" ht="15.75" x14ac:dyDescent="0.2">
      <c r="A21" s="96" t="s">
        <v>195</v>
      </c>
      <c r="B21" s="97"/>
      <c r="C21" s="98">
        <f>ROUND((((1+C3+C6+C5)*(1+C4)*(1+C10)/((1-C19)))-1),4)</f>
        <v>0.28349999999999997</v>
      </c>
    </row>
    <row r="22" spans="1:3" x14ac:dyDescent="0.2">
      <c r="A22" s="74" t="s">
        <v>196</v>
      </c>
      <c r="C22" s="76">
        <v>0.80220000000000002</v>
      </c>
    </row>
    <row r="23" spans="1:3" x14ac:dyDescent="0.2">
      <c r="A23" s="74" t="s">
        <v>197</v>
      </c>
      <c r="C23" s="76">
        <v>1</v>
      </c>
    </row>
    <row r="24" spans="1:3" ht="13.5" thickBot="1" x14ac:dyDescent="0.25">
      <c r="A24" s="93" t="s">
        <v>198</v>
      </c>
      <c r="B24" s="99"/>
      <c r="C24" s="100">
        <f>C21</f>
        <v>0.28349999999999997</v>
      </c>
    </row>
    <row r="25" spans="1:3" ht="13.5" thickTop="1" x14ac:dyDescent="0.2">
      <c r="A25" s="74"/>
      <c r="C25" s="87"/>
    </row>
    <row r="26" spans="1:3" x14ac:dyDescent="0.2">
      <c r="A26" s="74"/>
      <c r="C26" s="87"/>
    </row>
    <row r="27" spans="1:3" x14ac:dyDescent="0.2">
      <c r="A27" s="605" t="s">
        <v>199</v>
      </c>
      <c r="B27" s="606"/>
      <c r="C27" s="607"/>
    </row>
    <row r="28" spans="1:3" x14ac:dyDescent="0.2">
      <c r="A28" s="101" t="s">
        <v>200</v>
      </c>
      <c r="B28" s="102" t="s">
        <v>201</v>
      </c>
      <c r="C28" s="103"/>
    </row>
    <row r="29" spans="1:3" x14ac:dyDescent="0.2">
      <c r="A29" s="101" t="s">
        <v>202</v>
      </c>
      <c r="B29" s="102" t="s">
        <v>203</v>
      </c>
      <c r="C29" s="103"/>
    </row>
    <row r="30" spans="1:3" ht="21.75" customHeight="1" x14ac:dyDescent="0.2">
      <c r="A30" s="101" t="s">
        <v>204</v>
      </c>
      <c r="B30" s="594" t="s">
        <v>205</v>
      </c>
      <c r="C30" s="595"/>
    </row>
    <row r="31" spans="1:3" ht="23.25" customHeight="1" x14ac:dyDescent="0.2">
      <c r="A31" s="104"/>
      <c r="B31" s="596" t="s">
        <v>206</v>
      </c>
      <c r="C31" s="597"/>
    </row>
    <row r="32" spans="1:3" x14ac:dyDescent="0.2">
      <c r="A32" s="105"/>
      <c r="C32" s="106"/>
    </row>
    <row r="33" spans="1:3" ht="12.75" customHeight="1" x14ac:dyDescent="0.2">
      <c r="A33" s="107" t="s">
        <v>207</v>
      </c>
      <c r="B33" s="108" t="s">
        <v>208</v>
      </c>
      <c r="C33" s="109"/>
    </row>
    <row r="34" spans="1:3" ht="15.75" thickBot="1" x14ac:dyDescent="0.3">
      <c r="A34" s="110" t="s">
        <v>209</v>
      </c>
      <c r="B34" s="111" t="s">
        <v>210</v>
      </c>
      <c r="C34" s="112"/>
    </row>
    <row r="35" spans="1:3" ht="15" x14ac:dyDescent="0.25">
      <c r="A35" s="113"/>
      <c r="B35" s="114"/>
      <c r="C35" s="115"/>
    </row>
  </sheetData>
  <mergeCells count="8">
    <mergeCell ref="B30:C30"/>
    <mergeCell ref="B31:C31"/>
    <mergeCell ref="A1:C1"/>
    <mergeCell ref="A2:B2"/>
    <mergeCell ref="A9:B9"/>
    <mergeCell ref="A13:B13"/>
    <mergeCell ref="A14:B14"/>
    <mergeCell ref="A27:C27"/>
  </mergeCells>
  <printOptions horizontalCentered="1" verticalCentered="1"/>
  <pageMargins left="0.39370078740157483" right="0.39370078740157483" top="1.4173228346456694" bottom="0.78740157480314965" header="0.31496062992125984" footer="0.31496062992125984"/>
  <pageSetup scale="120" orientation="portrait" r:id="rId1"/>
  <headerFooter>
    <oddHeader>&amp;L&amp;G&amp;C
&amp;R&amp;G</oddHeader>
    <oddFooter>&amp;L&amp;7Superintendência Administrativa
Coordenadoria de Obras e Reformas.
Fone: 3613 5474 / 5431 – geobras@ses.mt.gov.br&amp;C&amp;8&amp;N&amp;R&amp;8COMPOSIÇÃO DE PARCELA DE BDI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770"/>
  <sheetViews>
    <sheetView showOutlineSymbols="0" view="pageBreakPreview" zoomScaleNormal="100" zoomScaleSheetLayoutView="100" workbookViewId="0">
      <selection activeCell="F122" sqref="F122"/>
    </sheetView>
  </sheetViews>
  <sheetFormatPr defaultColWidth="9" defaultRowHeight="14.25" x14ac:dyDescent="0.2"/>
  <cols>
    <col min="1" max="1" width="15.75" style="116" bestFit="1" customWidth="1"/>
    <col min="2" max="2" width="4.75" style="116" bestFit="1" customWidth="1"/>
    <col min="3" max="3" width="8.625" style="116" bestFit="1" customWidth="1"/>
    <col min="4" max="4" width="7.125" style="116" customWidth="1"/>
    <col min="5" max="5" width="80" style="116" customWidth="1"/>
    <col min="6" max="6" width="5.625" style="116" bestFit="1" customWidth="1"/>
    <col min="7" max="7" width="6.75" style="116" bestFit="1" customWidth="1"/>
    <col min="8" max="8" width="10" style="116" customWidth="1"/>
    <col min="9" max="9" width="9.375" style="116" bestFit="1" customWidth="1"/>
    <col min="10" max="10" width="8.375" style="116" bestFit="1" customWidth="1"/>
    <col min="11" max="11" width="12" style="116" bestFit="1" customWidth="1"/>
    <col min="12" max="16384" width="9" style="116"/>
  </cols>
  <sheetData>
    <row r="1" spans="1:10" ht="15" x14ac:dyDescent="0.25">
      <c r="A1" s="608" t="s">
        <v>211</v>
      </c>
      <c r="B1" s="609"/>
      <c r="C1" s="609"/>
      <c r="D1" s="609"/>
      <c r="E1" s="609"/>
      <c r="F1" s="609"/>
      <c r="G1" s="609"/>
      <c r="H1" s="609"/>
      <c r="I1" s="609"/>
      <c r="J1" s="609"/>
    </row>
    <row r="2" spans="1:10" ht="15" hidden="1" x14ac:dyDescent="0.25">
      <c r="A2" s="608" t="s">
        <v>212</v>
      </c>
      <c r="B2" s="609"/>
      <c r="C2" s="609"/>
      <c r="D2" s="609"/>
      <c r="E2" s="609"/>
      <c r="F2" s="609"/>
      <c r="G2" s="609"/>
      <c r="H2" s="609"/>
      <c r="I2" s="609"/>
      <c r="J2" s="609"/>
    </row>
    <row r="3" spans="1:10" customFormat="1" ht="15" hidden="1" x14ac:dyDescent="0.25">
      <c r="A3" s="121"/>
      <c r="B3" s="121" t="s">
        <v>65</v>
      </c>
      <c r="C3" s="117" t="s">
        <v>46</v>
      </c>
      <c r="D3" s="121" t="s">
        <v>21</v>
      </c>
      <c r="E3" s="121" t="s">
        <v>37</v>
      </c>
      <c r="F3" s="118" t="s">
        <v>26</v>
      </c>
      <c r="G3" s="117" t="s">
        <v>61</v>
      </c>
      <c r="H3" s="117" t="s">
        <v>79</v>
      </c>
      <c r="I3" s="117" t="s">
        <v>50</v>
      </c>
    </row>
    <row r="4" spans="1:10" ht="22.5" x14ac:dyDescent="0.2">
      <c r="A4" s="386" t="s">
        <v>2007</v>
      </c>
      <c r="B4" s="386" t="s">
        <v>2008</v>
      </c>
      <c r="C4" s="387" t="s">
        <v>2009</v>
      </c>
      <c r="D4" s="386" t="s">
        <v>10</v>
      </c>
      <c r="E4" s="386" t="s">
        <v>830</v>
      </c>
      <c r="F4" s="388" t="s">
        <v>168</v>
      </c>
      <c r="G4" s="387">
        <v>1</v>
      </c>
      <c r="H4" s="387" t="s">
        <v>2010</v>
      </c>
      <c r="I4" s="387" t="s">
        <v>2010</v>
      </c>
    </row>
    <row r="5" spans="1:10" hidden="1" x14ac:dyDescent="0.2">
      <c r="A5" s="389" t="s">
        <v>2011</v>
      </c>
      <c r="B5" s="389"/>
      <c r="C5" s="390" t="s">
        <v>2012</v>
      </c>
      <c r="D5" s="389" t="s">
        <v>36</v>
      </c>
      <c r="E5" s="389" t="s">
        <v>2013</v>
      </c>
      <c r="F5" s="391" t="s">
        <v>169</v>
      </c>
      <c r="G5" s="390" t="s">
        <v>2014</v>
      </c>
      <c r="H5" s="390" t="s">
        <v>2015</v>
      </c>
      <c r="I5" s="392">
        <v>46894.2</v>
      </c>
    </row>
    <row r="6" spans="1:10" hidden="1" x14ac:dyDescent="0.2">
      <c r="A6" s="389" t="s">
        <v>2011</v>
      </c>
      <c r="B6" s="389"/>
      <c r="C6" s="390" t="s">
        <v>2016</v>
      </c>
      <c r="D6" s="389" t="s">
        <v>36</v>
      </c>
      <c r="E6" s="389" t="s">
        <v>2017</v>
      </c>
      <c r="F6" s="391" t="s">
        <v>2018</v>
      </c>
      <c r="G6" s="390" t="s">
        <v>2019</v>
      </c>
      <c r="H6" s="390" t="s">
        <v>2020</v>
      </c>
      <c r="I6" s="392">
        <v>48462</v>
      </c>
    </row>
    <row r="7" spans="1:10" ht="15" hidden="1" thickTop="1" x14ac:dyDescent="0.2">
      <c r="A7" s="188"/>
      <c r="B7" s="188"/>
      <c r="C7" s="188"/>
      <c r="D7" s="188"/>
      <c r="E7" s="188"/>
      <c r="F7" s="188"/>
      <c r="G7" s="188"/>
      <c r="H7" s="188"/>
      <c r="I7" s="188"/>
    </row>
    <row r="8" spans="1:10" ht="15" hidden="1" x14ac:dyDescent="0.2">
      <c r="A8" s="121"/>
      <c r="B8" s="121" t="s">
        <v>65</v>
      </c>
      <c r="C8" s="117" t="s">
        <v>46</v>
      </c>
      <c r="D8" s="121" t="s">
        <v>21</v>
      </c>
      <c r="E8" s="121" t="s">
        <v>37</v>
      </c>
      <c r="F8" s="118" t="s">
        <v>26</v>
      </c>
      <c r="G8" s="117" t="s">
        <v>61</v>
      </c>
      <c r="H8" s="117" t="s">
        <v>79</v>
      </c>
      <c r="I8" s="117" t="s">
        <v>50</v>
      </c>
    </row>
    <row r="9" spans="1:10" x14ac:dyDescent="0.2">
      <c r="A9" s="386" t="s">
        <v>2007</v>
      </c>
      <c r="B9" s="386" t="s">
        <v>2021</v>
      </c>
      <c r="C9" s="387" t="s">
        <v>2022</v>
      </c>
      <c r="D9" s="386" t="s">
        <v>10</v>
      </c>
      <c r="E9" s="386" t="s">
        <v>364</v>
      </c>
      <c r="F9" s="388" t="s">
        <v>48</v>
      </c>
      <c r="G9" s="387">
        <v>1</v>
      </c>
      <c r="H9" s="387" t="s">
        <v>2023</v>
      </c>
      <c r="I9" s="387" t="s">
        <v>2023</v>
      </c>
    </row>
    <row r="10" spans="1:10" x14ac:dyDescent="0.2">
      <c r="A10" s="393" t="s">
        <v>2024</v>
      </c>
      <c r="B10" s="393"/>
      <c r="C10" s="394" t="s">
        <v>2025</v>
      </c>
      <c r="D10" s="393" t="s">
        <v>10</v>
      </c>
      <c r="E10" s="393" t="s">
        <v>364</v>
      </c>
      <c r="F10" s="395" t="s">
        <v>48</v>
      </c>
      <c r="G10" s="394" t="s">
        <v>2026</v>
      </c>
      <c r="H10" s="394" t="s">
        <v>2023</v>
      </c>
      <c r="I10" s="396">
        <v>1000</v>
      </c>
    </row>
    <row r="11" spans="1:10" ht="15" hidden="1" thickTop="1" x14ac:dyDescent="0.2">
      <c r="A11" s="188"/>
      <c r="B11" s="188"/>
      <c r="C11" s="188"/>
      <c r="D11" s="188"/>
      <c r="E11" s="188"/>
      <c r="F11" s="188"/>
      <c r="G11" s="188"/>
      <c r="H11" s="188"/>
      <c r="I11" s="188"/>
    </row>
    <row r="12" spans="1:10" ht="15" hidden="1" x14ac:dyDescent="0.2">
      <c r="A12" s="121"/>
      <c r="B12" s="121" t="s">
        <v>65</v>
      </c>
      <c r="C12" s="117" t="s">
        <v>46</v>
      </c>
      <c r="D12" s="121" t="s">
        <v>21</v>
      </c>
      <c r="E12" s="121" t="s">
        <v>37</v>
      </c>
      <c r="F12" s="118" t="s">
        <v>26</v>
      </c>
      <c r="G12" s="117" t="s">
        <v>61</v>
      </c>
      <c r="H12" s="117" t="s">
        <v>79</v>
      </c>
      <c r="I12" s="117" t="s">
        <v>50</v>
      </c>
    </row>
    <row r="13" spans="1:10" x14ac:dyDescent="0.2">
      <c r="A13" s="386" t="s">
        <v>2007</v>
      </c>
      <c r="B13" s="386" t="s">
        <v>2027</v>
      </c>
      <c r="C13" s="387" t="s">
        <v>2028</v>
      </c>
      <c r="D13" s="386" t="s">
        <v>10</v>
      </c>
      <c r="E13" s="386" t="s">
        <v>831</v>
      </c>
      <c r="F13" s="388" t="s">
        <v>24</v>
      </c>
      <c r="G13" s="387">
        <v>1</v>
      </c>
      <c r="H13" s="387" t="s">
        <v>2029</v>
      </c>
      <c r="I13" s="387" t="s">
        <v>2029</v>
      </c>
    </row>
    <row r="14" spans="1:10" hidden="1" x14ac:dyDescent="0.2">
      <c r="A14" s="389" t="s">
        <v>2011</v>
      </c>
      <c r="B14" s="389"/>
      <c r="C14" s="390" t="s">
        <v>2030</v>
      </c>
      <c r="D14" s="389" t="s">
        <v>36</v>
      </c>
      <c r="E14" s="389" t="s">
        <v>2031</v>
      </c>
      <c r="F14" s="391" t="s">
        <v>2018</v>
      </c>
      <c r="G14" s="390" t="s">
        <v>2032</v>
      </c>
      <c r="H14" s="390" t="s">
        <v>2033</v>
      </c>
      <c r="I14" s="392">
        <v>2.2799999999999998</v>
      </c>
    </row>
    <row r="15" spans="1:10" hidden="1" x14ac:dyDescent="0.2">
      <c r="A15" s="389" t="s">
        <v>2011</v>
      </c>
      <c r="B15" s="389"/>
      <c r="C15" s="390" t="s">
        <v>2034</v>
      </c>
      <c r="D15" s="389" t="s">
        <v>36</v>
      </c>
      <c r="E15" s="389" t="s">
        <v>2035</v>
      </c>
      <c r="F15" s="391" t="s">
        <v>2018</v>
      </c>
      <c r="G15" s="390" t="s">
        <v>2036</v>
      </c>
      <c r="H15" s="390" t="s">
        <v>2037</v>
      </c>
      <c r="I15" s="392">
        <v>18.600000000000001</v>
      </c>
    </row>
    <row r="16" spans="1:10" ht="15" hidden="1" thickTop="1" x14ac:dyDescent="0.2">
      <c r="A16" s="188"/>
      <c r="B16" s="188"/>
      <c r="C16" s="188"/>
      <c r="D16" s="188"/>
      <c r="E16" s="188"/>
      <c r="F16" s="188"/>
      <c r="G16" s="188"/>
      <c r="H16" s="188"/>
      <c r="I16" s="188"/>
    </row>
    <row r="17" spans="1:9" ht="15" hidden="1" x14ac:dyDescent="0.2">
      <c r="A17" s="121"/>
      <c r="B17" s="121" t="s">
        <v>65</v>
      </c>
      <c r="C17" s="117" t="s">
        <v>46</v>
      </c>
      <c r="D17" s="121" t="s">
        <v>21</v>
      </c>
      <c r="E17" s="121" t="s">
        <v>37</v>
      </c>
      <c r="F17" s="118" t="s">
        <v>26</v>
      </c>
      <c r="G17" s="117" t="s">
        <v>61</v>
      </c>
      <c r="H17" s="117" t="s">
        <v>79</v>
      </c>
      <c r="I17" s="117" t="s">
        <v>50</v>
      </c>
    </row>
    <row r="18" spans="1:9" x14ac:dyDescent="0.2">
      <c r="A18" s="386" t="s">
        <v>2007</v>
      </c>
      <c r="B18" s="386" t="s">
        <v>2038</v>
      </c>
      <c r="C18" s="387" t="s">
        <v>2039</v>
      </c>
      <c r="D18" s="386" t="s">
        <v>10</v>
      </c>
      <c r="E18" s="386" t="s">
        <v>833</v>
      </c>
      <c r="F18" s="388" t="s">
        <v>24</v>
      </c>
      <c r="G18" s="387">
        <v>1</v>
      </c>
      <c r="H18" s="387" t="s">
        <v>2040</v>
      </c>
      <c r="I18" s="387" t="s">
        <v>2040</v>
      </c>
    </row>
    <row r="19" spans="1:9" hidden="1" x14ac:dyDescent="0.2">
      <c r="A19" s="389" t="s">
        <v>2011</v>
      </c>
      <c r="B19" s="389"/>
      <c r="C19" s="390" t="s">
        <v>2030</v>
      </c>
      <c r="D19" s="389" t="s">
        <v>36</v>
      </c>
      <c r="E19" s="389" t="s">
        <v>2031</v>
      </c>
      <c r="F19" s="391" t="s">
        <v>2018</v>
      </c>
      <c r="G19" s="390" t="s">
        <v>2041</v>
      </c>
      <c r="H19" s="390" t="s">
        <v>2033</v>
      </c>
      <c r="I19" s="392">
        <v>2.46</v>
      </c>
    </row>
    <row r="20" spans="1:9" hidden="1" x14ac:dyDescent="0.2">
      <c r="A20" s="389" t="s">
        <v>2011</v>
      </c>
      <c r="B20" s="389"/>
      <c r="C20" s="390" t="s">
        <v>2034</v>
      </c>
      <c r="D20" s="389" t="s">
        <v>36</v>
      </c>
      <c r="E20" s="389" t="s">
        <v>2035</v>
      </c>
      <c r="F20" s="391" t="s">
        <v>2018</v>
      </c>
      <c r="G20" s="390" t="s">
        <v>2042</v>
      </c>
      <c r="H20" s="390" t="s">
        <v>2037</v>
      </c>
      <c r="I20" s="392">
        <v>20.03</v>
      </c>
    </row>
    <row r="21" spans="1:9" ht="15" hidden="1" thickTop="1" x14ac:dyDescent="0.2">
      <c r="A21" s="188"/>
      <c r="B21" s="188"/>
      <c r="C21" s="188"/>
      <c r="D21" s="188"/>
      <c r="E21" s="188"/>
      <c r="F21" s="188"/>
      <c r="G21" s="188"/>
      <c r="H21" s="188"/>
      <c r="I21" s="188"/>
    </row>
    <row r="22" spans="1:9" ht="15" hidden="1" x14ac:dyDescent="0.2">
      <c r="A22" s="121"/>
      <c r="B22" s="121" t="s">
        <v>65</v>
      </c>
      <c r="C22" s="117" t="s">
        <v>46</v>
      </c>
      <c r="D22" s="121" t="s">
        <v>21</v>
      </c>
      <c r="E22" s="121" t="s">
        <v>37</v>
      </c>
      <c r="F22" s="118" t="s">
        <v>26</v>
      </c>
      <c r="G22" s="117" t="s">
        <v>61</v>
      </c>
      <c r="H22" s="117" t="s">
        <v>79</v>
      </c>
      <c r="I22" s="117" t="s">
        <v>50</v>
      </c>
    </row>
    <row r="23" spans="1:9" x14ac:dyDescent="0.2">
      <c r="A23" s="386" t="s">
        <v>2007</v>
      </c>
      <c r="B23" s="386" t="s">
        <v>2043</v>
      </c>
      <c r="C23" s="387" t="s">
        <v>2044</v>
      </c>
      <c r="D23" s="386" t="s">
        <v>10</v>
      </c>
      <c r="E23" s="386" t="s">
        <v>844</v>
      </c>
      <c r="F23" s="388" t="s">
        <v>24</v>
      </c>
      <c r="G23" s="387">
        <v>1</v>
      </c>
      <c r="H23" s="387" t="s">
        <v>2045</v>
      </c>
      <c r="I23" s="387" t="s">
        <v>2045</v>
      </c>
    </row>
    <row r="24" spans="1:9" hidden="1" x14ac:dyDescent="0.2">
      <c r="A24" s="389" t="s">
        <v>2011</v>
      </c>
      <c r="B24" s="389"/>
      <c r="C24" s="390" t="s">
        <v>2034</v>
      </c>
      <c r="D24" s="389" t="s">
        <v>36</v>
      </c>
      <c r="E24" s="389" t="s">
        <v>2035</v>
      </c>
      <c r="F24" s="391" t="s">
        <v>2018</v>
      </c>
      <c r="G24" s="390" t="s">
        <v>2046</v>
      </c>
      <c r="H24" s="390" t="s">
        <v>2037</v>
      </c>
      <c r="I24" s="392">
        <v>5.72</v>
      </c>
    </row>
    <row r="25" spans="1:9" hidden="1" x14ac:dyDescent="0.2">
      <c r="A25" s="389" t="s">
        <v>2011</v>
      </c>
      <c r="B25" s="389"/>
      <c r="C25" s="390" t="s">
        <v>2047</v>
      </c>
      <c r="D25" s="389" t="s">
        <v>36</v>
      </c>
      <c r="E25" s="389" t="s">
        <v>2048</v>
      </c>
      <c r="F25" s="391" t="s">
        <v>2018</v>
      </c>
      <c r="G25" s="390" t="s">
        <v>2049</v>
      </c>
      <c r="H25" s="390" t="s">
        <v>2050</v>
      </c>
      <c r="I25" s="392">
        <v>0.7</v>
      </c>
    </row>
    <row r="26" spans="1:9" ht="15" hidden="1" thickTop="1" x14ac:dyDescent="0.2">
      <c r="A26" s="188"/>
      <c r="B26" s="188"/>
      <c r="C26" s="188"/>
      <c r="D26" s="188"/>
      <c r="E26" s="188"/>
      <c r="F26" s="188"/>
      <c r="G26" s="188"/>
      <c r="H26" s="188"/>
      <c r="I26" s="188"/>
    </row>
    <row r="27" spans="1:9" ht="15" hidden="1" x14ac:dyDescent="0.2">
      <c r="A27" s="121"/>
      <c r="B27" s="121" t="s">
        <v>65</v>
      </c>
      <c r="C27" s="117" t="s">
        <v>46</v>
      </c>
      <c r="D27" s="121" t="s">
        <v>21</v>
      </c>
      <c r="E27" s="121" t="s">
        <v>37</v>
      </c>
      <c r="F27" s="118" t="s">
        <v>26</v>
      </c>
      <c r="G27" s="117" t="s">
        <v>61</v>
      </c>
      <c r="H27" s="117" t="s">
        <v>79</v>
      </c>
      <c r="I27" s="117" t="s">
        <v>50</v>
      </c>
    </row>
    <row r="28" spans="1:9" x14ac:dyDescent="0.2">
      <c r="A28" s="386" t="s">
        <v>2007</v>
      </c>
      <c r="B28" s="386" t="s">
        <v>2051</v>
      </c>
      <c r="C28" s="387" t="s">
        <v>2052</v>
      </c>
      <c r="D28" s="386" t="s">
        <v>10</v>
      </c>
      <c r="E28" s="386" t="s">
        <v>857</v>
      </c>
      <c r="F28" s="388" t="s">
        <v>24</v>
      </c>
      <c r="G28" s="387">
        <v>1</v>
      </c>
      <c r="H28" s="387" t="s">
        <v>2053</v>
      </c>
      <c r="I28" s="387" t="s">
        <v>2053</v>
      </c>
    </row>
    <row r="29" spans="1:9" hidden="1" x14ac:dyDescent="0.2">
      <c r="A29" s="389" t="s">
        <v>2011</v>
      </c>
      <c r="B29" s="389"/>
      <c r="C29" s="390" t="s">
        <v>2030</v>
      </c>
      <c r="D29" s="389" t="s">
        <v>36</v>
      </c>
      <c r="E29" s="389" t="s">
        <v>2031</v>
      </c>
      <c r="F29" s="391" t="s">
        <v>2018</v>
      </c>
      <c r="G29" s="390" t="s">
        <v>2054</v>
      </c>
      <c r="H29" s="390" t="s">
        <v>2033</v>
      </c>
      <c r="I29" s="392">
        <v>10.56</v>
      </c>
    </row>
    <row r="30" spans="1:9" hidden="1" x14ac:dyDescent="0.2">
      <c r="A30" s="389" t="s">
        <v>2011</v>
      </c>
      <c r="B30" s="389"/>
      <c r="C30" s="390" t="s">
        <v>2034</v>
      </c>
      <c r="D30" s="389" t="s">
        <v>36</v>
      </c>
      <c r="E30" s="389" t="s">
        <v>2035</v>
      </c>
      <c r="F30" s="391" t="s">
        <v>2018</v>
      </c>
      <c r="G30" s="390" t="s">
        <v>2054</v>
      </c>
      <c r="H30" s="390" t="s">
        <v>2037</v>
      </c>
      <c r="I30" s="392">
        <v>8.58</v>
      </c>
    </row>
    <row r="31" spans="1:9" ht="15" hidden="1" thickTop="1" x14ac:dyDescent="0.2">
      <c r="A31" s="188"/>
      <c r="B31" s="188"/>
      <c r="C31" s="188"/>
      <c r="D31" s="188"/>
      <c r="E31" s="188"/>
      <c r="F31" s="188"/>
      <c r="G31" s="188"/>
      <c r="H31" s="188"/>
      <c r="I31" s="188"/>
    </row>
    <row r="32" spans="1:9" ht="15" hidden="1" x14ac:dyDescent="0.2">
      <c r="A32" s="121"/>
      <c r="B32" s="121" t="s">
        <v>65</v>
      </c>
      <c r="C32" s="117" t="s">
        <v>46</v>
      </c>
      <c r="D32" s="121" t="s">
        <v>21</v>
      </c>
      <c r="E32" s="121" t="s">
        <v>37</v>
      </c>
      <c r="F32" s="118" t="s">
        <v>26</v>
      </c>
      <c r="G32" s="117" t="s">
        <v>61</v>
      </c>
      <c r="H32" s="117" t="s">
        <v>79</v>
      </c>
      <c r="I32" s="117" t="s">
        <v>50</v>
      </c>
    </row>
    <row r="33" spans="1:9" ht="22.5" x14ac:dyDescent="0.2">
      <c r="A33" s="386" t="s">
        <v>2007</v>
      </c>
      <c r="B33" s="386" t="s">
        <v>2055</v>
      </c>
      <c r="C33" s="387" t="s">
        <v>2056</v>
      </c>
      <c r="D33" s="386" t="s">
        <v>10</v>
      </c>
      <c r="E33" s="386" t="s">
        <v>859</v>
      </c>
      <c r="F33" s="388" t="s">
        <v>242</v>
      </c>
      <c r="G33" s="387">
        <v>1</v>
      </c>
      <c r="H33" s="387" t="s">
        <v>2057</v>
      </c>
      <c r="I33" s="387" t="s">
        <v>2057</v>
      </c>
    </row>
    <row r="34" spans="1:9" ht="22.5" hidden="1" x14ac:dyDescent="0.2">
      <c r="A34" s="393" t="s">
        <v>2024</v>
      </c>
      <c r="B34" s="393"/>
      <c r="C34" s="394" t="s">
        <v>2058</v>
      </c>
      <c r="D34" s="393" t="s">
        <v>36</v>
      </c>
      <c r="E34" s="393" t="s">
        <v>2059</v>
      </c>
      <c r="F34" s="395" t="s">
        <v>169</v>
      </c>
      <c r="G34" s="394" t="s">
        <v>2026</v>
      </c>
      <c r="H34" s="394" t="s">
        <v>2057</v>
      </c>
      <c r="I34" s="396">
        <v>573.38</v>
      </c>
    </row>
    <row r="35" spans="1:9" ht="15" hidden="1" thickTop="1" x14ac:dyDescent="0.2">
      <c r="A35" s="188"/>
      <c r="B35" s="188"/>
      <c r="C35" s="188"/>
      <c r="D35" s="188"/>
      <c r="E35" s="188"/>
      <c r="F35" s="188"/>
      <c r="G35" s="188"/>
      <c r="H35" s="188"/>
      <c r="I35" s="188"/>
    </row>
    <row r="36" spans="1:9" ht="15" hidden="1" x14ac:dyDescent="0.2">
      <c r="A36" s="121"/>
      <c r="B36" s="121" t="s">
        <v>65</v>
      </c>
      <c r="C36" s="117" t="s">
        <v>46</v>
      </c>
      <c r="D36" s="121" t="s">
        <v>21</v>
      </c>
      <c r="E36" s="121" t="s">
        <v>37</v>
      </c>
      <c r="F36" s="118" t="s">
        <v>26</v>
      </c>
      <c r="G36" s="117" t="s">
        <v>61</v>
      </c>
      <c r="H36" s="117" t="s">
        <v>79</v>
      </c>
      <c r="I36" s="117" t="s">
        <v>50</v>
      </c>
    </row>
    <row r="37" spans="1:9" x14ac:dyDescent="0.2">
      <c r="A37" s="386" t="s">
        <v>2007</v>
      </c>
      <c r="B37" s="386" t="s">
        <v>2060</v>
      </c>
      <c r="C37" s="387" t="s">
        <v>2061</v>
      </c>
      <c r="D37" s="386" t="s">
        <v>10</v>
      </c>
      <c r="E37" s="386" t="s">
        <v>247</v>
      </c>
      <c r="F37" s="388" t="s">
        <v>48</v>
      </c>
      <c r="G37" s="387">
        <v>1</v>
      </c>
      <c r="H37" s="387" t="s">
        <v>2062</v>
      </c>
      <c r="I37" s="387" t="s">
        <v>2062</v>
      </c>
    </row>
    <row r="38" spans="1:9" hidden="1" x14ac:dyDescent="0.2">
      <c r="A38" s="389" t="s">
        <v>2011</v>
      </c>
      <c r="B38" s="389"/>
      <c r="C38" s="390" t="s">
        <v>2063</v>
      </c>
      <c r="D38" s="389" t="s">
        <v>36</v>
      </c>
      <c r="E38" s="389" t="s">
        <v>2064</v>
      </c>
      <c r="F38" s="391" t="s">
        <v>2018</v>
      </c>
      <c r="G38" s="390" t="s">
        <v>2065</v>
      </c>
      <c r="H38" s="390" t="s">
        <v>2066</v>
      </c>
      <c r="I38" s="392">
        <v>56.48</v>
      </c>
    </row>
    <row r="39" spans="1:9" hidden="1" x14ac:dyDescent="0.2">
      <c r="A39" s="389" t="s">
        <v>2011</v>
      </c>
      <c r="B39" s="389"/>
      <c r="C39" s="390" t="s">
        <v>2067</v>
      </c>
      <c r="D39" s="389" t="s">
        <v>36</v>
      </c>
      <c r="E39" s="389" t="s">
        <v>2068</v>
      </c>
      <c r="F39" s="391" t="s">
        <v>2018</v>
      </c>
      <c r="G39" s="390" t="s">
        <v>2069</v>
      </c>
      <c r="H39" s="390" t="s">
        <v>2070</v>
      </c>
      <c r="I39" s="392">
        <v>144.16</v>
      </c>
    </row>
    <row r="40" spans="1:9" hidden="1" x14ac:dyDescent="0.2">
      <c r="A40" s="389" t="s">
        <v>2011</v>
      </c>
      <c r="B40" s="389"/>
      <c r="C40" s="390" t="s">
        <v>2030</v>
      </c>
      <c r="D40" s="389" t="s">
        <v>36</v>
      </c>
      <c r="E40" s="389" t="s">
        <v>2031</v>
      </c>
      <c r="F40" s="391" t="s">
        <v>2018</v>
      </c>
      <c r="G40" s="390" t="s">
        <v>2069</v>
      </c>
      <c r="H40" s="390" t="s">
        <v>2033</v>
      </c>
      <c r="I40" s="392">
        <v>140.80000000000001</v>
      </c>
    </row>
    <row r="41" spans="1:9" hidden="1" x14ac:dyDescent="0.2">
      <c r="A41" s="389" t="s">
        <v>2011</v>
      </c>
      <c r="B41" s="389"/>
      <c r="C41" s="390" t="s">
        <v>2034</v>
      </c>
      <c r="D41" s="389" t="s">
        <v>36</v>
      </c>
      <c r="E41" s="389" t="s">
        <v>2035</v>
      </c>
      <c r="F41" s="391" t="s">
        <v>2018</v>
      </c>
      <c r="G41" s="390" t="s">
        <v>2071</v>
      </c>
      <c r="H41" s="390" t="s">
        <v>2037</v>
      </c>
      <c r="I41" s="392">
        <v>116.19</v>
      </c>
    </row>
    <row r="42" spans="1:9" hidden="1" x14ac:dyDescent="0.2">
      <c r="A42" s="389" t="s">
        <v>2011</v>
      </c>
      <c r="B42" s="389"/>
      <c r="C42" s="390" t="s">
        <v>2047</v>
      </c>
      <c r="D42" s="389" t="s">
        <v>36</v>
      </c>
      <c r="E42" s="389" t="s">
        <v>2048</v>
      </c>
      <c r="F42" s="391" t="s">
        <v>2018</v>
      </c>
      <c r="G42" s="390" t="s">
        <v>2069</v>
      </c>
      <c r="H42" s="390" t="s">
        <v>2050</v>
      </c>
      <c r="I42" s="392">
        <v>140</v>
      </c>
    </row>
    <row r="43" spans="1:9" hidden="1" x14ac:dyDescent="0.2">
      <c r="A43" s="393" t="s">
        <v>2024</v>
      </c>
      <c r="B43" s="393"/>
      <c r="C43" s="394" t="s">
        <v>2072</v>
      </c>
      <c r="D43" s="393" t="s">
        <v>36</v>
      </c>
      <c r="E43" s="393" t="s">
        <v>2073</v>
      </c>
      <c r="F43" s="395" t="s">
        <v>22</v>
      </c>
      <c r="G43" s="394" t="s">
        <v>2026</v>
      </c>
      <c r="H43" s="394" t="s">
        <v>2074</v>
      </c>
      <c r="I43" s="396">
        <v>10.43</v>
      </c>
    </row>
    <row r="44" spans="1:9" hidden="1" x14ac:dyDescent="0.2">
      <c r="A44" s="393" t="s">
        <v>2024</v>
      </c>
      <c r="B44" s="393"/>
      <c r="C44" s="394" t="s">
        <v>2075</v>
      </c>
      <c r="D44" s="393" t="s">
        <v>36</v>
      </c>
      <c r="E44" s="393" t="s">
        <v>2076</v>
      </c>
      <c r="F44" s="395" t="s">
        <v>12</v>
      </c>
      <c r="G44" s="394" t="s">
        <v>2077</v>
      </c>
      <c r="H44" s="394" t="s">
        <v>2078</v>
      </c>
      <c r="I44" s="396">
        <v>37.450000000000003</v>
      </c>
    </row>
    <row r="45" spans="1:9" hidden="1" x14ac:dyDescent="0.2">
      <c r="A45" s="393" t="s">
        <v>2024</v>
      </c>
      <c r="B45" s="393"/>
      <c r="C45" s="394" t="s">
        <v>2079</v>
      </c>
      <c r="D45" s="393" t="s">
        <v>36</v>
      </c>
      <c r="E45" s="393" t="s">
        <v>2080</v>
      </c>
      <c r="F45" s="395" t="s">
        <v>25</v>
      </c>
      <c r="G45" s="394" t="s">
        <v>2081</v>
      </c>
      <c r="H45" s="394" t="s">
        <v>2082</v>
      </c>
      <c r="I45" s="396">
        <v>1.18</v>
      </c>
    </row>
    <row r="46" spans="1:9" hidden="1" x14ac:dyDescent="0.2">
      <c r="A46" s="393" t="s">
        <v>2024</v>
      </c>
      <c r="B46" s="393"/>
      <c r="C46" s="394" t="s">
        <v>2083</v>
      </c>
      <c r="D46" s="393" t="s">
        <v>36</v>
      </c>
      <c r="E46" s="393" t="s">
        <v>2084</v>
      </c>
      <c r="F46" s="395" t="s">
        <v>48</v>
      </c>
      <c r="G46" s="394" t="s">
        <v>2026</v>
      </c>
      <c r="H46" s="394" t="s">
        <v>2085</v>
      </c>
      <c r="I46" s="396">
        <v>100.72</v>
      </c>
    </row>
    <row r="47" spans="1:9" hidden="1" x14ac:dyDescent="0.2">
      <c r="A47" s="393" t="s">
        <v>2024</v>
      </c>
      <c r="B47" s="393"/>
      <c r="C47" s="394" t="s">
        <v>2086</v>
      </c>
      <c r="D47" s="393" t="s">
        <v>36</v>
      </c>
      <c r="E47" s="393" t="s">
        <v>2087</v>
      </c>
      <c r="F47" s="395" t="s">
        <v>12</v>
      </c>
      <c r="G47" s="394" t="s">
        <v>2069</v>
      </c>
      <c r="H47" s="394" t="s">
        <v>2088</v>
      </c>
      <c r="I47" s="396">
        <v>50.64</v>
      </c>
    </row>
    <row r="48" spans="1:9" hidden="1" x14ac:dyDescent="0.2">
      <c r="A48" s="393" t="s">
        <v>2024</v>
      </c>
      <c r="B48" s="393"/>
      <c r="C48" s="394" t="s">
        <v>2089</v>
      </c>
      <c r="D48" s="393" t="s">
        <v>36</v>
      </c>
      <c r="E48" s="393" t="s">
        <v>2090</v>
      </c>
      <c r="F48" s="395" t="s">
        <v>12</v>
      </c>
      <c r="G48" s="394" t="s">
        <v>2091</v>
      </c>
      <c r="H48" s="394" t="s">
        <v>2092</v>
      </c>
      <c r="I48" s="396">
        <v>86.1</v>
      </c>
    </row>
    <row r="49" spans="1:9" hidden="1" x14ac:dyDescent="0.2">
      <c r="A49" s="393" t="s">
        <v>2024</v>
      </c>
      <c r="B49" s="393"/>
      <c r="C49" s="394" t="s">
        <v>2093</v>
      </c>
      <c r="D49" s="393" t="s">
        <v>36</v>
      </c>
      <c r="E49" s="393" t="s">
        <v>2094</v>
      </c>
      <c r="F49" s="395" t="s">
        <v>12</v>
      </c>
      <c r="G49" s="394" t="s">
        <v>2095</v>
      </c>
      <c r="H49" s="394" t="s">
        <v>2096</v>
      </c>
      <c r="I49" s="396">
        <v>247.5</v>
      </c>
    </row>
    <row r="50" spans="1:9" hidden="1" x14ac:dyDescent="0.2">
      <c r="A50" s="393" t="s">
        <v>2024</v>
      </c>
      <c r="B50" s="393"/>
      <c r="C50" s="394" t="s">
        <v>2097</v>
      </c>
      <c r="D50" s="393" t="s">
        <v>36</v>
      </c>
      <c r="E50" s="393" t="s">
        <v>2098</v>
      </c>
      <c r="F50" s="395" t="s">
        <v>48</v>
      </c>
      <c r="G50" s="394" t="s">
        <v>2091</v>
      </c>
      <c r="H50" s="394" t="s">
        <v>2099</v>
      </c>
      <c r="I50" s="396">
        <v>9.9</v>
      </c>
    </row>
    <row r="51" spans="1:9" hidden="1" x14ac:dyDescent="0.2">
      <c r="A51" s="393" t="s">
        <v>2024</v>
      </c>
      <c r="B51" s="393"/>
      <c r="C51" s="394" t="s">
        <v>2100</v>
      </c>
      <c r="D51" s="393" t="s">
        <v>36</v>
      </c>
      <c r="E51" s="393" t="s">
        <v>2101</v>
      </c>
      <c r="F51" s="395" t="s">
        <v>48</v>
      </c>
      <c r="G51" s="394" t="s">
        <v>2026</v>
      </c>
      <c r="H51" s="394" t="s">
        <v>2102</v>
      </c>
      <c r="I51" s="396">
        <v>275.93</v>
      </c>
    </row>
    <row r="52" spans="1:9" ht="15" hidden="1" thickTop="1" x14ac:dyDescent="0.2">
      <c r="A52" s="188"/>
      <c r="B52" s="188"/>
      <c r="C52" s="188"/>
      <c r="D52" s="188"/>
      <c r="E52" s="188"/>
      <c r="F52" s="188"/>
      <c r="G52" s="188"/>
      <c r="H52" s="188"/>
      <c r="I52" s="188"/>
    </row>
    <row r="53" spans="1:9" ht="15" hidden="1" x14ac:dyDescent="0.2">
      <c r="A53" s="121"/>
      <c r="B53" s="121" t="s">
        <v>65</v>
      </c>
      <c r="C53" s="117" t="s">
        <v>46</v>
      </c>
      <c r="D53" s="121" t="s">
        <v>21</v>
      </c>
      <c r="E53" s="121" t="s">
        <v>37</v>
      </c>
      <c r="F53" s="118" t="s">
        <v>26</v>
      </c>
      <c r="G53" s="117" t="s">
        <v>61</v>
      </c>
      <c r="H53" s="117" t="s">
        <v>79</v>
      </c>
      <c r="I53" s="117" t="s">
        <v>50</v>
      </c>
    </row>
    <row r="54" spans="1:9" x14ac:dyDescent="0.2">
      <c r="A54" s="386" t="s">
        <v>2007</v>
      </c>
      <c r="B54" s="386" t="s">
        <v>2103</v>
      </c>
      <c r="C54" s="387" t="s">
        <v>2104</v>
      </c>
      <c r="D54" s="386" t="s">
        <v>10</v>
      </c>
      <c r="E54" s="386" t="s">
        <v>861</v>
      </c>
      <c r="F54" s="388" t="s">
        <v>48</v>
      </c>
      <c r="G54" s="387">
        <v>1</v>
      </c>
      <c r="H54" s="387" t="s">
        <v>2105</v>
      </c>
      <c r="I54" s="387" t="s">
        <v>2105</v>
      </c>
    </row>
    <row r="55" spans="1:9" hidden="1" x14ac:dyDescent="0.2">
      <c r="A55" s="389" t="s">
        <v>2011</v>
      </c>
      <c r="B55" s="389"/>
      <c r="C55" s="390" t="s">
        <v>2106</v>
      </c>
      <c r="D55" s="389" t="s">
        <v>36</v>
      </c>
      <c r="E55" s="389" t="s">
        <v>2107</v>
      </c>
      <c r="F55" s="391" t="s">
        <v>2018</v>
      </c>
      <c r="G55" s="390" t="s">
        <v>2069</v>
      </c>
      <c r="H55" s="390" t="s">
        <v>2108</v>
      </c>
      <c r="I55" s="392">
        <v>145.76</v>
      </c>
    </row>
    <row r="56" spans="1:9" hidden="1" x14ac:dyDescent="0.2">
      <c r="A56" s="389" t="s">
        <v>2011</v>
      </c>
      <c r="B56" s="389"/>
      <c r="C56" s="390" t="s">
        <v>2034</v>
      </c>
      <c r="D56" s="389" t="s">
        <v>36</v>
      </c>
      <c r="E56" s="389" t="s">
        <v>2035</v>
      </c>
      <c r="F56" s="391" t="s">
        <v>2018</v>
      </c>
      <c r="G56" s="390" t="s">
        <v>2069</v>
      </c>
      <c r="H56" s="390" t="s">
        <v>2037</v>
      </c>
      <c r="I56" s="392">
        <v>114.48</v>
      </c>
    </row>
    <row r="57" spans="1:9" ht="22.5" hidden="1" x14ac:dyDescent="0.2">
      <c r="A57" s="393" t="s">
        <v>2024</v>
      </c>
      <c r="B57" s="393"/>
      <c r="C57" s="394" t="s">
        <v>2109</v>
      </c>
      <c r="D57" s="393" t="s">
        <v>36</v>
      </c>
      <c r="E57" s="393" t="s">
        <v>2110</v>
      </c>
      <c r="F57" s="395" t="s">
        <v>48</v>
      </c>
      <c r="G57" s="394" t="s">
        <v>2111</v>
      </c>
      <c r="H57" s="394" t="s">
        <v>2112</v>
      </c>
      <c r="I57" s="396">
        <v>6.83</v>
      </c>
    </row>
    <row r="58" spans="1:9" ht="22.5" hidden="1" x14ac:dyDescent="0.2">
      <c r="A58" s="393" t="s">
        <v>2024</v>
      </c>
      <c r="B58" s="393"/>
      <c r="C58" s="394" t="s">
        <v>2113</v>
      </c>
      <c r="D58" s="393" t="s">
        <v>36</v>
      </c>
      <c r="E58" s="393" t="s">
        <v>2114</v>
      </c>
      <c r="F58" s="395" t="s">
        <v>48</v>
      </c>
      <c r="G58" s="394" t="s">
        <v>2115</v>
      </c>
      <c r="H58" s="394" t="s">
        <v>2116</v>
      </c>
      <c r="I58" s="396">
        <v>38.799999999999997</v>
      </c>
    </row>
    <row r="59" spans="1:9" hidden="1" x14ac:dyDescent="0.2">
      <c r="A59" s="393" t="s">
        <v>2024</v>
      </c>
      <c r="B59" s="393"/>
      <c r="C59" s="394" t="s">
        <v>2117</v>
      </c>
      <c r="D59" s="393" t="s">
        <v>36</v>
      </c>
      <c r="E59" s="393" t="s">
        <v>2118</v>
      </c>
      <c r="F59" s="395" t="s">
        <v>12</v>
      </c>
      <c r="G59" s="394" t="s">
        <v>2119</v>
      </c>
      <c r="H59" s="394" t="s">
        <v>2120</v>
      </c>
      <c r="I59" s="396">
        <v>24.48</v>
      </c>
    </row>
    <row r="60" spans="1:9" hidden="1" x14ac:dyDescent="0.2">
      <c r="A60" s="393" t="s">
        <v>2024</v>
      </c>
      <c r="B60" s="393"/>
      <c r="C60" s="394" t="s">
        <v>2121</v>
      </c>
      <c r="D60" s="393" t="s">
        <v>36</v>
      </c>
      <c r="E60" s="393" t="s">
        <v>2122</v>
      </c>
      <c r="F60" s="395" t="s">
        <v>12</v>
      </c>
      <c r="G60" s="394" t="s">
        <v>2123</v>
      </c>
      <c r="H60" s="394" t="s">
        <v>2124</v>
      </c>
      <c r="I60" s="396">
        <v>136.35</v>
      </c>
    </row>
    <row r="61" spans="1:9" ht="22.5" hidden="1" x14ac:dyDescent="0.2">
      <c r="A61" s="393" t="s">
        <v>2024</v>
      </c>
      <c r="B61" s="393"/>
      <c r="C61" s="394" t="s">
        <v>2125</v>
      </c>
      <c r="D61" s="393" t="s">
        <v>36</v>
      </c>
      <c r="E61" s="393" t="s">
        <v>2126</v>
      </c>
      <c r="F61" s="395" t="s">
        <v>48</v>
      </c>
      <c r="G61" s="394" t="s">
        <v>2026</v>
      </c>
      <c r="H61" s="394" t="s">
        <v>2127</v>
      </c>
      <c r="I61" s="396">
        <v>149.5</v>
      </c>
    </row>
    <row r="62" spans="1:9" ht="22.5" hidden="1" x14ac:dyDescent="0.2">
      <c r="A62" s="393" t="s">
        <v>2024</v>
      </c>
      <c r="B62" s="393"/>
      <c r="C62" s="394" t="s">
        <v>2128</v>
      </c>
      <c r="D62" s="393" t="s">
        <v>36</v>
      </c>
      <c r="E62" s="393" t="s">
        <v>2129</v>
      </c>
      <c r="F62" s="395" t="s">
        <v>48</v>
      </c>
      <c r="G62" s="394" t="s">
        <v>2115</v>
      </c>
      <c r="H62" s="394" t="s">
        <v>2130</v>
      </c>
      <c r="I62" s="396">
        <v>128.78</v>
      </c>
    </row>
    <row r="63" spans="1:9" hidden="1" x14ac:dyDescent="0.2">
      <c r="A63" s="393" t="s">
        <v>2024</v>
      </c>
      <c r="B63" s="393"/>
      <c r="C63" s="394" t="s">
        <v>2131</v>
      </c>
      <c r="D63" s="393" t="s">
        <v>36</v>
      </c>
      <c r="E63" s="393" t="s">
        <v>2132</v>
      </c>
      <c r="F63" s="395" t="s">
        <v>48</v>
      </c>
      <c r="G63" s="394" t="s">
        <v>2069</v>
      </c>
      <c r="H63" s="394" t="s">
        <v>2133</v>
      </c>
      <c r="I63" s="396">
        <v>32</v>
      </c>
    </row>
    <row r="64" spans="1:9" hidden="1" x14ac:dyDescent="0.2">
      <c r="A64" s="393" t="s">
        <v>2024</v>
      </c>
      <c r="B64" s="393"/>
      <c r="C64" s="394" t="s">
        <v>2134</v>
      </c>
      <c r="D64" s="393" t="s">
        <v>36</v>
      </c>
      <c r="E64" s="393" t="s">
        <v>2135</v>
      </c>
      <c r="F64" s="395" t="s">
        <v>48</v>
      </c>
      <c r="G64" s="394" t="s">
        <v>2065</v>
      </c>
      <c r="H64" s="394" t="s">
        <v>2136</v>
      </c>
      <c r="I64" s="396">
        <v>4.6399999999999997</v>
      </c>
    </row>
    <row r="65" spans="1:9" hidden="1" x14ac:dyDescent="0.2">
      <c r="A65" s="393" t="s">
        <v>2024</v>
      </c>
      <c r="B65" s="393"/>
      <c r="C65" s="394" t="s">
        <v>2137</v>
      </c>
      <c r="D65" s="393" t="s">
        <v>36</v>
      </c>
      <c r="E65" s="393" t="s">
        <v>2138</v>
      </c>
      <c r="F65" s="395" t="s">
        <v>48</v>
      </c>
      <c r="G65" s="394" t="s">
        <v>2026</v>
      </c>
      <c r="H65" s="394" t="s">
        <v>2139</v>
      </c>
      <c r="I65" s="396">
        <v>57.39</v>
      </c>
    </row>
    <row r="66" spans="1:9" hidden="1" x14ac:dyDescent="0.2">
      <c r="A66" s="393" t="s">
        <v>2024</v>
      </c>
      <c r="B66" s="393"/>
      <c r="C66" s="394" t="s">
        <v>2140</v>
      </c>
      <c r="D66" s="393" t="s">
        <v>36</v>
      </c>
      <c r="E66" s="393" t="s">
        <v>2141</v>
      </c>
      <c r="F66" s="395" t="s">
        <v>12</v>
      </c>
      <c r="G66" s="394" t="s">
        <v>2069</v>
      </c>
      <c r="H66" s="394" t="s">
        <v>2142</v>
      </c>
      <c r="I66" s="396">
        <v>25.84</v>
      </c>
    </row>
    <row r="67" spans="1:9" ht="22.5" hidden="1" x14ac:dyDescent="0.2">
      <c r="A67" s="393" t="s">
        <v>2024</v>
      </c>
      <c r="B67" s="393"/>
      <c r="C67" s="394" t="s">
        <v>2143</v>
      </c>
      <c r="D67" s="393" t="s">
        <v>36</v>
      </c>
      <c r="E67" s="393" t="s">
        <v>2144</v>
      </c>
      <c r="F67" s="395" t="s">
        <v>48</v>
      </c>
      <c r="G67" s="394" t="s">
        <v>2026</v>
      </c>
      <c r="H67" s="394" t="s">
        <v>2145</v>
      </c>
      <c r="I67" s="396">
        <v>33.549999999999997</v>
      </c>
    </row>
    <row r="68" spans="1:9" ht="22.5" hidden="1" x14ac:dyDescent="0.2">
      <c r="A68" s="393" t="s">
        <v>2024</v>
      </c>
      <c r="B68" s="393"/>
      <c r="C68" s="394" t="s">
        <v>2146</v>
      </c>
      <c r="D68" s="393" t="s">
        <v>36</v>
      </c>
      <c r="E68" s="393" t="s">
        <v>2147</v>
      </c>
      <c r="F68" s="395" t="s">
        <v>48</v>
      </c>
      <c r="G68" s="394" t="s">
        <v>2115</v>
      </c>
      <c r="H68" s="394" t="s">
        <v>2148</v>
      </c>
      <c r="I68" s="396">
        <v>10.76</v>
      </c>
    </row>
    <row r="69" spans="1:9" hidden="1" x14ac:dyDescent="0.2">
      <c r="A69" s="393" t="s">
        <v>2024</v>
      </c>
      <c r="B69" s="393"/>
      <c r="C69" s="394" t="s">
        <v>2149</v>
      </c>
      <c r="D69" s="393" t="s">
        <v>36</v>
      </c>
      <c r="E69" s="393" t="s">
        <v>2150</v>
      </c>
      <c r="F69" s="395" t="s">
        <v>48</v>
      </c>
      <c r="G69" s="394" t="s">
        <v>2115</v>
      </c>
      <c r="H69" s="394" t="s">
        <v>2151</v>
      </c>
      <c r="I69" s="396">
        <v>10.52</v>
      </c>
    </row>
    <row r="70" spans="1:9" hidden="1" x14ac:dyDescent="0.2">
      <c r="A70" s="393" t="s">
        <v>2024</v>
      </c>
      <c r="B70" s="393"/>
      <c r="C70" s="394" t="s">
        <v>2152</v>
      </c>
      <c r="D70" s="393" t="s">
        <v>36</v>
      </c>
      <c r="E70" s="393" t="s">
        <v>2153</v>
      </c>
      <c r="F70" s="395" t="s">
        <v>48</v>
      </c>
      <c r="G70" s="394" t="s">
        <v>2115</v>
      </c>
      <c r="H70" s="394" t="s">
        <v>2154</v>
      </c>
      <c r="I70" s="396">
        <v>6.6</v>
      </c>
    </row>
    <row r="71" spans="1:9" hidden="1" x14ac:dyDescent="0.2">
      <c r="A71" s="393" t="s">
        <v>2024</v>
      </c>
      <c r="B71" s="393"/>
      <c r="C71" s="394" t="s">
        <v>2155</v>
      </c>
      <c r="D71" s="393" t="s">
        <v>36</v>
      </c>
      <c r="E71" s="393" t="s">
        <v>2156</v>
      </c>
      <c r="F71" s="395" t="s">
        <v>48</v>
      </c>
      <c r="G71" s="394" t="s">
        <v>2115</v>
      </c>
      <c r="H71" s="394" t="s">
        <v>2157</v>
      </c>
      <c r="I71" s="396">
        <v>1.32</v>
      </c>
    </row>
    <row r="72" spans="1:9" hidden="1" x14ac:dyDescent="0.2">
      <c r="A72" s="393" t="s">
        <v>2024</v>
      </c>
      <c r="B72" s="393"/>
      <c r="C72" s="394" t="s">
        <v>2158</v>
      </c>
      <c r="D72" s="393" t="s">
        <v>36</v>
      </c>
      <c r="E72" s="393" t="s">
        <v>2159</v>
      </c>
      <c r="F72" s="395" t="s">
        <v>48</v>
      </c>
      <c r="G72" s="394" t="s">
        <v>2115</v>
      </c>
      <c r="H72" s="394" t="s">
        <v>2160</v>
      </c>
      <c r="I72" s="396">
        <v>0.98</v>
      </c>
    </row>
    <row r="73" spans="1:9" hidden="1" x14ac:dyDescent="0.2">
      <c r="A73" s="393" t="s">
        <v>2024</v>
      </c>
      <c r="B73" s="393"/>
      <c r="C73" s="394" t="s">
        <v>2161</v>
      </c>
      <c r="D73" s="393" t="s">
        <v>36</v>
      </c>
      <c r="E73" s="393" t="s">
        <v>2162</v>
      </c>
      <c r="F73" s="395" t="s">
        <v>48</v>
      </c>
      <c r="G73" s="394" t="s">
        <v>2026</v>
      </c>
      <c r="H73" s="394" t="s">
        <v>2163</v>
      </c>
      <c r="I73" s="396">
        <v>540.11</v>
      </c>
    </row>
    <row r="74" spans="1:9" ht="15" hidden="1" thickTop="1" x14ac:dyDescent="0.2">
      <c r="A74" s="188"/>
      <c r="B74" s="188"/>
      <c r="C74" s="188"/>
      <c r="D74" s="188"/>
      <c r="E74" s="188"/>
      <c r="F74" s="188"/>
      <c r="G74" s="188"/>
      <c r="H74" s="188"/>
      <c r="I74" s="188"/>
    </row>
    <row r="75" spans="1:9" ht="15" hidden="1" x14ac:dyDescent="0.2">
      <c r="A75" s="121"/>
      <c r="B75" s="121" t="s">
        <v>65</v>
      </c>
      <c r="C75" s="117" t="s">
        <v>46</v>
      </c>
      <c r="D75" s="121" t="s">
        <v>21</v>
      </c>
      <c r="E75" s="121" t="s">
        <v>37</v>
      </c>
      <c r="F75" s="118" t="s">
        <v>26</v>
      </c>
      <c r="G75" s="117" t="s">
        <v>61</v>
      </c>
      <c r="H75" s="117" t="s">
        <v>79</v>
      </c>
      <c r="I75" s="117" t="s">
        <v>50</v>
      </c>
    </row>
    <row r="76" spans="1:9" x14ac:dyDescent="0.2">
      <c r="A76" s="386" t="s">
        <v>2007</v>
      </c>
      <c r="B76" s="386" t="s">
        <v>2164</v>
      </c>
      <c r="C76" s="387" t="s">
        <v>2165</v>
      </c>
      <c r="D76" s="386" t="s">
        <v>10</v>
      </c>
      <c r="E76" s="386" t="s">
        <v>45</v>
      </c>
      <c r="F76" s="388" t="s">
        <v>75</v>
      </c>
      <c r="G76" s="387">
        <v>1</v>
      </c>
      <c r="H76" s="387" t="s">
        <v>2166</v>
      </c>
      <c r="I76" s="387" t="s">
        <v>2166</v>
      </c>
    </row>
    <row r="77" spans="1:9" hidden="1" x14ac:dyDescent="0.2">
      <c r="A77" s="389" t="s">
        <v>2011</v>
      </c>
      <c r="B77" s="389"/>
      <c r="C77" s="390" t="s">
        <v>2167</v>
      </c>
      <c r="D77" s="389" t="s">
        <v>36</v>
      </c>
      <c r="E77" s="389" t="s">
        <v>2168</v>
      </c>
      <c r="F77" s="391" t="s">
        <v>25</v>
      </c>
      <c r="G77" s="390" t="s">
        <v>2026</v>
      </c>
      <c r="H77" s="390" t="s">
        <v>2169</v>
      </c>
      <c r="I77" s="392">
        <v>5.14</v>
      </c>
    </row>
    <row r="78" spans="1:9" ht="22.5" hidden="1" x14ac:dyDescent="0.2">
      <c r="A78" s="393" t="s">
        <v>2024</v>
      </c>
      <c r="B78" s="393"/>
      <c r="C78" s="394" t="s">
        <v>2170</v>
      </c>
      <c r="D78" s="393" t="s">
        <v>36</v>
      </c>
      <c r="E78" s="393" t="s">
        <v>2171</v>
      </c>
      <c r="F78" s="395" t="s">
        <v>2172</v>
      </c>
      <c r="G78" s="394" t="s">
        <v>2026</v>
      </c>
      <c r="H78" s="394" t="s">
        <v>2173</v>
      </c>
      <c r="I78" s="396">
        <v>15</v>
      </c>
    </row>
    <row r="79" spans="1:9" ht="15" hidden="1" thickTop="1" x14ac:dyDescent="0.2">
      <c r="A79" s="188"/>
      <c r="B79" s="188"/>
      <c r="C79" s="188"/>
      <c r="D79" s="188"/>
      <c r="E79" s="188"/>
      <c r="F79" s="188"/>
      <c r="G79" s="188"/>
      <c r="H79" s="188"/>
      <c r="I79" s="188"/>
    </row>
    <row r="80" spans="1:9" ht="15" hidden="1" x14ac:dyDescent="0.2">
      <c r="A80" s="121"/>
      <c r="B80" s="121" t="s">
        <v>65</v>
      </c>
      <c r="C80" s="117" t="s">
        <v>46</v>
      </c>
      <c r="D80" s="121" t="s">
        <v>21</v>
      </c>
      <c r="E80" s="121" t="s">
        <v>37</v>
      </c>
      <c r="F80" s="118" t="s">
        <v>26</v>
      </c>
      <c r="G80" s="117" t="s">
        <v>61</v>
      </c>
      <c r="H80" s="117" t="s">
        <v>79</v>
      </c>
      <c r="I80" s="117" t="s">
        <v>50</v>
      </c>
    </row>
    <row r="81" spans="1:9" ht="22.5" x14ac:dyDescent="0.2">
      <c r="A81" s="386" t="s">
        <v>2007</v>
      </c>
      <c r="B81" s="386" t="s">
        <v>2174</v>
      </c>
      <c r="C81" s="387" t="s">
        <v>2175</v>
      </c>
      <c r="D81" s="386" t="s">
        <v>10</v>
      </c>
      <c r="E81" s="386" t="s">
        <v>873</v>
      </c>
      <c r="F81" s="388" t="s">
        <v>874</v>
      </c>
      <c r="G81" s="387">
        <v>1</v>
      </c>
      <c r="H81" s="387" t="s">
        <v>2176</v>
      </c>
      <c r="I81" s="387" t="s">
        <v>2176</v>
      </c>
    </row>
    <row r="82" spans="1:9" hidden="1" x14ac:dyDescent="0.2">
      <c r="A82" s="389" t="s">
        <v>2011</v>
      </c>
      <c r="B82" s="389"/>
      <c r="C82" s="390" t="s">
        <v>2030</v>
      </c>
      <c r="D82" s="389" t="s">
        <v>36</v>
      </c>
      <c r="E82" s="389" t="s">
        <v>2031</v>
      </c>
      <c r="F82" s="391" t="s">
        <v>2018</v>
      </c>
      <c r="G82" s="390" t="s">
        <v>2177</v>
      </c>
      <c r="H82" s="390" t="s">
        <v>2033</v>
      </c>
      <c r="I82" s="392">
        <v>6.38</v>
      </c>
    </row>
    <row r="83" spans="1:9" hidden="1" x14ac:dyDescent="0.2">
      <c r="A83" s="389" t="s">
        <v>2011</v>
      </c>
      <c r="B83" s="389"/>
      <c r="C83" s="390" t="s">
        <v>2034</v>
      </c>
      <c r="D83" s="389" t="s">
        <v>36</v>
      </c>
      <c r="E83" s="389" t="s">
        <v>2035</v>
      </c>
      <c r="F83" s="391" t="s">
        <v>2018</v>
      </c>
      <c r="G83" s="390" t="s">
        <v>2178</v>
      </c>
      <c r="H83" s="390" t="s">
        <v>2037</v>
      </c>
      <c r="I83" s="392">
        <v>7.78</v>
      </c>
    </row>
    <row r="84" spans="1:9" ht="22.5" hidden="1" x14ac:dyDescent="0.2">
      <c r="A84" s="389" t="s">
        <v>2011</v>
      </c>
      <c r="B84" s="389"/>
      <c r="C84" s="390" t="s">
        <v>2179</v>
      </c>
      <c r="D84" s="389" t="s">
        <v>36</v>
      </c>
      <c r="E84" s="389" t="s">
        <v>2180</v>
      </c>
      <c r="F84" s="391" t="s">
        <v>2181</v>
      </c>
      <c r="G84" s="390" t="s">
        <v>2182</v>
      </c>
      <c r="H84" s="390" t="s">
        <v>2183</v>
      </c>
      <c r="I84" s="392">
        <v>0.09</v>
      </c>
    </row>
    <row r="85" spans="1:9" ht="22.5" hidden="1" x14ac:dyDescent="0.2">
      <c r="A85" s="389" t="s">
        <v>2011</v>
      </c>
      <c r="B85" s="389"/>
      <c r="C85" s="390" t="s">
        <v>2184</v>
      </c>
      <c r="D85" s="389" t="s">
        <v>36</v>
      </c>
      <c r="E85" s="389" t="s">
        <v>2185</v>
      </c>
      <c r="F85" s="391" t="s">
        <v>2186</v>
      </c>
      <c r="G85" s="390" t="s">
        <v>2187</v>
      </c>
      <c r="H85" s="390" t="s">
        <v>2188</v>
      </c>
      <c r="I85" s="392">
        <v>0.02</v>
      </c>
    </row>
    <row r="86" spans="1:9" ht="22.5" hidden="1" x14ac:dyDescent="0.2">
      <c r="A86" s="393" t="s">
        <v>2024</v>
      </c>
      <c r="B86" s="393"/>
      <c r="C86" s="394" t="s">
        <v>2189</v>
      </c>
      <c r="D86" s="393" t="s">
        <v>36</v>
      </c>
      <c r="E86" s="393" t="s">
        <v>2190</v>
      </c>
      <c r="F86" s="395" t="s">
        <v>25</v>
      </c>
      <c r="G86" s="394" t="s">
        <v>2191</v>
      </c>
      <c r="H86" s="394" t="s">
        <v>2192</v>
      </c>
      <c r="I86" s="396">
        <v>407.45</v>
      </c>
    </row>
    <row r="87" spans="1:9" ht="15" hidden="1" thickTop="1" x14ac:dyDescent="0.2">
      <c r="A87" s="188"/>
      <c r="B87" s="188"/>
      <c r="C87" s="188"/>
      <c r="D87" s="188"/>
      <c r="E87" s="188"/>
      <c r="F87" s="188"/>
      <c r="G87" s="188"/>
      <c r="H87" s="188"/>
      <c r="I87" s="188"/>
    </row>
    <row r="88" spans="1:9" ht="15" hidden="1" x14ac:dyDescent="0.2">
      <c r="A88" s="121"/>
      <c r="B88" s="121" t="s">
        <v>65</v>
      </c>
      <c r="C88" s="117" t="s">
        <v>46</v>
      </c>
      <c r="D88" s="121" t="s">
        <v>21</v>
      </c>
      <c r="E88" s="121" t="s">
        <v>37</v>
      </c>
      <c r="F88" s="118" t="s">
        <v>26</v>
      </c>
      <c r="G88" s="117" t="s">
        <v>61</v>
      </c>
      <c r="H88" s="117" t="s">
        <v>79</v>
      </c>
      <c r="I88" s="117" t="s">
        <v>50</v>
      </c>
    </row>
    <row r="89" spans="1:9" ht="22.5" x14ac:dyDescent="0.2">
      <c r="A89" s="386" t="s">
        <v>2007</v>
      </c>
      <c r="B89" s="386" t="s">
        <v>2193</v>
      </c>
      <c r="C89" s="387" t="s">
        <v>2194</v>
      </c>
      <c r="D89" s="386" t="s">
        <v>10</v>
      </c>
      <c r="E89" s="386" t="s">
        <v>391</v>
      </c>
      <c r="F89" s="388" t="s">
        <v>25</v>
      </c>
      <c r="G89" s="387">
        <v>1</v>
      </c>
      <c r="H89" s="387" t="s">
        <v>2195</v>
      </c>
      <c r="I89" s="387" t="s">
        <v>2195</v>
      </c>
    </row>
    <row r="90" spans="1:9" hidden="1" x14ac:dyDescent="0.2">
      <c r="A90" s="389" t="s">
        <v>2011</v>
      </c>
      <c r="B90" s="389"/>
      <c r="C90" s="390" t="s">
        <v>2196</v>
      </c>
      <c r="D90" s="389" t="s">
        <v>36</v>
      </c>
      <c r="E90" s="389" t="s">
        <v>2197</v>
      </c>
      <c r="F90" s="391" t="s">
        <v>25</v>
      </c>
      <c r="G90" s="390" t="s">
        <v>2026</v>
      </c>
      <c r="H90" s="390" t="s">
        <v>2198</v>
      </c>
      <c r="I90" s="392">
        <v>24.13</v>
      </c>
    </row>
    <row r="91" spans="1:9" ht="22.5" hidden="1" x14ac:dyDescent="0.2">
      <c r="A91" s="393" t="s">
        <v>2024</v>
      </c>
      <c r="B91" s="393"/>
      <c r="C91" s="394" t="s">
        <v>2189</v>
      </c>
      <c r="D91" s="393" t="s">
        <v>36</v>
      </c>
      <c r="E91" s="393" t="s">
        <v>2190</v>
      </c>
      <c r="F91" s="395" t="s">
        <v>25</v>
      </c>
      <c r="G91" s="394" t="s">
        <v>2026</v>
      </c>
      <c r="H91" s="394" t="s">
        <v>2192</v>
      </c>
      <c r="I91" s="396">
        <v>354.31</v>
      </c>
    </row>
    <row r="92" spans="1:9" ht="15" hidden="1" thickTop="1" x14ac:dyDescent="0.2">
      <c r="A92" s="188"/>
      <c r="B92" s="188"/>
      <c r="C92" s="188"/>
      <c r="D92" s="188"/>
      <c r="E92" s="188"/>
      <c r="F92" s="188"/>
      <c r="G92" s="188"/>
      <c r="H92" s="188"/>
      <c r="I92" s="188"/>
    </row>
    <row r="93" spans="1:9" ht="15" hidden="1" x14ac:dyDescent="0.2">
      <c r="A93" s="121"/>
      <c r="B93" s="121" t="s">
        <v>65</v>
      </c>
      <c r="C93" s="117" t="s">
        <v>46</v>
      </c>
      <c r="D93" s="121" t="s">
        <v>21</v>
      </c>
      <c r="E93" s="121" t="s">
        <v>37</v>
      </c>
      <c r="F93" s="118" t="s">
        <v>26</v>
      </c>
      <c r="G93" s="117" t="s">
        <v>61</v>
      </c>
      <c r="H93" s="117" t="s">
        <v>79</v>
      </c>
      <c r="I93" s="117" t="s">
        <v>50</v>
      </c>
    </row>
    <row r="94" spans="1:9" ht="22.5" x14ac:dyDescent="0.2">
      <c r="A94" s="386" t="s">
        <v>2007</v>
      </c>
      <c r="B94" s="386" t="s">
        <v>2199</v>
      </c>
      <c r="C94" s="387" t="s">
        <v>2200</v>
      </c>
      <c r="D94" s="386" t="s">
        <v>10</v>
      </c>
      <c r="E94" s="386" t="s">
        <v>877</v>
      </c>
      <c r="F94" s="388" t="s">
        <v>24</v>
      </c>
      <c r="G94" s="387">
        <v>1</v>
      </c>
      <c r="H94" s="387" t="s">
        <v>2201</v>
      </c>
      <c r="I94" s="387" t="s">
        <v>2201</v>
      </c>
    </row>
    <row r="95" spans="1:9" hidden="1" x14ac:dyDescent="0.2">
      <c r="A95" s="389" t="s">
        <v>2011</v>
      </c>
      <c r="B95" s="389"/>
      <c r="C95" s="390" t="s">
        <v>2047</v>
      </c>
      <c r="D95" s="389" t="s">
        <v>36</v>
      </c>
      <c r="E95" s="389" t="s">
        <v>2048</v>
      </c>
      <c r="F95" s="391" t="s">
        <v>2018</v>
      </c>
      <c r="G95" s="390" t="s">
        <v>2202</v>
      </c>
      <c r="H95" s="390" t="s">
        <v>2050</v>
      </c>
      <c r="I95" s="392">
        <v>3.32</v>
      </c>
    </row>
    <row r="96" spans="1:9" hidden="1" x14ac:dyDescent="0.2">
      <c r="A96" s="389" t="s">
        <v>2011</v>
      </c>
      <c r="B96" s="389"/>
      <c r="C96" s="390" t="s">
        <v>2030</v>
      </c>
      <c r="D96" s="389" t="s">
        <v>36</v>
      </c>
      <c r="E96" s="389" t="s">
        <v>2031</v>
      </c>
      <c r="F96" s="391" t="s">
        <v>2018</v>
      </c>
      <c r="G96" s="390" t="s">
        <v>2203</v>
      </c>
      <c r="H96" s="390" t="s">
        <v>2033</v>
      </c>
      <c r="I96" s="392">
        <v>6.16</v>
      </c>
    </row>
    <row r="97" spans="1:9" hidden="1" x14ac:dyDescent="0.2">
      <c r="A97" s="389" t="s">
        <v>2011</v>
      </c>
      <c r="B97" s="389"/>
      <c r="C97" s="390" t="s">
        <v>2034</v>
      </c>
      <c r="D97" s="389" t="s">
        <v>36</v>
      </c>
      <c r="E97" s="389" t="s">
        <v>2035</v>
      </c>
      <c r="F97" s="391" t="s">
        <v>2018</v>
      </c>
      <c r="G97" s="390" t="s">
        <v>2204</v>
      </c>
      <c r="H97" s="390" t="s">
        <v>2037</v>
      </c>
      <c r="I97" s="392">
        <v>12.16</v>
      </c>
    </row>
    <row r="98" spans="1:9" hidden="1" x14ac:dyDescent="0.2">
      <c r="A98" s="389" t="s">
        <v>2011</v>
      </c>
      <c r="B98" s="389"/>
      <c r="C98" s="390" t="s">
        <v>2196</v>
      </c>
      <c r="D98" s="389" t="s">
        <v>36</v>
      </c>
      <c r="E98" s="389" t="s">
        <v>2197</v>
      </c>
      <c r="F98" s="391" t="s">
        <v>25</v>
      </c>
      <c r="G98" s="390" t="s">
        <v>2205</v>
      </c>
      <c r="H98" s="390" t="s">
        <v>2198</v>
      </c>
      <c r="I98" s="392">
        <v>1.44</v>
      </c>
    </row>
    <row r="99" spans="1:9" ht="22.5" x14ac:dyDescent="0.2">
      <c r="A99" s="389" t="s">
        <v>2011</v>
      </c>
      <c r="B99" s="389"/>
      <c r="C99" s="390" t="s">
        <v>2206</v>
      </c>
      <c r="D99" s="389" t="s">
        <v>10</v>
      </c>
      <c r="E99" s="389" t="s">
        <v>2207</v>
      </c>
      <c r="F99" s="391" t="s">
        <v>25</v>
      </c>
      <c r="G99" s="390" t="s">
        <v>2205</v>
      </c>
      <c r="H99" s="390" t="s">
        <v>2208</v>
      </c>
      <c r="I99" s="392">
        <v>18.21</v>
      </c>
    </row>
    <row r="100" spans="1:9" x14ac:dyDescent="0.2">
      <c r="A100" s="393" t="s">
        <v>2024</v>
      </c>
      <c r="B100" s="393"/>
      <c r="C100" s="394" t="s">
        <v>2209</v>
      </c>
      <c r="D100" s="393" t="s">
        <v>10</v>
      </c>
      <c r="E100" s="393" t="s">
        <v>2210</v>
      </c>
      <c r="F100" s="395" t="s">
        <v>24</v>
      </c>
      <c r="G100" s="394" t="s">
        <v>2026</v>
      </c>
      <c r="H100" s="394" t="s">
        <v>2211</v>
      </c>
      <c r="I100" s="396">
        <v>31.67</v>
      </c>
    </row>
    <row r="101" spans="1:9" hidden="1" x14ac:dyDescent="0.2">
      <c r="A101" s="393" t="s">
        <v>2024</v>
      </c>
      <c r="B101" s="393"/>
      <c r="C101" s="394" t="s">
        <v>2212</v>
      </c>
      <c r="D101" s="393" t="s">
        <v>36</v>
      </c>
      <c r="E101" s="393" t="s">
        <v>2213</v>
      </c>
      <c r="F101" s="395" t="s">
        <v>12</v>
      </c>
      <c r="G101" s="394" t="s">
        <v>2214</v>
      </c>
      <c r="H101" s="394" t="s">
        <v>2215</v>
      </c>
      <c r="I101" s="396">
        <v>4.76</v>
      </c>
    </row>
    <row r="102" spans="1:9" hidden="1" x14ac:dyDescent="0.2">
      <c r="A102" s="393" t="s">
        <v>2024</v>
      </c>
      <c r="B102" s="393"/>
      <c r="C102" s="394" t="s">
        <v>2216</v>
      </c>
      <c r="D102" s="393" t="s">
        <v>36</v>
      </c>
      <c r="E102" s="393" t="s">
        <v>2217</v>
      </c>
      <c r="F102" s="395" t="s">
        <v>22</v>
      </c>
      <c r="G102" s="394" t="s">
        <v>2218</v>
      </c>
      <c r="H102" s="394" t="s">
        <v>2219</v>
      </c>
      <c r="I102" s="396">
        <v>0.18</v>
      </c>
    </row>
    <row r="103" spans="1:9" hidden="1" x14ac:dyDescent="0.2">
      <c r="A103" s="393" t="s">
        <v>2024</v>
      </c>
      <c r="B103" s="393"/>
      <c r="C103" s="394" t="s">
        <v>2086</v>
      </c>
      <c r="D103" s="393" t="s">
        <v>36</v>
      </c>
      <c r="E103" s="393" t="s">
        <v>2087</v>
      </c>
      <c r="F103" s="395" t="s">
        <v>12</v>
      </c>
      <c r="G103" s="394" t="s">
        <v>2220</v>
      </c>
      <c r="H103" s="394" t="s">
        <v>2088</v>
      </c>
      <c r="I103" s="396">
        <v>1.89</v>
      </c>
    </row>
    <row r="104" spans="1:9" ht="15" hidden="1" thickTop="1" x14ac:dyDescent="0.2">
      <c r="A104" s="188"/>
      <c r="B104" s="188"/>
      <c r="C104" s="188"/>
      <c r="D104" s="188"/>
      <c r="E104" s="188"/>
      <c r="F104" s="188"/>
      <c r="G104" s="188"/>
      <c r="H104" s="188"/>
      <c r="I104" s="188"/>
    </row>
    <row r="105" spans="1:9" ht="15" hidden="1" x14ac:dyDescent="0.2">
      <c r="A105" s="121"/>
      <c r="B105" s="121" t="s">
        <v>65</v>
      </c>
      <c r="C105" s="117" t="s">
        <v>46</v>
      </c>
      <c r="D105" s="121" t="s">
        <v>21</v>
      </c>
      <c r="E105" s="121" t="s">
        <v>37</v>
      </c>
      <c r="F105" s="118" t="s">
        <v>26</v>
      </c>
      <c r="G105" s="117" t="s">
        <v>61</v>
      </c>
      <c r="H105" s="117" t="s">
        <v>79</v>
      </c>
      <c r="I105" s="117" t="s">
        <v>50</v>
      </c>
    </row>
    <row r="106" spans="1:9" ht="22.5" x14ac:dyDescent="0.2">
      <c r="A106" s="386" t="s">
        <v>2007</v>
      </c>
      <c r="B106" s="386" t="s">
        <v>2221</v>
      </c>
      <c r="C106" s="387" t="s">
        <v>2222</v>
      </c>
      <c r="D106" s="386" t="s">
        <v>10</v>
      </c>
      <c r="E106" s="386" t="s">
        <v>881</v>
      </c>
      <c r="F106" s="388" t="s">
        <v>24</v>
      </c>
      <c r="G106" s="387">
        <v>1</v>
      </c>
      <c r="H106" s="387" t="s">
        <v>2223</v>
      </c>
      <c r="I106" s="387" t="s">
        <v>2223</v>
      </c>
    </row>
    <row r="107" spans="1:9" hidden="1" x14ac:dyDescent="0.2">
      <c r="A107" s="389" t="s">
        <v>2011</v>
      </c>
      <c r="B107" s="389"/>
      <c r="C107" s="390" t="s">
        <v>2224</v>
      </c>
      <c r="D107" s="389" t="s">
        <v>36</v>
      </c>
      <c r="E107" s="389" t="s">
        <v>2225</v>
      </c>
      <c r="F107" s="391" t="s">
        <v>2018</v>
      </c>
      <c r="G107" s="390" t="s">
        <v>2226</v>
      </c>
      <c r="H107" s="390" t="s">
        <v>2227</v>
      </c>
      <c r="I107" s="392">
        <v>85.58</v>
      </c>
    </row>
    <row r="108" spans="1:9" hidden="1" x14ac:dyDescent="0.2">
      <c r="A108" s="389" t="s">
        <v>2011</v>
      </c>
      <c r="B108" s="389"/>
      <c r="C108" s="390" t="s">
        <v>2034</v>
      </c>
      <c r="D108" s="389" t="s">
        <v>36</v>
      </c>
      <c r="E108" s="389" t="s">
        <v>2035</v>
      </c>
      <c r="F108" s="391" t="s">
        <v>2018</v>
      </c>
      <c r="G108" s="390" t="s">
        <v>2228</v>
      </c>
      <c r="H108" s="390" t="s">
        <v>2037</v>
      </c>
      <c r="I108" s="392">
        <v>32.909999999999997</v>
      </c>
    </row>
    <row r="109" spans="1:9" hidden="1" x14ac:dyDescent="0.2">
      <c r="A109" s="389" t="s">
        <v>2011</v>
      </c>
      <c r="B109" s="389"/>
      <c r="C109" s="390" t="s">
        <v>2229</v>
      </c>
      <c r="D109" s="389" t="s">
        <v>36</v>
      </c>
      <c r="E109" s="389" t="s">
        <v>2230</v>
      </c>
      <c r="F109" s="391" t="s">
        <v>25</v>
      </c>
      <c r="G109" s="390" t="s">
        <v>2231</v>
      </c>
      <c r="H109" s="390" t="s">
        <v>2232</v>
      </c>
      <c r="I109" s="392">
        <v>1.25</v>
      </c>
    </row>
    <row r="110" spans="1:9" hidden="1" x14ac:dyDescent="0.2">
      <c r="A110" s="393" t="s">
        <v>2024</v>
      </c>
      <c r="B110" s="393"/>
      <c r="C110" s="394" t="s">
        <v>2233</v>
      </c>
      <c r="D110" s="393" t="s">
        <v>36</v>
      </c>
      <c r="E110" s="393" t="s">
        <v>2234</v>
      </c>
      <c r="F110" s="395" t="s">
        <v>22</v>
      </c>
      <c r="G110" s="394" t="s">
        <v>2235</v>
      </c>
      <c r="H110" s="394" t="s">
        <v>2236</v>
      </c>
      <c r="I110" s="396">
        <v>2.12</v>
      </c>
    </row>
    <row r="111" spans="1:9" x14ac:dyDescent="0.2">
      <c r="A111" s="393" t="s">
        <v>2024</v>
      </c>
      <c r="B111" s="393"/>
      <c r="C111" s="394" t="s">
        <v>2237</v>
      </c>
      <c r="D111" s="393" t="s">
        <v>10</v>
      </c>
      <c r="E111" s="393" t="s">
        <v>2238</v>
      </c>
      <c r="F111" s="395" t="s">
        <v>2239</v>
      </c>
      <c r="G111" s="394" t="s">
        <v>2026</v>
      </c>
      <c r="H111" s="394" t="s">
        <v>2239</v>
      </c>
      <c r="I111" s="396">
        <v>300</v>
      </c>
    </row>
    <row r="112" spans="1:9" ht="15" hidden="1" thickTop="1" x14ac:dyDescent="0.2">
      <c r="A112" s="188"/>
      <c r="B112" s="188"/>
      <c r="C112" s="188"/>
      <c r="D112" s="188"/>
      <c r="E112" s="188"/>
      <c r="F112" s="188"/>
      <c r="G112" s="188"/>
      <c r="H112" s="188"/>
      <c r="I112" s="188"/>
    </row>
    <row r="113" spans="1:9" ht="15" hidden="1" x14ac:dyDescent="0.2">
      <c r="A113" s="121"/>
      <c r="B113" s="121" t="s">
        <v>65</v>
      </c>
      <c r="C113" s="117" t="s">
        <v>46</v>
      </c>
      <c r="D113" s="121" t="s">
        <v>21</v>
      </c>
      <c r="E113" s="121" t="s">
        <v>37</v>
      </c>
      <c r="F113" s="118" t="s">
        <v>26</v>
      </c>
      <c r="G113" s="117" t="s">
        <v>61</v>
      </c>
      <c r="H113" s="117" t="s">
        <v>79</v>
      </c>
      <c r="I113" s="117" t="s">
        <v>50</v>
      </c>
    </row>
    <row r="114" spans="1:9" x14ac:dyDescent="0.2">
      <c r="A114" s="386" t="s">
        <v>2007</v>
      </c>
      <c r="B114" s="386" t="s">
        <v>2240</v>
      </c>
      <c r="C114" s="387" t="s">
        <v>2241</v>
      </c>
      <c r="D114" s="386" t="s">
        <v>10</v>
      </c>
      <c r="E114" s="386" t="s">
        <v>897</v>
      </c>
      <c r="F114" s="388" t="s">
        <v>48</v>
      </c>
      <c r="G114" s="387">
        <v>1</v>
      </c>
      <c r="H114" s="387" t="s">
        <v>2242</v>
      </c>
      <c r="I114" s="387" t="s">
        <v>2242</v>
      </c>
    </row>
    <row r="115" spans="1:9" hidden="1" x14ac:dyDescent="0.2">
      <c r="A115" s="389" t="s">
        <v>2011</v>
      </c>
      <c r="B115" s="389"/>
      <c r="C115" s="390" t="s">
        <v>2243</v>
      </c>
      <c r="D115" s="389" t="s">
        <v>36</v>
      </c>
      <c r="E115" s="389" t="s">
        <v>2244</v>
      </c>
      <c r="F115" s="391" t="s">
        <v>2018</v>
      </c>
      <c r="G115" s="390" t="s">
        <v>2054</v>
      </c>
      <c r="H115" s="390" t="s">
        <v>2245</v>
      </c>
      <c r="I115" s="392">
        <v>10.18</v>
      </c>
    </row>
    <row r="116" spans="1:9" ht="22.5" hidden="1" x14ac:dyDescent="0.2">
      <c r="A116" s="393" t="s">
        <v>2024</v>
      </c>
      <c r="B116" s="393"/>
      <c r="C116" s="394" t="s">
        <v>2246</v>
      </c>
      <c r="D116" s="393" t="s">
        <v>36</v>
      </c>
      <c r="E116" s="393" t="s">
        <v>2247</v>
      </c>
      <c r="F116" s="395" t="s">
        <v>2248</v>
      </c>
      <c r="G116" s="394" t="s">
        <v>2115</v>
      </c>
      <c r="H116" s="394" t="s">
        <v>2249</v>
      </c>
      <c r="I116" s="396">
        <v>701.74</v>
      </c>
    </row>
    <row r="117" spans="1:9" hidden="1" x14ac:dyDescent="0.2">
      <c r="A117" s="393" t="s">
        <v>2024</v>
      </c>
      <c r="B117" s="393"/>
      <c r="C117" s="394" t="s">
        <v>2250</v>
      </c>
      <c r="D117" s="393" t="s">
        <v>36</v>
      </c>
      <c r="E117" s="393" t="s">
        <v>2251</v>
      </c>
      <c r="F117" s="395" t="s">
        <v>24</v>
      </c>
      <c r="G117" s="394" t="s">
        <v>2252</v>
      </c>
      <c r="H117" s="394" t="s">
        <v>2253</v>
      </c>
      <c r="I117" s="396">
        <v>1118.32</v>
      </c>
    </row>
    <row r="118" spans="1:9" ht="22.5" hidden="1" x14ac:dyDescent="0.2">
      <c r="A118" s="393" t="s">
        <v>2024</v>
      </c>
      <c r="B118" s="393"/>
      <c r="C118" s="394" t="s">
        <v>2254</v>
      </c>
      <c r="D118" s="393" t="s">
        <v>36</v>
      </c>
      <c r="E118" s="393" t="s">
        <v>2255</v>
      </c>
      <c r="F118" s="395" t="s">
        <v>48</v>
      </c>
      <c r="G118" s="394" t="s">
        <v>2115</v>
      </c>
      <c r="H118" s="394" t="s">
        <v>2256</v>
      </c>
      <c r="I118" s="396">
        <v>25.44</v>
      </c>
    </row>
    <row r="119" spans="1:9" hidden="1" x14ac:dyDescent="0.2">
      <c r="A119" s="393" t="s">
        <v>2024</v>
      </c>
      <c r="B119" s="393"/>
      <c r="C119" s="394" t="s">
        <v>2257</v>
      </c>
      <c r="D119" s="393" t="s">
        <v>36</v>
      </c>
      <c r="E119" s="393" t="s">
        <v>2258</v>
      </c>
      <c r="F119" s="395" t="s">
        <v>48</v>
      </c>
      <c r="G119" s="394" t="s">
        <v>2115</v>
      </c>
      <c r="H119" s="394" t="s">
        <v>2259</v>
      </c>
      <c r="I119" s="396">
        <v>2094.08</v>
      </c>
    </row>
    <row r="120" spans="1:9" ht="15" hidden="1" thickTop="1" x14ac:dyDescent="0.2">
      <c r="A120" s="188"/>
      <c r="B120" s="188"/>
      <c r="C120" s="188"/>
      <c r="D120" s="188"/>
      <c r="E120" s="188"/>
      <c r="F120" s="188"/>
      <c r="G120" s="188"/>
      <c r="H120" s="188"/>
      <c r="I120" s="188"/>
    </row>
    <row r="121" spans="1:9" ht="15" hidden="1" x14ac:dyDescent="0.2">
      <c r="A121" s="121"/>
      <c r="B121" s="121" t="s">
        <v>65</v>
      </c>
      <c r="C121" s="117" t="s">
        <v>46</v>
      </c>
      <c r="D121" s="121" t="s">
        <v>21</v>
      </c>
      <c r="E121" s="121" t="s">
        <v>37</v>
      </c>
      <c r="F121" s="118" t="s">
        <v>26</v>
      </c>
      <c r="G121" s="117" t="s">
        <v>61</v>
      </c>
      <c r="H121" s="117" t="s">
        <v>79</v>
      </c>
      <c r="I121" s="117" t="s">
        <v>50</v>
      </c>
    </row>
    <row r="122" spans="1:9" x14ac:dyDescent="0.2">
      <c r="A122" s="386" t="s">
        <v>2007</v>
      </c>
      <c r="B122" s="386" t="s">
        <v>2260</v>
      </c>
      <c r="C122" s="387" t="s">
        <v>2261</v>
      </c>
      <c r="D122" s="386" t="s">
        <v>10</v>
      </c>
      <c r="E122" s="386" t="s">
        <v>900</v>
      </c>
      <c r="F122" s="388" t="s">
        <v>48</v>
      </c>
      <c r="G122" s="387">
        <v>1</v>
      </c>
      <c r="H122" s="387" t="s">
        <v>2262</v>
      </c>
      <c r="I122" s="387" t="s">
        <v>2262</v>
      </c>
    </row>
    <row r="123" spans="1:9" hidden="1" x14ac:dyDescent="0.2">
      <c r="A123" s="389" t="s">
        <v>2011</v>
      </c>
      <c r="B123" s="389"/>
      <c r="C123" s="390" t="s">
        <v>2243</v>
      </c>
      <c r="D123" s="389" t="s">
        <v>36</v>
      </c>
      <c r="E123" s="389" t="s">
        <v>2244</v>
      </c>
      <c r="F123" s="391" t="s">
        <v>2018</v>
      </c>
      <c r="G123" s="390" t="s">
        <v>2054</v>
      </c>
      <c r="H123" s="390" t="s">
        <v>2245</v>
      </c>
      <c r="I123" s="392">
        <v>10.18</v>
      </c>
    </row>
    <row r="124" spans="1:9" ht="22.5" hidden="1" x14ac:dyDescent="0.2">
      <c r="A124" s="393" t="s">
        <v>2024</v>
      </c>
      <c r="B124" s="393"/>
      <c r="C124" s="394" t="s">
        <v>2246</v>
      </c>
      <c r="D124" s="393" t="s">
        <v>36</v>
      </c>
      <c r="E124" s="393" t="s">
        <v>2247</v>
      </c>
      <c r="F124" s="395" t="s">
        <v>2248</v>
      </c>
      <c r="G124" s="394" t="s">
        <v>2115</v>
      </c>
      <c r="H124" s="394" t="s">
        <v>2249</v>
      </c>
      <c r="I124" s="396">
        <v>701.74</v>
      </c>
    </row>
    <row r="125" spans="1:9" hidden="1" x14ac:dyDescent="0.2">
      <c r="A125" s="393" t="s">
        <v>2024</v>
      </c>
      <c r="B125" s="393"/>
      <c r="C125" s="394" t="s">
        <v>2250</v>
      </c>
      <c r="D125" s="393" t="s">
        <v>36</v>
      </c>
      <c r="E125" s="393" t="s">
        <v>2251</v>
      </c>
      <c r="F125" s="395" t="s">
        <v>24</v>
      </c>
      <c r="G125" s="394" t="s">
        <v>2263</v>
      </c>
      <c r="H125" s="394" t="s">
        <v>2253</v>
      </c>
      <c r="I125" s="396">
        <v>931.93</v>
      </c>
    </row>
    <row r="126" spans="1:9" ht="22.5" hidden="1" x14ac:dyDescent="0.2">
      <c r="A126" s="393" t="s">
        <v>2024</v>
      </c>
      <c r="B126" s="393"/>
      <c r="C126" s="394" t="s">
        <v>2254</v>
      </c>
      <c r="D126" s="393" t="s">
        <v>36</v>
      </c>
      <c r="E126" s="393" t="s">
        <v>2255</v>
      </c>
      <c r="F126" s="395" t="s">
        <v>48</v>
      </c>
      <c r="G126" s="394" t="s">
        <v>2115</v>
      </c>
      <c r="H126" s="394" t="s">
        <v>2256</v>
      </c>
      <c r="I126" s="396">
        <v>25.44</v>
      </c>
    </row>
    <row r="127" spans="1:9" hidden="1" x14ac:dyDescent="0.2">
      <c r="A127" s="393" t="s">
        <v>2024</v>
      </c>
      <c r="B127" s="393"/>
      <c r="C127" s="394" t="s">
        <v>2257</v>
      </c>
      <c r="D127" s="393" t="s">
        <v>36</v>
      </c>
      <c r="E127" s="393" t="s">
        <v>2258</v>
      </c>
      <c r="F127" s="395" t="s">
        <v>48</v>
      </c>
      <c r="G127" s="394" t="s">
        <v>2115</v>
      </c>
      <c r="H127" s="394" t="s">
        <v>2259</v>
      </c>
      <c r="I127" s="396">
        <v>2094.08</v>
      </c>
    </row>
    <row r="128" spans="1:9" ht="15" hidden="1" thickTop="1" x14ac:dyDescent="0.2">
      <c r="A128" s="188"/>
      <c r="B128" s="188"/>
      <c r="C128" s="188"/>
      <c r="D128" s="188"/>
      <c r="E128" s="188"/>
      <c r="F128" s="188"/>
      <c r="G128" s="188"/>
      <c r="H128" s="188"/>
      <c r="I128" s="188"/>
    </row>
    <row r="129" spans="1:9" ht="15" hidden="1" x14ac:dyDescent="0.2">
      <c r="A129" s="121"/>
      <c r="B129" s="121" t="s">
        <v>65</v>
      </c>
      <c r="C129" s="117" t="s">
        <v>46</v>
      </c>
      <c r="D129" s="121" t="s">
        <v>21</v>
      </c>
      <c r="E129" s="121" t="s">
        <v>37</v>
      </c>
      <c r="F129" s="118" t="s">
        <v>26</v>
      </c>
      <c r="G129" s="117" t="s">
        <v>61</v>
      </c>
      <c r="H129" s="117" t="s">
        <v>79</v>
      </c>
      <c r="I129" s="117" t="s">
        <v>50</v>
      </c>
    </row>
    <row r="130" spans="1:9" x14ac:dyDescent="0.2">
      <c r="A130" s="386" t="s">
        <v>2007</v>
      </c>
      <c r="B130" s="386" t="s">
        <v>2264</v>
      </c>
      <c r="C130" s="387" t="s">
        <v>2265</v>
      </c>
      <c r="D130" s="386" t="s">
        <v>10</v>
      </c>
      <c r="E130" s="386" t="s">
        <v>222</v>
      </c>
      <c r="F130" s="388" t="s">
        <v>22</v>
      </c>
      <c r="G130" s="387">
        <v>1</v>
      </c>
      <c r="H130" s="387" t="s">
        <v>2266</v>
      </c>
      <c r="I130" s="387" t="s">
        <v>2266</v>
      </c>
    </row>
    <row r="131" spans="1:9" hidden="1" x14ac:dyDescent="0.2">
      <c r="A131" s="389" t="s">
        <v>2011</v>
      </c>
      <c r="B131" s="389"/>
      <c r="C131" s="390" t="s">
        <v>2267</v>
      </c>
      <c r="D131" s="389" t="s">
        <v>36</v>
      </c>
      <c r="E131" s="389" t="s">
        <v>2268</v>
      </c>
      <c r="F131" s="391" t="s">
        <v>2018</v>
      </c>
      <c r="G131" s="390" t="s">
        <v>2218</v>
      </c>
      <c r="H131" s="390" t="s">
        <v>2050</v>
      </c>
      <c r="I131" s="392">
        <v>0.35</v>
      </c>
    </row>
    <row r="132" spans="1:9" hidden="1" x14ac:dyDescent="0.2">
      <c r="A132" s="389" t="s">
        <v>2011</v>
      </c>
      <c r="B132" s="389"/>
      <c r="C132" s="390" t="s">
        <v>2269</v>
      </c>
      <c r="D132" s="389" t="s">
        <v>36</v>
      </c>
      <c r="E132" s="389" t="s">
        <v>2270</v>
      </c>
      <c r="F132" s="391" t="s">
        <v>2018</v>
      </c>
      <c r="G132" s="390" t="s">
        <v>2218</v>
      </c>
      <c r="H132" s="390" t="s">
        <v>2271</v>
      </c>
      <c r="I132" s="392">
        <v>0.28000000000000003</v>
      </c>
    </row>
    <row r="133" spans="1:9" hidden="1" x14ac:dyDescent="0.2">
      <c r="A133" s="389" t="s">
        <v>2011</v>
      </c>
      <c r="B133" s="389"/>
      <c r="C133" s="390" t="s">
        <v>2272</v>
      </c>
      <c r="D133" s="389" t="s">
        <v>36</v>
      </c>
      <c r="E133" s="389" t="s">
        <v>2273</v>
      </c>
      <c r="F133" s="391" t="s">
        <v>2018</v>
      </c>
      <c r="G133" s="390" t="s">
        <v>2274</v>
      </c>
      <c r="H133" s="390" t="s">
        <v>2275</v>
      </c>
      <c r="I133" s="392">
        <v>0.05</v>
      </c>
    </row>
    <row r="134" spans="1:9" hidden="1" x14ac:dyDescent="0.2">
      <c r="A134" s="389" t="s">
        <v>2011</v>
      </c>
      <c r="B134" s="389"/>
      <c r="C134" s="390" t="s">
        <v>2034</v>
      </c>
      <c r="D134" s="389" t="s">
        <v>36</v>
      </c>
      <c r="E134" s="389" t="s">
        <v>2035</v>
      </c>
      <c r="F134" s="391" t="s">
        <v>2018</v>
      </c>
      <c r="G134" s="390" t="s">
        <v>2274</v>
      </c>
      <c r="H134" s="390" t="s">
        <v>2037</v>
      </c>
      <c r="I134" s="392">
        <v>0.04</v>
      </c>
    </row>
    <row r="135" spans="1:9" hidden="1" x14ac:dyDescent="0.2">
      <c r="A135" s="389" t="s">
        <v>2011</v>
      </c>
      <c r="B135" s="389"/>
      <c r="C135" s="390" t="s">
        <v>2276</v>
      </c>
      <c r="D135" s="389" t="s">
        <v>36</v>
      </c>
      <c r="E135" s="389" t="s">
        <v>2277</v>
      </c>
      <c r="F135" s="391" t="s">
        <v>2018</v>
      </c>
      <c r="G135" s="390" t="s">
        <v>2049</v>
      </c>
      <c r="H135" s="390" t="s">
        <v>2278</v>
      </c>
      <c r="I135" s="392">
        <v>0.46</v>
      </c>
    </row>
    <row r="136" spans="1:9" hidden="1" x14ac:dyDescent="0.2">
      <c r="A136" s="389" t="s">
        <v>2011</v>
      </c>
      <c r="B136" s="389"/>
      <c r="C136" s="390" t="s">
        <v>2279</v>
      </c>
      <c r="D136" s="389" t="s">
        <v>36</v>
      </c>
      <c r="E136" s="389" t="s">
        <v>2280</v>
      </c>
      <c r="F136" s="391" t="s">
        <v>2018</v>
      </c>
      <c r="G136" s="390" t="s">
        <v>2049</v>
      </c>
      <c r="H136" s="390" t="s">
        <v>2050</v>
      </c>
      <c r="I136" s="392">
        <v>0.7</v>
      </c>
    </row>
    <row r="137" spans="1:9" x14ac:dyDescent="0.2">
      <c r="A137" s="393" t="s">
        <v>2024</v>
      </c>
      <c r="B137" s="393"/>
      <c r="C137" s="394" t="s">
        <v>2281</v>
      </c>
      <c r="D137" s="393" t="s">
        <v>10</v>
      </c>
      <c r="E137" s="393" t="s">
        <v>2282</v>
      </c>
      <c r="F137" s="395" t="s">
        <v>22</v>
      </c>
      <c r="G137" s="394" t="s">
        <v>2283</v>
      </c>
      <c r="H137" s="394" t="s">
        <v>2284</v>
      </c>
      <c r="I137" s="396">
        <v>2.56</v>
      </c>
    </row>
    <row r="138" spans="1:9" hidden="1" x14ac:dyDescent="0.2">
      <c r="A138" s="393" t="s">
        <v>2024</v>
      </c>
      <c r="B138" s="393"/>
      <c r="C138" s="394" t="s">
        <v>2285</v>
      </c>
      <c r="D138" s="393" t="s">
        <v>36</v>
      </c>
      <c r="E138" s="393" t="s">
        <v>2286</v>
      </c>
      <c r="F138" s="395" t="s">
        <v>12</v>
      </c>
      <c r="G138" s="394" t="s">
        <v>2287</v>
      </c>
      <c r="H138" s="394" t="s">
        <v>2288</v>
      </c>
      <c r="I138" s="396">
        <v>3.36</v>
      </c>
    </row>
    <row r="139" spans="1:9" hidden="1" x14ac:dyDescent="0.2">
      <c r="A139" s="393" t="s">
        <v>2024</v>
      </c>
      <c r="B139" s="393"/>
      <c r="C139" s="394" t="s">
        <v>2289</v>
      </c>
      <c r="D139" s="393" t="s">
        <v>36</v>
      </c>
      <c r="E139" s="393" t="s">
        <v>2290</v>
      </c>
      <c r="F139" s="395" t="s">
        <v>2291</v>
      </c>
      <c r="G139" s="394" t="s">
        <v>2292</v>
      </c>
      <c r="H139" s="394" t="s">
        <v>2293</v>
      </c>
      <c r="I139" s="396">
        <v>0.05</v>
      </c>
    </row>
    <row r="140" spans="1:9" hidden="1" x14ac:dyDescent="0.2">
      <c r="A140" s="393" t="s">
        <v>2024</v>
      </c>
      <c r="B140" s="393"/>
      <c r="C140" s="394" t="s">
        <v>2294</v>
      </c>
      <c r="D140" s="393" t="s">
        <v>36</v>
      </c>
      <c r="E140" s="393" t="s">
        <v>2295</v>
      </c>
      <c r="F140" s="395" t="s">
        <v>22</v>
      </c>
      <c r="G140" s="394" t="s">
        <v>2296</v>
      </c>
      <c r="H140" s="394" t="s">
        <v>2297</v>
      </c>
      <c r="I140" s="396">
        <v>0.15</v>
      </c>
    </row>
    <row r="141" spans="1:9" hidden="1" x14ac:dyDescent="0.2">
      <c r="A141" s="393" t="s">
        <v>2024</v>
      </c>
      <c r="B141" s="393"/>
      <c r="C141" s="394" t="s">
        <v>2298</v>
      </c>
      <c r="D141" s="393" t="s">
        <v>36</v>
      </c>
      <c r="E141" s="393" t="s">
        <v>2299</v>
      </c>
      <c r="F141" s="395" t="s">
        <v>2291</v>
      </c>
      <c r="G141" s="394" t="s">
        <v>2300</v>
      </c>
      <c r="H141" s="394" t="s">
        <v>2301</v>
      </c>
      <c r="I141" s="396">
        <v>0</v>
      </c>
    </row>
    <row r="142" spans="1:9" ht="15" hidden="1" thickTop="1" x14ac:dyDescent="0.2">
      <c r="A142" s="188"/>
      <c r="B142" s="188"/>
      <c r="C142" s="188"/>
      <c r="D142" s="188"/>
      <c r="E142" s="188"/>
      <c r="F142" s="188"/>
      <c r="G142" s="188"/>
      <c r="H142" s="188"/>
      <c r="I142" s="188"/>
    </row>
    <row r="143" spans="1:9" ht="15" hidden="1" x14ac:dyDescent="0.2">
      <c r="A143" s="121"/>
      <c r="B143" s="121" t="s">
        <v>65</v>
      </c>
      <c r="C143" s="117" t="s">
        <v>46</v>
      </c>
      <c r="D143" s="121" t="s">
        <v>21</v>
      </c>
      <c r="E143" s="121" t="s">
        <v>37</v>
      </c>
      <c r="F143" s="118" t="s">
        <v>26</v>
      </c>
      <c r="G143" s="117" t="s">
        <v>61</v>
      </c>
      <c r="H143" s="117" t="s">
        <v>79</v>
      </c>
      <c r="I143" s="117" t="s">
        <v>50</v>
      </c>
    </row>
    <row r="144" spans="1:9" x14ac:dyDescent="0.2">
      <c r="A144" s="386" t="s">
        <v>2007</v>
      </c>
      <c r="B144" s="386" t="s">
        <v>2302</v>
      </c>
      <c r="C144" s="387" t="s">
        <v>2303</v>
      </c>
      <c r="D144" s="386" t="s">
        <v>10</v>
      </c>
      <c r="E144" s="386" t="s">
        <v>229</v>
      </c>
      <c r="F144" s="388" t="s">
        <v>22</v>
      </c>
      <c r="G144" s="387">
        <v>1</v>
      </c>
      <c r="H144" s="387" t="s">
        <v>2304</v>
      </c>
      <c r="I144" s="387" t="s">
        <v>2304</v>
      </c>
    </row>
    <row r="145" spans="1:9" hidden="1" x14ac:dyDescent="0.2">
      <c r="A145" s="389" t="s">
        <v>2011</v>
      </c>
      <c r="B145" s="389"/>
      <c r="C145" s="390" t="s">
        <v>2305</v>
      </c>
      <c r="D145" s="389" t="s">
        <v>36</v>
      </c>
      <c r="E145" s="389" t="s">
        <v>2306</v>
      </c>
      <c r="F145" s="391" t="s">
        <v>2018</v>
      </c>
      <c r="G145" s="390" t="s">
        <v>2218</v>
      </c>
      <c r="H145" s="390" t="s">
        <v>2307</v>
      </c>
      <c r="I145" s="392">
        <v>0.27</v>
      </c>
    </row>
    <row r="146" spans="1:9" hidden="1" x14ac:dyDescent="0.2">
      <c r="A146" s="389" t="s">
        <v>2011</v>
      </c>
      <c r="B146" s="389"/>
      <c r="C146" s="390" t="s">
        <v>2276</v>
      </c>
      <c r="D146" s="389" t="s">
        <v>36</v>
      </c>
      <c r="E146" s="389" t="s">
        <v>2277</v>
      </c>
      <c r="F146" s="391" t="s">
        <v>2018</v>
      </c>
      <c r="G146" s="390" t="s">
        <v>2205</v>
      </c>
      <c r="H146" s="390" t="s">
        <v>2278</v>
      </c>
      <c r="I146" s="392">
        <v>0.69</v>
      </c>
    </row>
    <row r="147" spans="1:9" ht="22.5" hidden="1" x14ac:dyDescent="0.2">
      <c r="A147" s="389" t="s">
        <v>2011</v>
      </c>
      <c r="B147" s="389"/>
      <c r="C147" s="390" t="s">
        <v>2308</v>
      </c>
      <c r="D147" s="389" t="s">
        <v>36</v>
      </c>
      <c r="E147" s="389" t="s">
        <v>2309</v>
      </c>
      <c r="F147" s="391" t="s">
        <v>2181</v>
      </c>
      <c r="G147" s="390" t="s">
        <v>2310</v>
      </c>
      <c r="H147" s="390" t="s">
        <v>2311</v>
      </c>
      <c r="I147" s="392">
        <v>1.49</v>
      </c>
    </row>
    <row r="148" spans="1:9" ht="15" hidden="1" thickTop="1" x14ac:dyDescent="0.2">
      <c r="A148" s="188"/>
      <c r="B148" s="188"/>
      <c r="C148" s="188"/>
      <c r="D148" s="188"/>
      <c r="E148" s="188"/>
      <c r="F148" s="188"/>
      <c r="G148" s="188"/>
      <c r="H148" s="188"/>
      <c r="I148" s="188"/>
    </row>
    <row r="149" spans="1:9" ht="15" hidden="1" x14ac:dyDescent="0.2">
      <c r="A149" s="121"/>
      <c r="B149" s="121" t="s">
        <v>65</v>
      </c>
      <c r="C149" s="117" t="s">
        <v>46</v>
      </c>
      <c r="D149" s="121" t="s">
        <v>21</v>
      </c>
      <c r="E149" s="121" t="s">
        <v>37</v>
      </c>
      <c r="F149" s="118" t="s">
        <v>26</v>
      </c>
      <c r="G149" s="117" t="s">
        <v>61</v>
      </c>
      <c r="H149" s="117" t="s">
        <v>79</v>
      </c>
      <c r="I149" s="117" t="s">
        <v>50</v>
      </c>
    </row>
    <row r="150" spans="1:9" x14ac:dyDescent="0.2">
      <c r="A150" s="386" t="s">
        <v>2007</v>
      </c>
      <c r="B150" s="386" t="s">
        <v>2312</v>
      </c>
      <c r="C150" s="387" t="s">
        <v>2313</v>
      </c>
      <c r="D150" s="386" t="s">
        <v>10</v>
      </c>
      <c r="E150" s="386" t="s">
        <v>914</v>
      </c>
      <c r="F150" s="388" t="s">
        <v>12</v>
      </c>
      <c r="G150" s="387">
        <v>1</v>
      </c>
      <c r="H150" s="387" t="s">
        <v>2314</v>
      </c>
      <c r="I150" s="387" t="s">
        <v>2314</v>
      </c>
    </row>
    <row r="151" spans="1:9" ht="22.5" hidden="1" x14ac:dyDescent="0.2">
      <c r="A151" s="389" t="s">
        <v>2011</v>
      </c>
      <c r="B151" s="389"/>
      <c r="C151" s="390" t="s">
        <v>2315</v>
      </c>
      <c r="D151" s="389" t="s">
        <v>36</v>
      </c>
      <c r="E151" s="389" t="s">
        <v>2316</v>
      </c>
      <c r="F151" s="391" t="s">
        <v>25</v>
      </c>
      <c r="G151" s="390" t="s">
        <v>2317</v>
      </c>
      <c r="H151" s="390" t="s">
        <v>2318</v>
      </c>
      <c r="I151" s="392">
        <v>0.56000000000000005</v>
      </c>
    </row>
    <row r="152" spans="1:9" hidden="1" x14ac:dyDescent="0.2">
      <c r="A152" s="389" t="s">
        <v>2011</v>
      </c>
      <c r="B152" s="389"/>
      <c r="C152" s="390" t="s">
        <v>2034</v>
      </c>
      <c r="D152" s="389" t="s">
        <v>36</v>
      </c>
      <c r="E152" s="389" t="s">
        <v>2035</v>
      </c>
      <c r="F152" s="391" t="s">
        <v>2018</v>
      </c>
      <c r="G152" s="390" t="s">
        <v>2026</v>
      </c>
      <c r="H152" s="390" t="s">
        <v>2037</v>
      </c>
      <c r="I152" s="392">
        <v>14.31</v>
      </c>
    </row>
    <row r="153" spans="1:9" hidden="1" x14ac:dyDescent="0.2">
      <c r="A153" s="389" t="s">
        <v>2011</v>
      </c>
      <c r="B153" s="389"/>
      <c r="C153" s="390" t="s">
        <v>2030</v>
      </c>
      <c r="D153" s="389" t="s">
        <v>36</v>
      </c>
      <c r="E153" s="389" t="s">
        <v>2031</v>
      </c>
      <c r="F153" s="391" t="s">
        <v>2018</v>
      </c>
      <c r="G153" s="390" t="s">
        <v>2026</v>
      </c>
      <c r="H153" s="390" t="s">
        <v>2033</v>
      </c>
      <c r="I153" s="392">
        <v>17.600000000000001</v>
      </c>
    </row>
    <row r="154" spans="1:9" hidden="1" x14ac:dyDescent="0.2">
      <c r="A154" s="393" t="s">
        <v>2024</v>
      </c>
      <c r="B154" s="393"/>
      <c r="C154" s="394" t="s">
        <v>2319</v>
      </c>
      <c r="D154" s="393" t="s">
        <v>36</v>
      </c>
      <c r="E154" s="393" t="s">
        <v>2320</v>
      </c>
      <c r="F154" s="395" t="s">
        <v>24</v>
      </c>
      <c r="G154" s="394" t="s">
        <v>2203</v>
      </c>
      <c r="H154" s="394" t="s">
        <v>2321</v>
      </c>
      <c r="I154" s="396">
        <v>12.93</v>
      </c>
    </row>
    <row r="155" spans="1:9" ht="15" hidden="1" thickTop="1" x14ac:dyDescent="0.2">
      <c r="A155" s="188"/>
      <c r="B155" s="188"/>
      <c r="C155" s="188"/>
      <c r="D155" s="188"/>
      <c r="E155" s="188"/>
      <c r="F155" s="188"/>
      <c r="G155" s="188"/>
      <c r="H155" s="188"/>
      <c r="I155" s="188"/>
    </row>
    <row r="156" spans="1:9" ht="15" hidden="1" x14ac:dyDescent="0.2">
      <c r="A156" s="121"/>
      <c r="B156" s="121" t="s">
        <v>65</v>
      </c>
      <c r="C156" s="117" t="s">
        <v>46</v>
      </c>
      <c r="D156" s="121" t="s">
        <v>21</v>
      </c>
      <c r="E156" s="121" t="s">
        <v>37</v>
      </c>
      <c r="F156" s="118" t="s">
        <v>26</v>
      </c>
      <c r="G156" s="117" t="s">
        <v>61</v>
      </c>
      <c r="H156" s="117" t="s">
        <v>79</v>
      </c>
      <c r="I156" s="117" t="s">
        <v>50</v>
      </c>
    </row>
    <row r="157" spans="1:9" x14ac:dyDescent="0.2">
      <c r="A157" s="386" t="s">
        <v>2007</v>
      </c>
      <c r="B157" s="386" t="s">
        <v>2322</v>
      </c>
      <c r="C157" s="387" t="s">
        <v>2323</v>
      </c>
      <c r="D157" s="386" t="s">
        <v>10</v>
      </c>
      <c r="E157" s="386" t="s">
        <v>451</v>
      </c>
      <c r="F157" s="388" t="s">
        <v>12</v>
      </c>
      <c r="G157" s="387">
        <v>1</v>
      </c>
      <c r="H157" s="387" t="s">
        <v>2324</v>
      </c>
      <c r="I157" s="387" t="s">
        <v>2324</v>
      </c>
    </row>
    <row r="158" spans="1:9" hidden="1" x14ac:dyDescent="0.2">
      <c r="A158" s="389" t="s">
        <v>2011</v>
      </c>
      <c r="B158" s="389"/>
      <c r="C158" s="390" t="s">
        <v>2034</v>
      </c>
      <c r="D158" s="389" t="s">
        <v>36</v>
      </c>
      <c r="E158" s="389" t="s">
        <v>2035</v>
      </c>
      <c r="F158" s="391" t="s">
        <v>2018</v>
      </c>
      <c r="G158" s="390" t="s">
        <v>2054</v>
      </c>
      <c r="H158" s="390" t="s">
        <v>2037</v>
      </c>
      <c r="I158" s="392">
        <v>8.58</v>
      </c>
    </row>
    <row r="159" spans="1:9" hidden="1" x14ac:dyDescent="0.2">
      <c r="A159" s="389" t="s">
        <v>2011</v>
      </c>
      <c r="B159" s="389"/>
      <c r="C159" s="390" t="s">
        <v>2030</v>
      </c>
      <c r="D159" s="389" t="s">
        <v>36</v>
      </c>
      <c r="E159" s="389" t="s">
        <v>2031</v>
      </c>
      <c r="F159" s="391" t="s">
        <v>2018</v>
      </c>
      <c r="G159" s="390" t="s">
        <v>2325</v>
      </c>
      <c r="H159" s="390" t="s">
        <v>2033</v>
      </c>
      <c r="I159" s="392">
        <v>9.5</v>
      </c>
    </row>
    <row r="160" spans="1:9" hidden="1" x14ac:dyDescent="0.2">
      <c r="A160" s="393" t="s">
        <v>2024</v>
      </c>
      <c r="B160" s="393"/>
      <c r="C160" s="394" t="s">
        <v>2326</v>
      </c>
      <c r="D160" s="393" t="s">
        <v>36</v>
      </c>
      <c r="E160" s="393" t="s">
        <v>2327</v>
      </c>
      <c r="F160" s="395" t="s">
        <v>22</v>
      </c>
      <c r="G160" s="394" t="s">
        <v>2263</v>
      </c>
      <c r="H160" s="394" t="s">
        <v>2328</v>
      </c>
      <c r="I160" s="396">
        <v>2.14</v>
      </c>
    </row>
    <row r="161" spans="1:9" hidden="1" x14ac:dyDescent="0.2">
      <c r="A161" s="393" t="s">
        <v>2024</v>
      </c>
      <c r="B161" s="393"/>
      <c r="C161" s="394" t="s">
        <v>2079</v>
      </c>
      <c r="D161" s="393" t="s">
        <v>36</v>
      </c>
      <c r="E161" s="393" t="s">
        <v>2080</v>
      </c>
      <c r="F161" s="395" t="s">
        <v>25</v>
      </c>
      <c r="G161" s="394" t="s">
        <v>2310</v>
      </c>
      <c r="H161" s="394" t="s">
        <v>2082</v>
      </c>
      <c r="I161" s="396">
        <v>0.62</v>
      </c>
    </row>
    <row r="162" spans="1:9" ht="22.5" hidden="1" x14ac:dyDescent="0.2">
      <c r="A162" s="393" t="s">
        <v>2024</v>
      </c>
      <c r="B162" s="393"/>
      <c r="C162" s="394" t="s">
        <v>2329</v>
      </c>
      <c r="D162" s="393" t="s">
        <v>36</v>
      </c>
      <c r="E162" s="393" t="s">
        <v>2330</v>
      </c>
      <c r="F162" s="395" t="s">
        <v>22</v>
      </c>
      <c r="G162" s="394" t="s">
        <v>2331</v>
      </c>
      <c r="H162" s="394" t="s">
        <v>2332</v>
      </c>
      <c r="I162" s="396">
        <v>1.31</v>
      </c>
    </row>
    <row r="163" spans="1:9" ht="15" hidden="1" thickTop="1" x14ac:dyDescent="0.2">
      <c r="A163" s="188"/>
      <c r="B163" s="188"/>
      <c r="C163" s="188"/>
      <c r="D163" s="188"/>
      <c r="E163" s="188"/>
      <c r="F163" s="188"/>
      <c r="G163" s="188"/>
      <c r="H163" s="188"/>
      <c r="I163" s="188"/>
    </row>
    <row r="164" spans="1:9" ht="15" hidden="1" x14ac:dyDescent="0.2">
      <c r="A164" s="121"/>
      <c r="B164" s="121" t="s">
        <v>65</v>
      </c>
      <c r="C164" s="117" t="s">
        <v>46</v>
      </c>
      <c r="D164" s="121" t="s">
        <v>21</v>
      </c>
      <c r="E164" s="121" t="s">
        <v>37</v>
      </c>
      <c r="F164" s="118" t="s">
        <v>26</v>
      </c>
      <c r="G164" s="117" t="s">
        <v>61</v>
      </c>
      <c r="H164" s="117" t="s">
        <v>79</v>
      </c>
      <c r="I164" s="117" t="s">
        <v>50</v>
      </c>
    </row>
    <row r="165" spans="1:9" x14ac:dyDescent="0.2">
      <c r="A165" s="386" t="s">
        <v>2007</v>
      </c>
      <c r="B165" s="386" t="s">
        <v>2333</v>
      </c>
      <c r="C165" s="387" t="s">
        <v>2334</v>
      </c>
      <c r="D165" s="386" t="s">
        <v>10</v>
      </c>
      <c r="E165" s="386" t="s">
        <v>461</v>
      </c>
      <c r="F165" s="388" t="s">
        <v>48</v>
      </c>
      <c r="G165" s="387">
        <v>1</v>
      </c>
      <c r="H165" s="387" t="s">
        <v>2335</v>
      </c>
      <c r="I165" s="387" t="s">
        <v>2335</v>
      </c>
    </row>
    <row r="166" spans="1:9" hidden="1" x14ac:dyDescent="0.2">
      <c r="A166" s="389" t="s">
        <v>2011</v>
      </c>
      <c r="B166" s="389"/>
      <c r="C166" s="390" t="s">
        <v>2034</v>
      </c>
      <c r="D166" s="389" t="s">
        <v>36</v>
      </c>
      <c r="E166" s="389" t="s">
        <v>2035</v>
      </c>
      <c r="F166" s="391" t="s">
        <v>2018</v>
      </c>
      <c r="G166" s="390" t="s">
        <v>2336</v>
      </c>
      <c r="H166" s="390" t="s">
        <v>2037</v>
      </c>
      <c r="I166" s="392">
        <v>1.28</v>
      </c>
    </row>
    <row r="167" spans="1:9" hidden="1" x14ac:dyDescent="0.2">
      <c r="A167" s="389" t="s">
        <v>2011</v>
      </c>
      <c r="B167" s="389"/>
      <c r="C167" s="390" t="s">
        <v>2067</v>
      </c>
      <c r="D167" s="389" t="s">
        <v>36</v>
      </c>
      <c r="E167" s="389" t="s">
        <v>2068</v>
      </c>
      <c r="F167" s="391" t="s">
        <v>2018</v>
      </c>
      <c r="G167" s="390" t="s">
        <v>2336</v>
      </c>
      <c r="H167" s="390" t="s">
        <v>2070</v>
      </c>
      <c r="I167" s="392">
        <v>1.62</v>
      </c>
    </row>
    <row r="168" spans="1:9" hidden="1" x14ac:dyDescent="0.2">
      <c r="A168" s="393" t="s">
        <v>2024</v>
      </c>
      <c r="B168" s="393"/>
      <c r="C168" s="394" t="s">
        <v>2337</v>
      </c>
      <c r="D168" s="393" t="s">
        <v>36</v>
      </c>
      <c r="E168" s="393" t="s">
        <v>2338</v>
      </c>
      <c r="F168" s="395" t="s">
        <v>48</v>
      </c>
      <c r="G168" s="394" t="s">
        <v>2339</v>
      </c>
      <c r="H168" s="394" t="s">
        <v>2340</v>
      </c>
      <c r="I168" s="396">
        <v>0.28999999999999998</v>
      </c>
    </row>
    <row r="169" spans="1:9" hidden="1" x14ac:dyDescent="0.2">
      <c r="A169" s="393" t="s">
        <v>2024</v>
      </c>
      <c r="B169" s="393"/>
      <c r="C169" s="394" t="s">
        <v>2341</v>
      </c>
      <c r="D169" s="393" t="s">
        <v>36</v>
      </c>
      <c r="E169" s="393" t="s">
        <v>2342</v>
      </c>
      <c r="F169" s="395" t="s">
        <v>48</v>
      </c>
      <c r="G169" s="394" t="s">
        <v>2026</v>
      </c>
      <c r="H169" s="394" t="s">
        <v>2343</v>
      </c>
      <c r="I169" s="396">
        <v>0.78</v>
      </c>
    </row>
    <row r="170" spans="1:9" hidden="1" x14ac:dyDescent="0.2">
      <c r="A170" s="393" t="s">
        <v>2024</v>
      </c>
      <c r="B170" s="393"/>
      <c r="C170" s="394" t="s">
        <v>2344</v>
      </c>
      <c r="D170" s="393" t="s">
        <v>36</v>
      </c>
      <c r="E170" s="393" t="s">
        <v>2345</v>
      </c>
      <c r="F170" s="395" t="s">
        <v>48</v>
      </c>
      <c r="G170" s="394" t="s">
        <v>2310</v>
      </c>
      <c r="H170" s="394" t="s">
        <v>2346</v>
      </c>
      <c r="I170" s="396">
        <v>0.43</v>
      </c>
    </row>
    <row r="171" spans="1:9" ht="15" hidden="1" thickTop="1" x14ac:dyDescent="0.2">
      <c r="A171" s="188"/>
      <c r="B171" s="188"/>
      <c r="C171" s="188"/>
      <c r="D171" s="188"/>
      <c r="E171" s="188"/>
      <c r="F171" s="188"/>
      <c r="G171" s="188"/>
      <c r="H171" s="188"/>
      <c r="I171" s="188"/>
    </row>
    <row r="172" spans="1:9" ht="15" hidden="1" x14ac:dyDescent="0.2">
      <c r="A172" s="121"/>
      <c r="B172" s="121" t="s">
        <v>65</v>
      </c>
      <c r="C172" s="117" t="s">
        <v>46</v>
      </c>
      <c r="D172" s="121" t="s">
        <v>21</v>
      </c>
      <c r="E172" s="121" t="s">
        <v>37</v>
      </c>
      <c r="F172" s="118" t="s">
        <v>26</v>
      </c>
      <c r="G172" s="117" t="s">
        <v>61</v>
      </c>
      <c r="H172" s="117" t="s">
        <v>79</v>
      </c>
      <c r="I172" s="117" t="s">
        <v>50</v>
      </c>
    </row>
    <row r="173" spans="1:9" x14ac:dyDescent="0.2">
      <c r="A173" s="386" t="s">
        <v>2007</v>
      </c>
      <c r="B173" s="386" t="s">
        <v>2347</v>
      </c>
      <c r="C173" s="387" t="s">
        <v>2348</v>
      </c>
      <c r="D173" s="386" t="s">
        <v>10</v>
      </c>
      <c r="E173" s="386" t="s">
        <v>950</v>
      </c>
      <c r="F173" s="388" t="s">
        <v>48</v>
      </c>
      <c r="G173" s="387">
        <v>1</v>
      </c>
      <c r="H173" s="387" t="s">
        <v>2278</v>
      </c>
      <c r="I173" s="387" t="s">
        <v>2278</v>
      </c>
    </row>
    <row r="174" spans="1:9" hidden="1" x14ac:dyDescent="0.2">
      <c r="A174" s="389" t="s">
        <v>2011</v>
      </c>
      <c r="B174" s="389"/>
      <c r="C174" s="390" t="s">
        <v>2034</v>
      </c>
      <c r="D174" s="389" t="s">
        <v>36</v>
      </c>
      <c r="E174" s="389" t="s">
        <v>2035</v>
      </c>
      <c r="F174" s="391" t="s">
        <v>2018</v>
      </c>
      <c r="G174" s="390" t="s">
        <v>2041</v>
      </c>
      <c r="H174" s="390" t="s">
        <v>2037</v>
      </c>
      <c r="I174" s="392">
        <v>2</v>
      </c>
    </row>
    <row r="175" spans="1:9" hidden="1" x14ac:dyDescent="0.2">
      <c r="A175" s="389" t="s">
        <v>2011</v>
      </c>
      <c r="B175" s="389"/>
      <c r="C175" s="390" t="s">
        <v>2067</v>
      </c>
      <c r="D175" s="389" t="s">
        <v>36</v>
      </c>
      <c r="E175" s="389" t="s">
        <v>2068</v>
      </c>
      <c r="F175" s="391" t="s">
        <v>2018</v>
      </c>
      <c r="G175" s="390" t="s">
        <v>2041</v>
      </c>
      <c r="H175" s="390" t="s">
        <v>2070</v>
      </c>
      <c r="I175" s="392">
        <v>2.52</v>
      </c>
    </row>
    <row r="176" spans="1:9" hidden="1" x14ac:dyDescent="0.2">
      <c r="A176" s="393" t="s">
        <v>2024</v>
      </c>
      <c r="B176" s="393"/>
      <c r="C176" s="394" t="s">
        <v>2337</v>
      </c>
      <c r="D176" s="393" t="s">
        <v>36</v>
      </c>
      <c r="E176" s="393" t="s">
        <v>2338</v>
      </c>
      <c r="F176" s="395" t="s">
        <v>48</v>
      </c>
      <c r="G176" s="394" t="s">
        <v>2349</v>
      </c>
      <c r="H176" s="394" t="s">
        <v>2340</v>
      </c>
      <c r="I176" s="396">
        <v>0.69</v>
      </c>
    </row>
    <row r="177" spans="1:9" hidden="1" x14ac:dyDescent="0.2">
      <c r="A177" s="393" t="s">
        <v>2024</v>
      </c>
      <c r="B177" s="393"/>
      <c r="C177" s="394" t="s">
        <v>2350</v>
      </c>
      <c r="D177" s="393" t="s">
        <v>36</v>
      </c>
      <c r="E177" s="393" t="s">
        <v>2351</v>
      </c>
      <c r="F177" s="395" t="s">
        <v>48</v>
      </c>
      <c r="G177" s="394" t="s">
        <v>2026</v>
      </c>
      <c r="H177" s="394" t="s">
        <v>2352</v>
      </c>
      <c r="I177" s="396">
        <v>5.47</v>
      </c>
    </row>
    <row r="178" spans="1:9" hidden="1" x14ac:dyDescent="0.2">
      <c r="A178" s="393" t="s">
        <v>2024</v>
      </c>
      <c r="B178" s="393"/>
      <c r="C178" s="394" t="s">
        <v>2344</v>
      </c>
      <c r="D178" s="393" t="s">
        <v>36</v>
      </c>
      <c r="E178" s="393" t="s">
        <v>2345</v>
      </c>
      <c r="F178" s="395" t="s">
        <v>48</v>
      </c>
      <c r="G178" s="394" t="s">
        <v>2218</v>
      </c>
      <c r="H178" s="394" t="s">
        <v>2346</v>
      </c>
      <c r="I178" s="396">
        <v>0.86</v>
      </c>
    </row>
    <row r="179" spans="1:9" ht="15" hidden="1" thickTop="1" x14ac:dyDescent="0.2">
      <c r="A179" s="188"/>
      <c r="B179" s="188"/>
      <c r="C179" s="188"/>
      <c r="D179" s="188"/>
      <c r="E179" s="188"/>
      <c r="F179" s="188"/>
      <c r="G179" s="188"/>
      <c r="H179" s="188"/>
      <c r="I179" s="188"/>
    </row>
    <row r="180" spans="1:9" ht="15" hidden="1" x14ac:dyDescent="0.2">
      <c r="A180" s="121"/>
      <c r="B180" s="121" t="s">
        <v>65</v>
      </c>
      <c r="C180" s="117" t="s">
        <v>46</v>
      </c>
      <c r="D180" s="121" t="s">
        <v>21</v>
      </c>
      <c r="E180" s="121" t="s">
        <v>37</v>
      </c>
      <c r="F180" s="118" t="s">
        <v>26</v>
      </c>
      <c r="G180" s="117" t="s">
        <v>61</v>
      </c>
      <c r="H180" s="117" t="s">
        <v>79</v>
      </c>
      <c r="I180" s="117" t="s">
        <v>50</v>
      </c>
    </row>
    <row r="181" spans="1:9" x14ac:dyDescent="0.2">
      <c r="A181" s="386" t="s">
        <v>2007</v>
      </c>
      <c r="B181" s="386" t="s">
        <v>2353</v>
      </c>
      <c r="C181" s="387" t="s">
        <v>2354</v>
      </c>
      <c r="D181" s="386" t="s">
        <v>10</v>
      </c>
      <c r="E181" s="386" t="s">
        <v>952</v>
      </c>
      <c r="F181" s="388" t="s">
        <v>48</v>
      </c>
      <c r="G181" s="387">
        <v>1</v>
      </c>
      <c r="H181" s="387" t="s">
        <v>2355</v>
      </c>
      <c r="I181" s="387" t="s">
        <v>2355</v>
      </c>
    </row>
    <row r="182" spans="1:9" hidden="1" x14ac:dyDescent="0.2">
      <c r="A182" s="389" t="s">
        <v>2011</v>
      </c>
      <c r="B182" s="389"/>
      <c r="C182" s="390" t="s">
        <v>2034</v>
      </c>
      <c r="D182" s="389" t="s">
        <v>36</v>
      </c>
      <c r="E182" s="389" t="s">
        <v>2035</v>
      </c>
      <c r="F182" s="391" t="s">
        <v>2018</v>
      </c>
      <c r="G182" s="390" t="s">
        <v>2336</v>
      </c>
      <c r="H182" s="390" t="s">
        <v>2037</v>
      </c>
      <c r="I182" s="392">
        <v>1.28</v>
      </c>
    </row>
    <row r="183" spans="1:9" hidden="1" x14ac:dyDescent="0.2">
      <c r="A183" s="389" t="s">
        <v>2011</v>
      </c>
      <c r="B183" s="389"/>
      <c r="C183" s="390" t="s">
        <v>2067</v>
      </c>
      <c r="D183" s="389" t="s">
        <v>36</v>
      </c>
      <c r="E183" s="389" t="s">
        <v>2068</v>
      </c>
      <c r="F183" s="391" t="s">
        <v>2018</v>
      </c>
      <c r="G183" s="390" t="s">
        <v>2356</v>
      </c>
      <c r="H183" s="390" t="s">
        <v>2070</v>
      </c>
      <c r="I183" s="392">
        <v>2.14</v>
      </c>
    </row>
    <row r="184" spans="1:9" hidden="1" x14ac:dyDescent="0.2">
      <c r="A184" s="393" t="s">
        <v>2024</v>
      </c>
      <c r="B184" s="393"/>
      <c r="C184" s="394" t="s">
        <v>2337</v>
      </c>
      <c r="D184" s="393" t="s">
        <v>36</v>
      </c>
      <c r="E184" s="393" t="s">
        <v>2338</v>
      </c>
      <c r="F184" s="395" t="s">
        <v>48</v>
      </c>
      <c r="G184" s="394" t="s">
        <v>2357</v>
      </c>
      <c r="H184" s="394" t="s">
        <v>2340</v>
      </c>
      <c r="I184" s="396">
        <v>0.59</v>
      </c>
    </row>
    <row r="185" spans="1:9" hidden="1" x14ac:dyDescent="0.2">
      <c r="A185" s="393" t="s">
        <v>2024</v>
      </c>
      <c r="B185" s="393"/>
      <c r="C185" s="394" t="s">
        <v>2358</v>
      </c>
      <c r="D185" s="393" t="s">
        <v>36</v>
      </c>
      <c r="E185" s="393" t="s">
        <v>2359</v>
      </c>
      <c r="F185" s="395" t="s">
        <v>48</v>
      </c>
      <c r="G185" s="394" t="s">
        <v>2026</v>
      </c>
      <c r="H185" s="394" t="s">
        <v>2360</v>
      </c>
      <c r="I185" s="396">
        <v>2.92</v>
      </c>
    </row>
    <row r="186" spans="1:9" hidden="1" x14ac:dyDescent="0.2">
      <c r="A186" s="393" t="s">
        <v>2024</v>
      </c>
      <c r="B186" s="393"/>
      <c r="C186" s="394" t="s">
        <v>2344</v>
      </c>
      <c r="D186" s="393" t="s">
        <v>36</v>
      </c>
      <c r="E186" s="393" t="s">
        <v>2345</v>
      </c>
      <c r="F186" s="395" t="s">
        <v>48</v>
      </c>
      <c r="G186" s="394" t="s">
        <v>2218</v>
      </c>
      <c r="H186" s="394" t="s">
        <v>2346</v>
      </c>
      <c r="I186" s="396">
        <v>0.86</v>
      </c>
    </row>
    <row r="187" spans="1:9" ht="15" hidden="1" thickTop="1" x14ac:dyDescent="0.2">
      <c r="A187" s="188"/>
      <c r="B187" s="188"/>
      <c r="C187" s="188"/>
      <c r="D187" s="188"/>
      <c r="E187" s="188"/>
      <c r="F187" s="188"/>
      <c r="G187" s="188"/>
      <c r="H187" s="188"/>
      <c r="I187" s="188"/>
    </row>
    <row r="188" spans="1:9" ht="15" hidden="1" x14ac:dyDescent="0.2">
      <c r="A188" s="121"/>
      <c r="B188" s="121" t="s">
        <v>65</v>
      </c>
      <c r="C188" s="117" t="s">
        <v>46</v>
      </c>
      <c r="D188" s="121" t="s">
        <v>21</v>
      </c>
      <c r="E188" s="121" t="s">
        <v>37</v>
      </c>
      <c r="F188" s="118" t="s">
        <v>26</v>
      </c>
      <c r="G188" s="117" t="s">
        <v>61</v>
      </c>
      <c r="H188" s="117" t="s">
        <v>79</v>
      </c>
      <c r="I188" s="117" t="s">
        <v>50</v>
      </c>
    </row>
    <row r="189" spans="1:9" x14ac:dyDescent="0.2">
      <c r="A189" s="386" t="s">
        <v>2007</v>
      </c>
      <c r="B189" s="386" t="s">
        <v>2361</v>
      </c>
      <c r="C189" s="387" t="s">
        <v>2362</v>
      </c>
      <c r="D189" s="386" t="s">
        <v>10</v>
      </c>
      <c r="E189" s="386" t="s">
        <v>458</v>
      </c>
      <c r="F189" s="388" t="s">
        <v>48</v>
      </c>
      <c r="G189" s="387">
        <v>1</v>
      </c>
      <c r="H189" s="387" t="s">
        <v>2363</v>
      </c>
      <c r="I189" s="387" t="s">
        <v>2363</v>
      </c>
    </row>
    <row r="190" spans="1:9" hidden="1" x14ac:dyDescent="0.2">
      <c r="A190" s="389" t="s">
        <v>2011</v>
      </c>
      <c r="B190" s="389"/>
      <c r="C190" s="390" t="s">
        <v>2034</v>
      </c>
      <c r="D190" s="389" t="s">
        <v>36</v>
      </c>
      <c r="E190" s="389" t="s">
        <v>2035</v>
      </c>
      <c r="F190" s="391" t="s">
        <v>2018</v>
      </c>
      <c r="G190" s="390" t="s">
        <v>2364</v>
      </c>
      <c r="H190" s="390" t="s">
        <v>2037</v>
      </c>
      <c r="I190" s="392">
        <v>3.57</v>
      </c>
    </row>
    <row r="191" spans="1:9" hidden="1" x14ac:dyDescent="0.2">
      <c r="A191" s="389" t="s">
        <v>2011</v>
      </c>
      <c r="B191" s="389"/>
      <c r="C191" s="390" t="s">
        <v>2067</v>
      </c>
      <c r="D191" s="389" t="s">
        <v>36</v>
      </c>
      <c r="E191" s="389" t="s">
        <v>2068</v>
      </c>
      <c r="F191" s="391" t="s">
        <v>2018</v>
      </c>
      <c r="G191" s="390" t="s">
        <v>2364</v>
      </c>
      <c r="H191" s="390" t="s">
        <v>2070</v>
      </c>
      <c r="I191" s="392">
        <v>4.5</v>
      </c>
    </row>
    <row r="192" spans="1:9" hidden="1" x14ac:dyDescent="0.2">
      <c r="A192" s="393" t="s">
        <v>2024</v>
      </c>
      <c r="B192" s="393"/>
      <c r="C192" s="394" t="s">
        <v>2337</v>
      </c>
      <c r="D192" s="393" t="s">
        <v>36</v>
      </c>
      <c r="E192" s="393" t="s">
        <v>2338</v>
      </c>
      <c r="F192" s="395" t="s">
        <v>48</v>
      </c>
      <c r="G192" s="394" t="s">
        <v>2365</v>
      </c>
      <c r="H192" s="394" t="s">
        <v>2340</v>
      </c>
      <c r="I192" s="396">
        <v>0.19</v>
      </c>
    </row>
    <row r="193" spans="1:9" hidden="1" x14ac:dyDescent="0.2">
      <c r="A193" s="393" t="s">
        <v>2024</v>
      </c>
      <c r="B193" s="393"/>
      <c r="C193" s="394" t="s">
        <v>2366</v>
      </c>
      <c r="D193" s="393" t="s">
        <v>36</v>
      </c>
      <c r="E193" s="393" t="s">
        <v>2367</v>
      </c>
      <c r="F193" s="395" t="s">
        <v>48</v>
      </c>
      <c r="G193" s="394" t="s">
        <v>2026</v>
      </c>
      <c r="H193" s="394" t="s">
        <v>2368</v>
      </c>
      <c r="I193" s="396">
        <v>4.05</v>
      </c>
    </row>
    <row r="194" spans="1:9" hidden="1" x14ac:dyDescent="0.2">
      <c r="A194" s="393" t="s">
        <v>2024</v>
      </c>
      <c r="B194" s="393"/>
      <c r="C194" s="394" t="s">
        <v>2344</v>
      </c>
      <c r="D194" s="393" t="s">
        <v>36</v>
      </c>
      <c r="E194" s="393" t="s">
        <v>2345</v>
      </c>
      <c r="F194" s="395" t="s">
        <v>48</v>
      </c>
      <c r="G194" s="394" t="s">
        <v>2369</v>
      </c>
      <c r="H194" s="394" t="s">
        <v>2346</v>
      </c>
      <c r="I194" s="396">
        <v>2.2000000000000002</v>
      </c>
    </row>
    <row r="195" spans="1:9" ht="15" hidden="1" thickTop="1" x14ac:dyDescent="0.2">
      <c r="A195" s="188"/>
      <c r="B195" s="188"/>
      <c r="C195" s="188"/>
      <c r="D195" s="188"/>
      <c r="E195" s="188"/>
      <c r="F195" s="188"/>
      <c r="G195" s="188"/>
      <c r="H195" s="188"/>
      <c r="I195" s="188"/>
    </row>
    <row r="196" spans="1:9" ht="15" hidden="1" x14ac:dyDescent="0.2">
      <c r="A196" s="121"/>
      <c r="B196" s="121" t="s">
        <v>65</v>
      </c>
      <c r="C196" s="117" t="s">
        <v>46</v>
      </c>
      <c r="D196" s="121" t="s">
        <v>21</v>
      </c>
      <c r="E196" s="121" t="s">
        <v>37</v>
      </c>
      <c r="F196" s="118" t="s">
        <v>26</v>
      </c>
      <c r="G196" s="117" t="s">
        <v>61</v>
      </c>
      <c r="H196" s="117" t="s">
        <v>79</v>
      </c>
      <c r="I196" s="117" t="s">
        <v>50</v>
      </c>
    </row>
    <row r="197" spans="1:9" x14ac:dyDescent="0.2">
      <c r="A197" s="386" t="s">
        <v>2007</v>
      </c>
      <c r="B197" s="386" t="s">
        <v>2370</v>
      </c>
      <c r="C197" s="387" t="s">
        <v>2371</v>
      </c>
      <c r="D197" s="386" t="s">
        <v>10</v>
      </c>
      <c r="E197" s="386" t="s">
        <v>954</v>
      </c>
      <c r="F197" s="388" t="s">
        <v>48</v>
      </c>
      <c r="G197" s="387">
        <v>1</v>
      </c>
      <c r="H197" s="387" t="s">
        <v>2372</v>
      </c>
      <c r="I197" s="387" t="s">
        <v>2372</v>
      </c>
    </row>
    <row r="198" spans="1:9" hidden="1" x14ac:dyDescent="0.2">
      <c r="A198" s="389" t="s">
        <v>2011</v>
      </c>
      <c r="B198" s="389"/>
      <c r="C198" s="390" t="s">
        <v>2067</v>
      </c>
      <c r="D198" s="389" t="s">
        <v>36</v>
      </c>
      <c r="E198" s="389" t="s">
        <v>2068</v>
      </c>
      <c r="F198" s="391" t="s">
        <v>2018</v>
      </c>
      <c r="G198" s="390" t="s">
        <v>2364</v>
      </c>
      <c r="H198" s="390" t="s">
        <v>2070</v>
      </c>
      <c r="I198" s="392">
        <v>4.5</v>
      </c>
    </row>
    <row r="199" spans="1:9" hidden="1" x14ac:dyDescent="0.2">
      <c r="A199" s="389" t="s">
        <v>2011</v>
      </c>
      <c r="B199" s="389"/>
      <c r="C199" s="390" t="s">
        <v>2034</v>
      </c>
      <c r="D199" s="389" t="s">
        <v>36</v>
      </c>
      <c r="E199" s="389" t="s">
        <v>2035</v>
      </c>
      <c r="F199" s="391" t="s">
        <v>2018</v>
      </c>
      <c r="G199" s="390" t="s">
        <v>2364</v>
      </c>
      <c r="H199" s="390" t="s">
        <v>2037</v>
      </c>
      <c r="I199" s="392">
        <v>3.57</v>
      </c>
    </row>
    <row r="200" spans="1:9" hidden="1" x14ac:dyDescent="0.2">
      <c r="A200" s="393" t="s">
        <v>2024</v>
      </c>
      <c r="B200" s="393"/>
      <c r="C200" s="394" t="s">
        <v>2337</v>
      </c>
      <c r="D200" s="393" t="s">
        <v>36</v>
      </c>
      <c r="E200" s="393" t="s">
        <v>2338</v>
      </c>
      <c r="F200" s="395" t="s">
        <v>48</v>
      </c>
      <c r="G200" s="394" t="s">
        <v>2365</v>
      </c>
      <c r="H200" s="394" t="s">
        <v>2340</v>
      </c>
      <c r="I200" s="396">
        <v>0.19</v>
      </c>
    </row>
    <row r="201" spans="1:9" hidden="1" x14ac:dyDescent="0.2">
      <c r="A201" s="393" t="s">
        <v>2024</v>
      </c>
      <c r="B201" s="393"/>
      <c r="C201" s="394" t="s">
        <v>2373</v>
      </c>
      <c r="D201" s="393" t="s">
        <v>36</v>
      </c>
      <c r="E201" s="393" t="s">
        <v>2374</v>
      </c>
      <c r="F201" s="395" t="s">
        <v>48</v>
      </c>
      <c r="G201" s="394" t="s">
        <v>2026</v>
      </c>
      <c r="H201" s="394" t="s">
        <v>2375</v>
      </c>
      <c r="I201" s="396">
        <v>6.93</v>
      </c>
    </row>
    <row r="202" spans="1:9" hidden="1" x14ac:dyDescent="0.2">
      <c r="A202" s="393" t="s">
        <v>2024</v>
      </c>
      <c r="B202" s="393"/>
      <c r="C202" s="394" t="s">
        <v>2344</v>
      </c>
      <c r="D202" s="393" t="s">
        <v>36</v>
      </c>
      <c r="E202" s="393" t="s">
        <v>2345</v>
      </c>
      <c r="F202" s="395" t="s">
        <v>48</v>
      </c>
      <c r="G202" s="394" t="s">
        <v>2376</v>
      </c>
      <c r="H202" s="394" t="s">
        <v>2346</v>
      </c>
      <c r="I202" s="396">
        <v>2.63</v>
      </c>
    </row>
    <row r="203" spans="1:9" ht="15" hidden="1" thickTop="1" x14ac:dyDescent="0.2">
      <c r="A203" s="188"/>
      <c r="B203" s="188"/>
      <c r="C203" s="188"/>
      <c r="D203" s="188"/>
      <c r="E203" s="188"/>
      <c r="F203" s="188"/>
      <c r="G203" s="188"/>
      <c r="H203" s="188"/>
      <c r="I203" s="188"/>
    </row>
    <row r="204" spans="1:9" ht="15" hidden="1" x14ac:dyDescent="0.2">
      <c r="A204" s="121"/>
      <c r="B204" s="121" t="s">
        <v>65</v>
      </c>
      <c r="C204" s="117" t="s">
        <v>46</v>
      </c>
      <c r="D204" s="121" t="s">
        <v>21</v>
      </c>
      <c r="E204" s="121" t="s">
        <v>37</v>
      </c>
      <c r="F204" s="118" t="s">
        <v>26</v>
      </c>
      <c r="G204" s="117" t="s">
        <v>61</v>
      </c>
      <c r="H204" s="117" t="s">
        <v>79</v>
      </c>
      <c r="I204" s="117" t="s">
        <v>50</v>
      </c>
    </row>
    <row r="205" spans="1:9" x14ac:dyDescent="0.2">
      <c r="A205" s="386" t="s">
        <v>2007</v>
      </c>
      <c r="B205" s="386" t="s">
        <v>2377</v>
      </c>
      <c r="C205" s="387" t="s">
        <v>2378</v>
      </c>
      <c r="D205" s="386" t="s">
        <v>10</v>
      </c>
      <c r="E205" s="386" t="s">
        <v>455</v>
      </c>
      <c r="F205" s="388" t="s">
        <v>48</v>
      </c>
      <c r="G205" s="387">
        <v>1</v>
      </c>
      <c r="H205" s="387" t="s">
        <v>2379</v>
      </c>
      <c r="I205" s="387" t="s">
        <v>2379</v>
      </c>
    </row>
    <row r="206" spans="1:9" hidden="1" x14ac:dyDescent="0.2">
      <c r="A206" s="389" t="s">
        <v>2011</v>
      </c>
      <c r="B206" s="389"/>
      <c r="C206" s="390" t="s">
        <v>2067</v>
      </c>
      <c r="D206" s="389" t="s">
        <v>36</v>
      </c>
      <c r="E206" s="389" t="s">
        <v>2068</v>
      </c>
      <c r="F206" s="391" t="s">
        <v>2018</v>
      </c>
      <c r="G206" s="390" t="s">
        <v>2380</v>
      </c>
      <c r="H206" s="390" t="s">
        <v>2070</v>
      </c>
      <c r="I206" s="392">
        <v>4.32</v>
      </c>
    </row>
    <row r="207" spans="1:9" hidden="1" x14ac:dyDescent="0.2">
      <c r="A207" s="389" t="s">
        <v>2011</v>
      </c>
      <c r="B207" s="389"/>
      <c r="C207" s="390" t="s">
        <v>2034</v>
      </c>
      <c r="D207" s="389" t="s">
        <v>36</v>
      </c>
      <c r="E207" s="389" t="s">
        <v>2035</v>
      </c>
      <c r="F207" s="391" t="s">
        <v>2018</v>
      </c>
      <c r="G207" s="390" t="s">
        <v>2380</v>
      </c>
      <c r="H207" s="390" t="s">
        <v>2037</v>
      </c>
      <c r="I207" s="392">
        <v>3.43</v>
      </c>
    </row>
    <row r="208" spans="1:9" hidden="1" x14ac:dyDescent="0.2">
      <c r="A208" s="393" t="s">
        <v>2024</v>
      </c>
      <c r="B208" s="393"/>
      <c r="C208" s="394" t="s">
        <v>2337</v>
      </c>
      <c r="D208" s="393" t="s">
        <v>36</v>
      </c>
      <c r="E208" s="393" t="s">
        <v>2338</v>
      </c>
      <c r="F208" s="395" t="s">
        <v>48</v>
      </c>
      <c r="G208" s="394" t="s">
        <v>2274</v>
      </c>
      <c r="H208" s="394" t="s">
        <v>2340</v>
      </c>
      <c r="I208" s="396">
        <v>0.14000000000000001</v>
      </c>
    </row>
    <row r="209" spans="1:9" hidden="1" x14ac:dyDescent="0.2">
      <c r="A209" s="393" t="s">
        <v>2024</v>
      </c>
      <c r="B209" s="393"/>
      <c r="C209" s="394" t="s">
        <v>2381</v>
      </c>
      <c r="D209" s="393" t="s">
        <v>36</v>
      </c>
      <c r="E209" s="393" t="s">
        <v>2382</v>
      </c>
      <c r="F209" s="395" t="s">
        <v>48</v>
      </c>
      <c r="G209" s="394" t="s">
        <v>2026</v>
      </c>
      <c r="H209" s="394" t="s">
        <v>2383</v>
      </c>
      <c r="I209" s="396">
        <v>3.7</v>
      </c>
    </row>
    <row r="210" spans="1:9" hidden="1" x14ac:dyDescent="0.2">
      <c r="A210" s="393" t="s">
        <v>2024</v>
      </c>
      <c r="B210" s="393"/>
      <c r="C210" s="394" t="s">
        <v>2344</v>
      </c>
      <c r="D210" s="393" t="s">
        <v>36</v>
      </c>
      <c r="E210" s="393" t="s">
        <v>2345</v>
      </c>
      <c r="F210" s="395" t="s">
        <v>48</v>
      </c>
      <c r="G210" s="394" t="s">
        <v>2384</v>
      </c>
      <c r="H210" s="394" t="s">
        <v>2346</v>
      </c>
      <c r="I210" s="396">
        <v>1.98</v>
      </c>
    </row>
    <row r="211" spans="1:9" ht="15" hidden="1" thickTop="1" x14ac:dyDescent="0.2">
      <c r="A211" s="188"/>
      <c r="B211" s="188"/>
      <c r="C211" s="188"/>
      <c r="D211" s="188"/>
      <c r="E211" s="188"/>
      <c r="F211" s="188"/>
      <c r="G211" s="188"/>
      <c r="H211" s="188"/>
      <c r="I211" s="188"/>
    </row>
    <row r="212" spans="1:9" ht="15" hidden="1" x14ac:dyDescent="0.2">
      <c r="A212" s="121"/>
      <c r="B212" s="121" t="s">
        <v>65</v>
      </c>
      <c r="C212" s="117" t="s">
        <v>46</v>
      </c>
      <c r="D212" s="121" t="s">
        <v>21</v>
      </c>
      <c r="E212" s="121" t="s">
        <v>37</v>
      </c>
      <c r="F212" s="118" t="s">
        <v>26</v>
      </c>
      <c r="G212" s="117" t="s">
        <v>61</v>
      </c>
      <c r="H212" s="117" t="s">
        <v>79</v>
      </c>
      <c r="I212" s="117" t="s">
        <v>50</v>
      </c>
    </row>
    <row r="213" spans="1:9" x14ac:dyDescent="0.2">
      <c r="A213" s="386" t="s">
        <v>2007</v>
      </c>
      <c r="B213" s="386" t="s">
        <v>2385</v>
      </c>
      <c r="C213" s="387" t="s">
        <v>2386</v>
      </c>
      <c r="D213" s="386" t="s">
        <v>10</v>
      </c>
      <c r="E213" s="386" t="s">
        <v>652</v>
      </c>
      <c r="F213" s="388" t="s">
        <v>48</v>
      </c>
      <c r="G213" s="387">
        <v>1</v>
      </c>
      <c r="H213" s="387" t="s">
        <v>2301</v>
      </c>
      <c r="I213" s="387" t="s">
        <v>2301</v>
      </c>
    </row>
    <row r="214" spans="1:9" hidden="1" x14ac:dyDescent="0.2">
      <c r="A214" s="389" t="s">
        <v>2011</v>
      </c>
      <c r="B214" s="389"/>
      <c r="C214" s="390" t="s">
        <v>2034</v>
      </c>
      <c r="D214" s="389" t="s">
        <v>36</v>
      </c>
      <c r="E214" s="389" t="s">
        <v>2035</v>
      </c>
      <c r="F214" s="391" t="s">
        <v>2018</v>
      </c>
      <c r="G214" s="390" t="s">
        <v>2387</v>
      </c>
      <c r="H214" s="390" t="s">
        <v>2037</v>
      </c>
      <c r="I214" s="392">
        <v>3.14</v>
      </c>
    </row>
    <row r="215" spans="1:9" hidden="1" x14ac:dyDescent="0.2">
      <c r="A215" s="389" t="s">
        <v>2011</v>
      </c>
      <c r="B215" s="389"/>
      <c r="C215" s="390" t="s">
        <v>2067</v>
      </c>
      <c r="D215" s="389" t="s">
        <v>36</v>
      </c>
      <c r="E215" s="389" t="s">
        <v>2068</v>
      </c>
      <c r="F215" s="391" t="s">
        <v>2018</v>
      </c>
      <c r="G215" s="390" t="s">
        <v>2387</v>
      </c>
      <c r="H215" s="390" t="s">
        <v>2070</v>
      </c>
      <c r="I215" s="392">
        <v>3.96</v>
      </c>
    </row>
    <row r="216" spans="1:9" hidden="1" x14ac:dyDescent="0.2">
      <c r="A216" s="393" t="s">
        <v>2024</v>
      </c>
      <c r="B216" s="393"/>
      <c r="C216" s="394" t="s">
        <v>2337</v>
      </c>
      <c r="D216" s="393" t="s">
        <v>36</v>
      </c>
      <c r="E216" s="393" t="s">
        <v>2338</v>
      </c>
      <c r="F216" s="395" t="s">
        <v>48</v>
      </c>
      <c r="G216" s="394" t="s">
        <v>2317</v>
      </c>
      <c r="H216" s="394" t="s">
        <v>2340</v>
      </c>
      <c r="I216" s="396">
        <v>0.09</v>
      </c>
    </row>
    <row r="217" spans="1:9" hidden="1" x14ac:dyDescent="0.2">
      <c r="A217" s="393" t="s">
        <v>2024</v>
      </c>
      <c r="B217" s="393"/>
      <c r="C217" s="394" t="s">
        <v>2388</v>
      </c>
      <c r="D217" s="393" t="s">
        <v>36</v>
      </c>
      <c r="E217" s="393" t="s">
        <v>2389</v>
      </c>
      <c r="F217" s="395" t="s">
        <v>48</v>
      </c>
      <c r="G217" s="394" t="s">
        <v>2026</v>
      </c>
      <c r="H217" s="394" t="s">
        <v>2390</v>
      </c>
      <c r="I217" s="396">
        <v>2.83</v>
      </c>
    </row>
    <row r="218" spans="1:9" hidden="1" x14ac:dyDescent="0.2">
      <c r="A218" s="393" t="s">
        <v>2024</v>
      </c>
      <c r="B218" s="393"/>
      <c r="C218" s="394" t="s">
        <v>2344</v>
      </c>
      <c r="D218" s="393" t="s">
        <v>36</v>
      </c>
      <c r="E218" s="393" t="s">
        <v>2345</v>
      </c>
      <c r="F218" s="395" t="s">
        <v>48</v>
      </c>
      <c r="G218" s="394" t="s">
        <v>2391</v>
      </c>
      <c r="H218" s="394" t="s">
        <v>2346</v>
      </c>
      <c r="I218" s="396">
        <v>1.46</v>
      </c>
    </row>
    <row r="219" spans="1:9" ht="15" hidden="1" thickTop="1" x14ac:dyDescent="0.2">
      <c r="A219" s="188"/>
      <c r="B219" s="188"/>
      <c r="C219" s="188"/>
      <c r="D219" s="188"/>
      <c r="E219" s="188"/>
      <c r="F219" s="188"/>
      <c r="G219" s="188"/>
      <c r="H219" s="188"/>
      <c r="I219" s="188"/>
    </row>
    <row r="220" spans="1:9" ht="15" hidden="1" x14ac:dyDescent="0.2">
      <c r="A220" s="121"/>
      <c r="B220" s="121" t="s">
        <v>65</v>
      </c>
      <c r="C220" s="117" t="s">
        <v>46</v>
      </c>
      <c r="D220" s="121" t="s">
        <v>21</v>
      </c>
      <c r="E220" s="121" t="s">
        <v>37</v>
      </c>
      <c r="F220" s="118" t="s">
        <v>26</v>
      </c>
      <c r="G220" s="117" t="s">
        <v>61</v>
      </c>
      <c r="H220" s="117" t="s">
        <v>79</v>
      </c>
      <c r="I220" s="117" t="s">
        <v>50</v>
      </c>
    </row>
    <row r="221" spans="1:9" x14ac:dyDescent="0.2">
      <c r="A221" s="386" t="s">
        <v>2007</v>
      </c>
      <c r="B221" s="386" t="s">
        <v>2392</v>
      </c>
      <c r="C221" s="387" t="s">
        <v>2393</v>
      </c>
      <c r="D221" s="386" t="s">
        <v>10</v>
      </c>
      <c r="E221" s="386" t="s">
        <v>960</v>
      </c>
      <c r="F221" s="388" t="s">
        <v>48</v>
      </c>
      <c r="G221" s="387">
        <v>1</v>
      </c>
      <c r="H221" s="387" t="s">
        <v>2394</v>
      </c>
      <c r="I221" s="387" t="s">
        <v>2394</v>
      </c>
    </row>
    <row r="222" spans="1:9" hidden="1" x14ac:dyDescent="0.2">
      <c r="A222" s="389" t="s">
        <v>2011</v>
      </c>
      <c r="B222" s="389"/>
      <c r="C222" s="390" t="s">
        <v>2034</v>
      </c>
      <c r="D222" s="389" t="s">
        <v>36</v>
      </c>
      <c r="E222" s="389" t="s">
        <v>2035</v>
      </c>
      <c r="F222" s="391" t="s">
        <v>2018</v>
      </c>
      <c r="G222" s="390" t="s">
        <v>2395</v>
      </c>
      <c r="H222" s="390" t="s">
        <v>2037</v>
      </c>
      <c r="I222" s="392">
        <v>2.57</v>
      </c>
    </row>
    <row r="223" spans="1:9" hidden="1" x14ac:dyDescent="0.2">
      <c r="A223" s="389" t="s">
        <v>2011</v>
      </c>
      <c r="B223" s="389"/>
      <c r="C223" s="390" t="s">
        <v>2067</v>
      </c>
      <c r="D223" s="389" t="s">
        <v>36</v>
      </c>
      <c r="E223" s="389" t="s">
        <v>2068</v>
      </c>
      <c r="F223" s="391" t="s">
        <v>2018</v>
      </c>
      <c r="G223" s="390" t="s">
        <v>2395</v>
      </c>
      <c r="H223" s="390" t="s">
        <v>2070</v>
      </c>
      <c r="I223" s="392">
        <v>3.24</v>
      </c>
    </row>
    <row r="224" spans="1:9" hidden="1" x14ac:dyDescent="0.2">
      <c r="A224" s="393" t="s">
        <v>2024</v>
      </c>
      <c r="B224" s="393"/>
      <c r="C224" s="394" t="s">
        <v>2337</v>
      </c>
      <c r="D224" s="393" t="s">
        <v>36</v>
      </c>
      <c r="E224" s="393" t="s">
        <v>2338</v>
      </c>
      <c r="F224" s="395" t="s">
        <v>48</v>
      </c>
      <c r="G224" s="394" t="s">
        <v>2339</v>
      </c>
      <c r="H224" s="394" t="s">
        <v>2340</v>
      </c>
      <c r="I224" s="396">
        <v>0.28999999999999998</v>
      </c>
    </row>
    <row r="225" spans="1:9" hidden="1" x14ac:dyDescent="0.2">
      <c r="A225" s="393" t="s">
        <v>2024</v>
      </c>
      <c r="B225" s="393"/>
      <c r="C225" s="394" t="s">
        <v>2396</v>
      </c>
      <c r="D225" s="393" t="s">
        <v>36</v>
      </c>
      <c r="E225" s="393" t="s">
        <v>2397</v>
      </c>
      <c r="F225" s="395" t="s">
        <v>48</v>
      </c>
      <c r="G225" s="394" t="s">
        <v>2026</v>
      </c>
      <c r="H225" s="394" t="s">
        <v>2398</v>
      </c>
      <c r="I225" s="396">
        <v>2.35</v>
      </c>
    </row>
    <row r="226" spans="1:9" hidden="1" x14ac:dyDescent="0.2">
      <c r="A226" s="393" t="s">
        <v>2024</v>
      </c>
      <c r="B226" s="393"/>
      <c r="C226" s="394" t="s">
        <v>2344</v>
      </c>
      <c r="D226" s="393" t="s">
        <v>36</v>
      </c>
      <c r="E226" s="393" t="s">
        <v>2345</v>
      </c>
      <c r="F226" s="395" t="s">
        <v>48</v>
      </c>
      <c r="G226" s="394" t="s">
        <v>2310</v>
      </c>
      <c r="H226" s="394" t="s">
        <v>2346</v>
      </c>
      <c r="I226" s="396">
        <v>0.43</v>
      </c>
    </row>
    <row r="227" spans="1:9" ht="15" hidden="1" thickTop="1" x14ac:dyDescent="0.2">
      <c r="A227" s="188"/>
      <c r="B227" s="188"/>
      <c r="C227" s="188"/>
      <c r="D227" s="188"/>
      <c r="E227" s="188"/>
      <c r="F227" s="188"/>
      <c r="G227" s="188"/>
      <c r="H227" s="188"/>
      <c r="I227" s="188"/>
    </row>
    <row r="228" spans="1:9" ht="15" hidden="1" x14ac:dyDescent="0.2">
      <c r="A228" s="121"/>
      <c r="B228" s="121" t="s">
        <v>65</v>
      </c>
      <c r="C228" s="117" t="s">
        <v>46</v>
      </c>
      <c r="D228" s="121" t="s">
        <v>21</v>
      </c>
      <c r="E228" s="121" t="s">
        <v>37</v>
      </c>
      <c r="F228" s="118" t="s">
        <v>26</v>
      </c>
      <c r="G228" s="117" t="s">
        <v>61</v>
      </c>
      <c r="H228" s="117" t="s">
        <v>79</v>
      </c>
      <c r="I228" s="117" t="s">
        <v>50</v>
      </c>
    </row>
    <row r="229" spans="1:9" x14ac:dyDescent="0.2">
      <c r="A229" s="386" t="s">
        <v>2007</v>
      </c>
      <c r="B229" s="386" t="s">
        <v>2399</v>
      </c>
      <c r="C229" s="387" t="s">
        <v>2400</v>
      </c>
      <c r="D229" s="386" t="s">
        <v>10</v>
      </c>
      <c r="E229" s="386" t="s">
        <v>971</v>
      </c>
      <c r="F229" s="388" t="s">
        <v>48</v>
      </c>
      <c r="G229" s="387">
        <v>1</v>
      </c>
      <c r="H229" s="387" t="s">
        <v>2401</v>
      </c>
      <c r="I229" s="387" t="s">
        <v>2401</v>
      </c>
    </row>
    <row r="230" spans="1:9" hidden="1" x14ac:dyDescent="0.2">
      <c r="A230" s="389" t="s">
        <v>2011</v>
      </c>
      <c r="B230" s="389"/>
      <c r="C230" s="390" t="s">
        <v>2063</v>
      </c>
      <c r="D230" s="389" t="s">
        <v>36</v>
      </c>
      <c r="E230" s="389" t="s">
        <v>2064</v>
      </c>
      <c r="F230" s="391" t="s">
        <v>2018</v>
      </c>
      <c r="G230" s="390" t="s">
        <v>2049</v>
      </c>
      <c r="H230" s="390" t="s">
        <v>2066</v>
      </c>
      <c r="I230" s="392">
        <v>0.56000000000000005</v>
      </c>
    </row>
    <row r="231" spans="1:9" hidden="1" x14ac:dyDescent="0.2">
      <c r="A231" s="389" t="s">
        <v>2011</v>
      </c>
      <c r="B231" s="389"/>
      <c r="C231" s="390" t="s">
        <v>2067</v>
      </c>
      <c r="D231" s="389" t="s">
        <v>36</v>
      </c>
      <c r="E231" s="389" t="s">
        <v>2068</v>
      </c>
      <c r="F231" s="391" t="s">
        <v>2018</v>
      </c>
      <c r="G231" s="390" t="s">
        <v>2049</v>
      </c>
      <c r="H231" s="390" t="s">
        <v>2070</v>
      </c>
      <c r="I231" s="392">
        <v>0.72</v>
      </c>
    </row>
    <row r="232" spans="1:9" hidden="1" x14ac:dyDescent="0.2">
      <c r="A232" s="393" t="s">
        <v>2024</v>
      </c>
      <c r="B232" s="393"/>
      <c r="C232" s="394" t="s">
        <v>2337</v>
      </c>
      <c r="D232" s="393" t="s">
        <v>36</v>
      </c>
      <c r="E232" s="393" t="s">
        <v>2338</v>
      </c>
      <c r="F232" s="395" t="s">
        <v>48</v>
      </c>
      <c r="G232" s="394" t="s">
        <v>2402</v>
      </c>
      <c r="H232" s="394" t="s">
        <v>2340</v>
      </c>
      <c r="I232" s="396">
        <v>0.34</v>
      </c>
    </row>
    <row r="233" spans="1:9" hidden="1" x14ac:dyDescent="0.2">
      <c r="A233" s="393" t="s">
        <v>2024</v>
      </c>
      <c r="B233" s="393"/>
      <c r="C233" s="394" t="s">
        <v>2403</v>
      </c>
      <c r="D233" s="393" t="s">
        <v>36</v>
      </c>
      <c r="E233" s="393" t="s">
        <v>2404</v>
      </c>
      <c r="F233" s="395" t="s">
        <v>48</v>
      </c>
      <c r="G233" s="394" t="s">
        <v>2026</v>
      </c>
      <c r="H233" s="394" t="s">
        <v>2405</v>
      </c>
      <c r="I233" s="396">
        <v>4.1399999999999997</v>
      </c>
    </row>
    <row r="234" spans="1:9" hidden="1" x14ac:dyDescent="0.2">
      <c r="A234" s="393" t="s">
        <v>2024</v>
      </c>
      <c r="B234" s="393"/>
      <c r="C234" s="394" t="s">
        <v>2344</v>
      </c>
      <c r="D234" s="393" t="s">
        <v>36</v>
      </c>
      <c r="E234" s="393" t="s">
        <v>2345</v>
      </c>
      <c r="F234" s="395" t="s">
        <v>48</v>
      </c>
      <c r="G234" s="394" t="s">
        <v>2406</v>
      </c>
      <c r="H234" s="394" t="s">
        <v>2346</v>
      </c>
      <c r="I234" s="396">
        <v>0.34</v>
      </c>
    </row>
    <row r="235" spans="1:9" hidden="1" x14ac:dyDescent="0.2">
      <c r="A235" s="393" t="s">
        <v>2024</v>
      </c>
      <c r="B235" s="393"/>
      <c r="C235" s="394" t="s">
        <v>2407</v>
      </c>
      <c r="D235" s="393" t="s">
        <v>36</v>
      </c>
      <c r="E235" s="393" t="s">
        <v>2408</v>
      </c>
      <c r="F235" s="395" t="s">
        <v>48</v>
      </c>
      <c r="G235" s="394" t="s">
        <v>2296</v>
      </c>
      <c r="H235" s="394" t="s">
        <v>2409</v>
      </c>
      <c r="I235" s="396">
        <v>0.02</v>
      </c>
    </row>
    <row r="236" spans="1:9" ht="15" hidden="1" thickTop="1" x14ac:dyDescent="0.2">
      <c r="A236" s="188"/>
      <c r="B236" s="188"/>
      <c r="C236" s="188"/>
      <c r="D236" s="188"/>
      <c r="E236" s="188"/>
      <c r="F236" s="188"/>
      <c r="G236" s="188"/>
      <c r="H236" s="188"/>
      <c r="I236" s="188"/>
    </row>
    <row r="237" spans="1:9" ht="15" hidden="1" x14ac:dyDescent="0.2">
      <c r="A237" s="121"/>
      <c r="B237" s="121" t="s">
        <v>65</v>
      </c>
      <c r="C237" s="117" t="s">
        <v>46</v>
      </c>
      <c r="D237" s="121" t="s">
        <v>21</v>
      </c>
      <c r="E237" s="121" t="s">
        <v>37</v>
      </c>
      <c r="F237" s="118" t="s">
        <v>26</v>
      </c>
      <c r="G237" s="117" t="s">
        <v>61</v>
      </c>
      <c r="H237" s="117" t="s">
        <v>79</v>
      </c>
      <c r="I237" s="117" t="s">
        <v>50</v>
      </c>
    </row>
    <row r="238" spans="1:9" x14ac:dyDescent="0.2">
      <c r="A238" s="386" t="s">
        <v>2007</v>
      </c>
      <c r="B238" s="386" t="s">
        <v>2410</v>
      </c>
      <c r="C238" s="387" t="s">
        <v>2411</v>
      </c>
      <c r="D238" s="386" t="s">
        <v>10</v>
      </c>
      <c r="E238" s="386" t="s">
        <v>983</v>
      </c>
      <c r="F238" s="388" t="s">
        <v>48</v>
      </c>
      <c r="G238" s="387">
        <v>1</v>
      </c>
      <c r="H238" s="387" t="s">
        <v>2412</v>
      </c>
      <c r="I238" s="387" t="s">
        <v>2412</v>
      </c>
    </row>
    <row r="239" spans="1:9" hidden="1" x14ac:dyDescent="0.2">
      <c r="A239" s="389" t="s">
        <v>2011</v>
      </c>
      <c r="B239" s="389"/>
      <c r="C239" s="390" t="s">
        <v>2030</v>
      </c>
      <c r="D239" s="389" t="s">
        <v>36</v>
      </c>
      <c r="E239" s="389" t="s">
        <v>2031</v>
      </c>
      <c r="F239" s="391" t="s">
        <v>2018</v>
      </c>
      <c r="G239" s="390" t="s">
        <v>2413</v>
      </c>
      <c r="H239" s="390" t="s">
        <v>2033</v>
      </c>
      <c r="I239" s="392">
        <v>80.25</v>
      </c>
    </row>
    <row r="240" spans="1:9" hidden="1" x14ac:dyDescent="0.2">
      <c r="A240" s="389" t="s">
        <v>2011</v>
      </c>
      <c r="B240" s="389"/>
      <c r="C240" s="390" t="s">
        <v>2034</v>
      </c>
      <c r="D240" s="389" t="s">
        <v>36</v>
      </c>
      <c r="E240" s="389" t="s">
        <v>2035</v>
      </c>
      <c r="F240" s="391" t="s">
        <v>2018</v>
      </c>
      <c r="G240" s="390" t="s">
        <v>2414</v>
      </c>
      <c r="H240" s="390" t="s">
        <v>2037</v>
      </c>
      <c r="I240" s="392">
        <v>190.75</v>
      </c>
    </row>
    <row r="241" spans="1:9" hidden="1" x14ac:dyDescent="0.2">
      <c r="A241" s="393" t="s">
        <v>2024</v>
      </c>
      <c r="B241" s="393"/>
      <c r="C241" s="394" t="s">
        <v>2415</v>
      </c>
      <c r="D241" s="393" t="s">
        <v>36</v>
      </c>
      <c r="E241" s="393" t="s">
        <v>2416</v>
      </c>
      <c r="F241" s="395" t="s">
        <v>22</v>
      </c>
      <c r="G241" s="394" t="s">
        <v>2417</v>
      </c>
      <c r="H241" s="394" t="s">
        <v>2418</v>
      </c>
      <c r="I241" s="396">
        <v>15.85</v>
      </c>
    </row>
    <row r="242" spans="1:9" hidden="1" x14ac:dyDescent="0.2">
      <c r="A242" s="393" t="s">
        <v>2024</v>
      </c>
      <c r="B242" s="393"/>
      <c r="C242" s="394" t="s">
        <v>2079</v>
      </c>
      <c r="D242" s="393" t="s">
        <v>36</v>
      </c>
      <c r="E242" s="393" t="s">
        <v>2080</v>
      </c>
      <c r="F242" s="395" t="s">
        <v>25</v>
      </c>
      <c r="G242" s="394" t="s">
        <v>2419</v>
      </c>
      <c r="H242" s="394" t="s">
        <v>2082</v>
      </c>
      <c r="I242" s="396">
        <v>20.58</v>
      </c>
    </row>
    <row r="243" spans="1:9" hidden="1" x14ac:dyDescent="0.2">
      <c r="A243" s="393" t="s">
        <v>2024</v>
      </c>
      <c r="B243" s="393"/>
      <c r="C243" s="394" t="s">
        <v>2420</v>
      </c>
      <c r="D243" s="393" t="s">
        <v>36</v>
      </c>
      <c r="E243" s="393" t="s">
        <v>2421</v>
      </c>
      <c r="F243" s="395" t="s">
        <v>2422</v>
      </c>
      <c r="G243" s="394" t="s">
        <v>2423</v>
      </c>
      <c r="H243" s="394" t="s">
        <v>2424</v>
      </c>
      <c r="I243" s="396">
        <v>58.13</v>
      </c>
    </row>
    <row r="244" spans="1:9" hidden="1" x14ac:dyDescent="0.2">
      <c r="A244" s="393" t="s">
        <v>2024</v>
      </c>
      <c r="B244" s="393"/>
      <c r="C244" s="394" t="s">
        <v>2425</v>
      </c>
      <c r="D244" s="393" t="s">
        <v>36</v>
      </c>
      <c r="E244" s="393" t="s">
        <v>2426</v>
      </c>
      <c r="F244" s="395" t="s">
        <v>25</v>
      </c>
      <c r="G244" s="394" t="s">
        <v>2427</v>
      </c>
      <c r="H244" s="394" t="s">
        <v>2428</v>
      </c>
      <c r="I244" s="396">
        <v>11.22</v>
      </c>
    </row>
    <row r="245" spans="1:9" hidden="1" x14ac:dyDescent="0.2">
      <c r="A245" s="393" t="s">
        <v>2024</v>
      </c>
      <c r="B245" s="393"/>
      <c r="C245" s="394" t="s">
        <v>2429</v>
      </c>
      <c r="D245" s="393" t="s">
        <v>36</v>
      </c>
      <c r="E245" s="393" t="s">
        <v>2430</v>
      </c>
      <c r="F245" s="395" t="s">
        <v>48</v>
      </c>
      <c r="G245" s="394" t="s">
        <v>2431</v>
      </c>
      <c r="H245" s="394" t="s">
        <v>2432</v>
      </c>
      <c r="I245" s="396">
        <v>47.17</v>
      </c>
    </row>
    <row r="246" spans="1:9" ht="15" hidden="1" thickTop="1" x14ac:dyDescent="0.2">
      <c r="A246" s="188"/>
      <c r="B246" s="188"/>
      <c r="C246" s="188"/>
      <c r="D246" s="188"/>
      <c r="E246" s="188"/>
      <c r="F246" s="188"/>
      <c r="G246" s="188"/>
      <c r="H246" s="188"/>
      <c r="I246" s="188"/>
    </row>
    <row r="247" spans="1:9" ht="15" hidden="1" x14ac:dyDescent="0.2">
      <c r="A247" s="121"/>
      <c r="B247" s="121" t="s">
        <v>65</v>
      </c>
      <c r="C247" s="117" t="s">
        <v>46</v>
      </c>
      <c r="D247" s="121" t="s">
        <v>21</v>
      </c>
      <c r="E247" s="121" t="s">
        <v>37</v>
      </c>
      <c r="F247" s="118" t="s">
        <v>26</v>
      </c>
      <c r="G247" s="117" t="s">
        <v>61</v>
      </c>
      <c r="H247" s="117" t="s">
        <v>79</v>
      </c>
      <c r="I247" s="117" t="s">
        <v>50</v>
      </c>
    </row>
    <row r="248" spans="1:9" x14ac:dyDescent="0.2">
      <c r="A248" s="386" t="s">
        <v>2007</v>
      </c>
      <c r="B248" s="386" t="s">
        <v>2433</v>
      </c>
      <c r="C248" s="387" t="s">
        <v>2434</v>
      </c>
      <c r="D248" s="386" t="s">
        <v>10</v>
      </c>
      <c r="E248" s="386" t="s">
        <v>321</v>
      </c>
      <c r="F248" s="388" t="s">
        <v>48</v>
      </c>
      <c r="G248" s="387">
        <v>1</v>
      </c>
      <c r="H248" s="387" t="s">
        <v>2435</v>
      </c>
      <c r="I248" s="387" t="s">
        <v>2435</v>
      </c>
    </row>
    <row r="249" spans="1:9" hidden="1" x14ac:dyDescent="0.2">
      <c r="A249" s="389" t="s">
        <v>2011</v>
      </c>
      <c r="B249" s="389"/>
      <c r="C249" s="390" t="s">
        <v>2063</v>
      </c>
      <c r="D249" s="389" t="s">
        <v>36</v>
      </c>
      <c r="E249" s="389" t="s">
        <v>2064</v>
      </c>
      <c r="F249" s="391" t="s">
        <v>2018</v>
      </c>
      <c r="G249" s="390" t="s">
        <v>2436</v>
      </c>
      <c r="H249" s="390" t="s">
        <v>2066</v>
      </c>
      <c r="I249" s="392">
        <v>7.06</v>
      </c>
    </row>
    <row r="250" spans="1:9" hidden="1" x14ac:dyDescent="0.2">
      <c r="A250" s="389" t="s">
        <v>2011</v>
      </c>
      <c r="B250" s="389"/>
      <c r="C250" s="390" t="s">
        <v>2067</v>
      </c>
      <c r="D250" s="389" t="s">
        <v>36</v>
      </c>
      <c r="E250" s="389" t="s">
        <v>2068</v>
      </c>
      <c r="F250" s="391" t="s">
        <v>2018</v>
      </c>
      <c r="G250" s="390" t="s">
        <v>2436</v>
      </c>
      <c r="H250" s="390" t="s">
        <v>2070</v>
      </c>
      <c r="I250" s="392">
        <v>9.01</v>
      </c>
    </row>
    <row r="251" spans="1:9" hidden="1" x14ac:dyDescent="0.2">
      <c r="A251" s="393" t="s">
        <v>2024</v>
      </c>
      <c r="B251" s="393"/>
      <c r="C251" s="394" t="s">
        <v>2437</v>
      </c>
      <c r="D251" s="393" t="s">
        <v>36</v>
      </c>
      <c r="E251" s="393" t="s">
        <v>2438</v>
      </c>
      <c r="F251" s="395" t="s">
        <v>48</v>
      </c>
      <c r="G251" s="394" t="s">
        <v>2026</v>
      </c>
      <c r="H251" s="394" t="s">
        <v>2439</v>
      </c>
      <c r="I251" s="396">
        <v>22.74</v>
      </c>
    </row>
    <row r="252" spans="1:9" ht="15" hidden="1" thickTop="1" x14ac:dyDescent="0.2">
      <c r="A252" s="188"/>
      <c r="B252" s="188"/>
      <c r="C252" s="188"/>
      <c r="D252" s="188"/>
      <c r="E252" s="188"/>
      <c r="F252" s="188"/>
      <c r="G252" s="188"/>
      <c r="H252" s="188"/>
      <c r="I252" s="188"/>
    </row>
    <row r="253" spans="1:9" ht="15" hidden="1" x14ac:dyDescent="0.2">
      <c r="A253" s="121"/>
      <c r="B253" s="121" t="s">
        <v>65</v>
      </c>
      <c r="C253" s="117" t="s">
        <v>46</v>
      </c>
      <c r="D253" s="121" t="s">
        <v>21</v>
      </c>
      <c r="E253" s="121" t="s">
        <v>37</v>
      </c>
      <c r="F253" s="118" t="s">
        <v>26</v>
      </c>
      <c r="G253" s="117" t="s">
        <v>61</v>
      </c>
      <c r="H253" s="117" t="s">
        <v>79</v>
      </c>
      <c r="I253" s="117" t="s">
        <v>50</v>
      </c>
    </row>
    <row r="254" spans="1:9" ht="22.5" x14ac:dyDescent="0.2">
      <c r="A254" s="386" t="s">
        <v>2007</v>
      </c>
      <c r="B254" s="386" t="s">
        <v>2440</v>
      </c>
      <c r="C254" s="387" t="s">
        <v>2441</v>
      </c>
      <c r="D254" s="386" t="s">
        <v>10</v>
      </c>
      <c r="E254" s="386" t="s">
        <v>654</v>
      </c>
      <c r="F254" s="388" t="s">
        <v>48</v>
      </c>
      <c r="G254" s="387">
        <v>1</v>
      </c>
      <c r="H254" s="387" t="s">
        <v>2442</v>
      </c>
      <c r="I254" s="387" t="s">
        <v>2442</v>
      </c>
    </row>
    <row r="255" spans="1:9" hidden="1" x14ac:dyDescent="0.2">
      <c r="A255" s="389" t="s">
        <v>2011</v>
      </c>
      <c r="B255" s="389"/>
      <c r="C255" s="390" t="s">
        <v>2067</v>
      </c>
      <c r="D255" s="389" t="s">
        <v>36</v>
      </c>
      <c r="E255" s="389" t="s">
        <v>2068</v>
      </c>
      <c r="F255" s="391" t="s">
        <v>2018</v>
      </c>
      <c r="G255" s="390" t="s">
        <v>2364</v>
      </c>
      <c r="H255" s="390" t="s">
        <v>2070</v>
      </c>
      <c r="I255" s="392">
        <v>4.5</v>
      </c>
    </row>
    <row r="256" spans="1:9" hidden="1" x14ac:dyDescent="0.2">
      <c r="A256" s="389" t="s">
        <v>2011</v>
      </c>
      <c r="B256" s="389"/>
      <c r="C256" s="390" t="s">
        <v>2063</v>
      </c>
      <c r="D256" s="389" t="s">
        <v>36</v>
      </c>
      <c r="E256" s="389" t="s">
        <v>2064</v>
      </c>
      <c r="F256" s="391" t="s">
        <v>2018</v>
      </c>
      <c r="G256" s="390" t="s">
        <v>2364</v>
      </c>
      <c r="H256" s="390" t="s">
        <v>2066</v>
      </c>
      <c r="I256" s="392">
        <v>3.53</v>
      </c>
    </row>
    <row r="257" spans="1:9" hidden="1" x14ac:dyDescent="0.2">
      <c r="A257" s="393" t="s">
        <v>2024</v>
      </c>
      <c r="B257" s="393"/>
      <c r="C257" s="394" t="s">
        <v>2443</v>
      </c>
      <c r="D257" s="393" t="s">
        <v>36</v>
      </c>
      <c r="E257" s="393" t="s">
        <v>2444</v>
      </c>
      <c r="F257" s="395" t="s">
        <v>48</v>
      </c>
      <c r="G257" s="394" t="s">
        <v>2026</v>
      </c>
      <c r="H257" s="394" t="s">
        <v>2445</v>
      </c>
      <c r="I257" s="396">
        <v>1.62</v>
      </c>
    </row>
    <row r="258" spans="1:9" hidden="1" x14ac:dyDescent="0.2">
      <c r="A258" s="393" t="s">
        <v>2024</v>
      </c>
      <c r="B258" s="393"/>
      <c r="C258" s="394" t="s">
        <v>2446</v>
      </c>
      <c r="D258" s="393" t="s">
        <v>36</v>
      </c>
      <c r="E258" s="393" t="s">
        <v>2447</v>
      </c>
      <c r="F258" s="395" t="s">
        <v>48</v>
      </c>
      <c r="G258" s="394" t="s">
        <v>2026</v>
      </c>
      <c r="H258" s="394" t="s">
        <v>2448</v>
      </c>
      <c r="I258" s="396">
        <v>20.079999999999998</v>
      </c>
    </row>
    <row r="259" spans="1:9" ht="22.5" hidden="1" x14ac:dyDescent="0.2">
      <c r="A259" s="393" t="s">
        <v>2024</v>
      </c>
      <c r="B259" s="393"/>
      <c r="C259" s="394" t="s">
        <v>2449</v>
      </c>
      <c r="D259" s="393" t="s">
        <v>36</v>
      </c>
      <c r="E259" s="393" t="s">
        <v>2450</v>
      </c>
      <c r="F259" s="395" t="s">
        <v>48</v>
      </c>
      <c r="G259" s="394" t="s">
        <v>2384</v>
      </c>
      <c r="H259" s="394" t="s">
        <v>2451</v>
      </c>
      <c r="I259" s="396">
        <v>0.83</v>
      </c>
    </row>
    <row r="260" spans="1:9" ht="15" hidden="1" thickTop="1" x14ac:dyDescent="0.2">
      <c r="A260" s="188"/>
      <c r="B260" s="188"/>
      <c r="C260" s="188"/>
      <c r="D260" s="188"/>
      <c r="E260" s="188"/>
      <c r="F260" s="188"/>
      <c r="G260" s="188"/>
      <c r="H260" s="188"/>
      <c r="I260" s="188"/>
    </row>
    <row r="261" spans="1:9" ht="15" hidden="1" x14ac:dyDescent="0.2">
      <c r="A261" s="121"/>
      <c r="B261" s="121" t="s">
        <v>65</v>
      </c>
      <c r="C261" s="117" t="s">
        <v>46</v>
      </c>
      <c r="D261" s="121" t="s">
        <v>21</v>
      </c>
      <c r="E261" s="121" t="s">
        <v>37</v>
      </c>
      <c r="F261" s="118" t="s">
        <v>26</v>
      </c>
      <c r="G261" s="117" t="s">
        <v>61</v>
      </c>
      <c r="H261" s="117" t="s">
        <v>79</v>
      </c>
      <c r="I261" s="117" t="s">
        <v>50</v>
      </c>
    </row>
    <row r="262" spans="1:9" x14ac:dyDescent="0.2">
      <c r="A262" s="386" t="s">
        <v>2007</v>
      </c>
      <c r="B262" s="386" t="s">
        <v>2452</v>
      </c>
      <c r="C262" s="387" t="s">
        <v>2453</v>
      </c>
      <c r="D262" s="386" t="s">
        <v>10</v>
      </c>
      <c r="E262" s="386" t="s">
        <v>656</v>
      </c>
      <c r="F262" s="388" t="s">
        <v>48</v>
      </c>
      <c r="G262" s="387">
        <v>1</v>
      </c>
      <c r="H262" s="387" t="s">
        <v>2454</v>
      </c>
      <c r="I262" s="387" t="s">
        <v>2454</v>
      </c>
    </row>
    <row r="263" spans="1:9" hidden="1" x14ac:dyDescent="0.2">
      <c r="A263" s="389" t="s">
        <v>2011</v>
      </c>
      <c r="B263" s="389"/>
      <c r="C263" s="390" t="s">
        <v>2034</v>
      </c>
      <c r="D263" s="389" t="s">
        <v>36</v>
      </c>
      <c r="E263" s="389" t="s">
        <v>2035</v>
      </c>
      <c r="F263" s="391" t="s">
        <v>2018</v>
      </c>
      <c r="G263" s="390" t="s">
        <v>2041</v>
      </c>
      <c r="H263" s="390" t="s">
        <v>2037</v>
      </c>
      <c r="I263" s="392">
        <v>2</v>
      </c>
    </row>
    <row r="264" spans="1:9" hidden="1" x14ac:dyDescent="0.2">
      <c r="A264" s="389" t="s">
        <v>2011</v>
      </c>
      <c r="B264" s="389"/>
      <c r="C264" s="390" t="s">
        <v>2067</v>
      </c>
      <c r="D264" s="389" t="s">
        <v>36</v>
      </c>
      <c r="E264" s="389" t="s">
        <v>2068</v>
      </c>
      <c r="F264" s="391" t="s">
        <v>2018</v>
      </c>
      <c r="G264" s="390" t="s">
        <v>2041</v>
      </c>
      <c r="H264" s="390" t="s">
        <v>2070</v>
      </c>
      <c r="I264" s="392">
        <v>2.52</v>
      </c>
    </row>
    <row r="265" spans="1:9" hidden="1" x14ac:dyDescent="0.2">
      <c r="A265" s="393" t="s">
        <v>2024</v>
      </c>
      <c r="B265" s="393"/>
      <c r="C265" s="394" t="s">
        <v>2455</v>
      </c>
      <c r="D265" s="393" t="s">
        <v>36</v>
      </c>
      <c r="E265" s="393" t="s">
        <v>2456</v>
      </c>
      <c r="F265" s="395" t="s">
        <v>48</v>
      </c>
      <c r="G265" s="394" t="s">
        <v>2026</v>
      </c>
      <c r="H265" s="394" t="s">
        <v>2457</v>
      </c>
      <c r="I265" s="396">
        <v>0.91</v>
      </c>
    </row>
    <row r="266" spans="1:9" hidden="1" x14ac:dyDescent="0.2">
      <c r="A266" s="393" t="s">
        <v>2024</v>
      </c>
      <c r="B266" s="393"/>
      <c r="C266" s="394" t="s">
        <v>2458</v>
      </c>
      <c r="D266" s="393" t="s">
        <v>36</v>
      </c>
      <c r="E266" s="393" t="s">
        <v>656</v>
      </c>
      <c r="F266" s="395" t="s">
        <v>48</v>
      </c>
      <c r="G266" s="394" t="s">
        <v>2026</v>
      </c>
      <c r="H266" s="394" t="s">
        <v>2459</v>
      </c>
      <c r="I266" s="396">
        <v>6.65</v>
      </c>
    </row>
    <row r="267" spans="1:9" ht="22.5" hidden="1" x14ac:dyDescent="0.2">
      <c r="A267" s="393" t="s">
        <v>2024</v>
      </c>
      <c r="B267" s="393"/>
      <c r="C267" s="394" t="s">
        <v>2449</v>
      </c>
      <c r="D267" s="393" t="s">
        <v>36</v>
      </c>
      <c r="E267" s="393" t="s">
        <v>2450</v>
      </c>
      <c r="F267" s="395" t="s">
        <v>48</v>
      </c>
      <c r="G267" s="394" t="s">
        <v>2310</v>
      </c>
      <c r="H267" s="394" t="s">
        <v>2451</v>
      </c>
      <c r="I267" s="396">
        <v>0.18</v>
      </c>
    </row>
    <row r="268" spans="1:9" ht="15" hidden="1" thickTop="1" x14ac:dyDescent="0.2">
      <c r="A268" s="188"/>
      <c r="B268" s="188"/>
      <c r="C268" s="188"/>
      <c r="D268" s="188"/>
      <c r="E268" s="188"/>
      <c r="F268" s="188"/>
      <c r="G268" s="188"/>
      <c r="H268" s="188"/>
      <c r="I268" s="188"/>
    </row>
    <row r="269" spans="1:9" ht="15" hidden="1" x14ac:dyDescent="0.2">
      <c r="A269" s="121"/>
      <c r="B269" s="121" t="s">
        <v>65</v>
      </c>
      <c r="C269" s="117" t="s">
        <v>46</v>
      </c>
      <c r="D269" s="121" t="s">
        <v>21</v>
      </c>
      <c r="E269" s="121" t="s">
        <v>37</v>
      </c>
      <c r="F269" s="118" t="s">
        <v>26</v>
      </c>
      <c r="G269" s="117" t="s">
        <v>61</v>
      </c>
      <c r="H269" s="117" t="s">
        <v>79</v>
      </c>
      <c r="I269" s="117" t="s">
        <v>50</v>
      </c>
    </row>
    <row r="270" spans="1:9" ht="22.5" x14ac:dyDescent="0.2">
      <c r="A270" s="386" t="s">
        <v>2007</v>
      </c>
      <c r="B270" s="386" t="s">
        <v>2460</v>
      </c>
      <c r="C270" s="387" t="s">
        <v>2461</v>
      </c>
      <c r="D270" s="386" t="s">
        <v>10</v>
      </c>
      <c r="E270" s="386" t="s">
        <v>500</v>
      </c>
      <c r="F270" s="388" t="s">
        <v>48</v>
      </c>
      <c r="G270" s="387">
        <v>1</v>
      </c>
      <c r="H270" s="387" t="s">
        <v>2462</v>
      </c>
      <c r="I270" s="387" t="s">
        <v>2462</v>
      </c>
    </row>
    <row r="271" spans="1:9" hidden="1" x14ac:dyDescent="0.2">
      <c r="A271" s="389" t="s">
        <v>2011</v>
      </c>
      <c r="B271" s="389"/>
      <c r="C271" s="390" t="s">
        <v>2034</v>
      </c>
      <c r="D271" s="389" t="s">
        <v>36</v>
      </c>
      <c r="E271" s="389" t="s">
        <v>2035</v>
      </c>
      <c r="F271" s="391" t="s">
        <v>2018</v>
      </c>
      <c r="G271" s="390" t="s">
        <v>2395</v>
      </c>
      <c r="H271" s="390" t="s">
        <v>2037</v>
      </c>
      <c r="I271" s="392">
        <v>2.57</v>
      </c>
    </row>
    <row r="272" spans="1:9" hidden="1" x14ac:dyDescent="0.2">
      <c r="A272" s="389" t="s">
        <v>2011</v>
      </c>
      <c r="B272" s="389"/>
      <c r="C272" s="390" t="s">
        <v>2067</v>
      </c>
      <c r="D272" s="389" t="s">
        <v>36</v>
      </c>
      <c r="E272" s="389" t="s">
        <v>2068</v>
      </c>
      <c r="F272" s="391" t="s">
        <v>2018</v>
      </c>
      <c r="G272" s="390" t="s">
        <v>2395</v>
      </c>
      <c r="H272" s="390" t="s">
        <v>2070</v>
      </c>
      <c r="I272" s="392">
        <v>3.24</v>
      </c>
    </row>
    <row r="273" spans="1:9" hidden="1" x14ac:dyDescent="0.2">
      <c r="A273" s="393" t="s">
        <v>2024</v>
      </c>
      <c r="B273" s="393"/>
      <c r="C273" s="394" t="s">
        <v>2463</v>
      </c>
      <c r="D273" s="393" t="s">
        <v>36</v>
      </c>
      <c r="E273" s="393" t="s">
        <v>2464</v>
      </c>
      <c r="F273" s="395" t="s">
        <v>48</v>
      </c>
      <c r="G273" s="394" t="s">
        <v>2026</v>
      </c>
      <c r="H273" s="394" t="s">
        <v>2465</v>
      </c>
      <c r="I273" s="396">
        <v>0.88</v>
      </c>
    </row>
    <row r="274" spans="1:9" hidden="1" x14ac:dyDescent="0.2">
      <c r="A274" s="393" t="s">
        <v>2024</v>
      </c>
      <c r="B274" s="393"/>
      <c r="C274" s="394" t="s">
        <v>2466</v>
      </c>
      <c r="D274" s="393" t="s">
        <v>36</v>
      </c>
      <c r="E274" s="393" t="s">
        <v>2467</v>
      </c>
      <c r="F274" s="395" t="s">
        <v>48</v>
      </c>
      <c r="G274" s="394" t="s">
        <v>2026</v>
      </c>
      <c r="H274" s="394" t="s">
        <v>2468</v>
      </c>
      <c r="I274" s="396">
        <v>3.44</v>
      </c>
    </row>
    <row r="275" spans="1:9" ht="22.5" hidden="1" x14ac:dyDescent="0.2">
      <c r="A275" s="393" t="s">
        <v>2024</v>
      </c>
      <c r="B275" s="393"/>
      <c r="C275" s="394" t="s">
        <v>2449</v>
      </c>
      <c r="D275" s="393" t="s">
        <v>36</v>
      </c>
      <c r="E275" s="393" t="s">
        <v>2450</v>
      </c>
      <c r="F275" s="395" t="s">
        <v>48</v>
      </c>
      <c r="G275" s="394" t="s">
        <v>2469</v>
      </c>
      <c r="H275" s="394" t="s">
        <v>2451</v>
      </c>
      <c r="I275" s="396">
        <v>0.68</v>
      </c>
    </row>
    <row r="276" spans="1:9" ht="15" hidden="1" thickTop="1" x14ac:dyDescent="0.2">
      <c r="A276" s="188"/>
      <c r="B276" s="188"/>
      <c r="C276" s="188"/>
      <c r="D276" s="188"/>
      <c r="E276" s="188"/>
      <c r="F276" s="188"/>
      <c r="G276" s="188"/>
      <c r="H276" s="188"/>
      <c r="I276" s="188"/>
    </row>
    <row r="277" spans="1:9" ht="15" hidden="1" x14ac:dyDescent="0.2">
      <c r="A277" s="121"/>
      <c r="B277" s="121" t="s">
        <v>65</v>
      </c>
      <c r="C277" s="117" t="s">
        <v>46</v>
      </c>
      <c r="D277" s="121" t="s">
        <v>21</v>
      </c>
      <c r="E277" s="121" t="s">
        <v>37</v>
      </c>
      <c r="F277" s="118" t="s">
        <v>26</v>
      </c>
      <c r="G277" s="117" t="s">
        <v>61</v>
      </c>
      <c r="H277" s="117" t="s">
        <v>79</v>
      </c>
      <c r="I277" s="117" t="s">
        <v>50</v>
      </c>
    </row>
    <row r="278" spans="1:9" x14ac:dyDescent="0.2">
      <c r="A278" s="386" t="s">
        <v>2007</v>
      </c>
      <c r="B278" s="386" t="s">
        <v>2470</v>
      </c>
      <c r="C278" s="387" t="s">
        <v>2471</v>
      </c>
      <c r="D278" s="386" t="s">
        <v>10</v>
      </c>
      <c r="E278" s="386" t="s">
        <v>510</v>
      </c>
      <c r="F278" s="388" t="s">
        <v>48</v>
      </c>
      <c r="G278" s="387">
        <v>1</v>
      </c>
      <c r="H278" s="387" t="s">
        <v>2472</v>
      </c>
      <c r="I278" s="387" t="s">
        <v>2472</v>
      </c>
    </row>
    <row r="279" spans="1:9" hidden="1" x14ac:dyDescent="0.2">
      <c r="A279" s="389" t="s">
        <v>2011</v>
      </c>
      <c r="B279" s="389"/>
      <c r="C279" s="390" t="s">
        <v>2067</v>
      </c>
      <c r="D279" s="389" t="s">
        <v>36</v>
      </c>
      <c r="E279" s="389" t="s">
        <v>2068</v>
      </c>
      <c r="F279" s="391" t="s">
        <v>2018</v>
      </c>
      <c r="G279" s="390" t="s">
        <v>2032</v>
      </c>
      <c r="H279" s="390" t="s">
        <v>2070</v>
      </c>
      <c r="I279" s="392">
        <v>2.34</v>
      </c>
    </row>
    <row r="280" spans="1:9" hidden="1" x14ac:dyDescent="0.2">
      <c r="A280" s="389" t="s">
        <v>2011</v>
      </c>
      <c r="B280" s="389"/>
      <c r="C280" s="390" t="s">
        <v>2063</v>
      </c>
      <c r="D280" s="389" t="s">
        <v>36</v>
      </c>
      <c r="E280" s="389" t="s">
        <v>2064</v>
      </c>
      <c r="F280" s="391" t="s">
        <v>2018</v>
      </c>
      <c r="G280" s="390" t="s">
        <v>2032</v>
      </c>
      <c r="H280" s="390" t="s">
        <v>2066</v>
      </c>
      <c r="I280" s="392">
        <v>1.83</v>
      </c>
    </row>
    <row r="281" spans="1:9" hidden="1" x14ac:dyDescent="0.2">
      <c r="A281" s="393" t="s">
        <v>2024</v>
      </c>
      <c r="B281" s="393"/>
      <c r="C281" s="394" t="s">
        <v>2473</v>
      </c>
      <c r="D281" s="393" t="s">
        <v>36</v>
      </c>
      <c r="E281" s="393" t="s">
        <v>510</v>
      </c>
      <c r="F281" s="395" t="s">
        <v>48</v>
      </c>
      <c r="G281" s="394" t="s">
        <v>2026</v>
      </c>
      <c r="H281" s="394" t="s">
        <v>2360</v>
      </c>
      <c r="I281" s="396">
        <v>2.92</v>
      </c>
    </row>
    <row r="282" spans="1:9" ht="22.5" hidden="1" x14ac:dyDescent="0.2">
      <c r="A282" s="393" t="s">
        <v>2024</v>
      </c>
      <c r="B282" s="393"/>
      <c r="C282" s="394" t="s">
        <v>2449</v>
      </c>
      <c r="D282" s="393" t="s">
        <v>36</v>
      </c>
      <c r="E282" s="393" t="s">
        <v>2450</v>
      </c>
      <c r="F282" s="395" t="s">
        <v>48</v>
      </c>
      <c r="G282" s="394" t="s">
        <v>2218</v>
      </c>
      <c r="H282" s="394" t="s">
        <v>2451</v>
      </c>
      <c r="I282" s="396">
        <v>0.36</v>
      </c>
    </row>
    <row r="283" spans="1:9" ht="15" hidden="1" thickTop="1" x14ac:dyDescent="0.2">
      <c r="A283" s="188"/>
      <c r="B283" s="188"/>
      <c r="C283" s="188"/>
      <c r="D283" s="188"/>
      <c r="E283" s="188"/>
      <c r="F283" s="188"/>
      <c r="G283" s="188"/>
      <c r="H283" s="188"/>
      <c r="I283" s="188"/>
    </row>
    <row r="284" spans="1:9" ht="15" hidden="1" x14ac:dyDescent="0.2">
      <c r="A284" s="121"/>
      <c r="B284" s="121" t="s">
        <v>65</v>
      </c>
      <c r="C284" s="117" t="s">
        <v>46</v>
      </c>
      <c r="D284" s="121" t="s">
        <v>21</v>
      </c>
      <c r="E284" s="121" t="s">
        <v>37</v>
      </c>
      <c r="F284" s="118" t="s">
        <v>26</v>
      </c>
      <c r="G284" s="117" t="s">
        <v>61</v>
      </c>
      <c r="H284" s="117" t="s">
        <v>79</v>
      </c>
      <c r="I284" s="117" t="s">
        <v>50</v>
      </c>
    </row>
    <row r="285" spans="1:9" x14ac:dyDescent="0.2">
      <c r="A285" s="386" t="s">
        <v>2007</v>
      </c>
      <c r="B285" s="386" t="s">
        <v>2474</v>
      </c>
      <c r="C285" s="387" t="s">
        <v>2475</v>
      </c>
      <c r="D285" s="386" t="s">
        <v>10</v>
      </c>
      <c r="E285" s="386" t="s">
        <v>513</v>
      </c>
      <c r="F285" s="388" t="s">
        <v>48</v>
      </c>
      <c r="G285" s="387">
        <v>1</v>
      </c>
      <c r="H285" s="387" t="s">
        <v>2476</v>
      </c>
      <c r="I285" s="387" t="s">
        <v>2476</v>
      </c>
    </row>
    <row r="286" spans="1:9" hidden="1" x14ac:dyDescent="0.2">
      <c r="A286" s="389" t="s">
        <v>2011</v>
      </c>
      <c r="B286" s="389"/>
      <c r="C286" s="390" t="s">
        <v>2063</v>
      </c>
      <c r="D286" s="389" t="s">
        <v>36</v>
      </c>
      <c r="E286" s="389" t="s">
        <v>2064</v>
      </c>
      <c r="F286" s="391" t="s">
        <v>2018</v>
      </c>
      <c r="G286" s="390" t="s">
        <v>2477</v>
      </c>
      <c r="H286" s="390" t="s">
        <v>2066</v>
      </c>
      <c r="I286" s="392">
        <v>6.66</v>
      </c>
    </row>
    <row r="287" spans="1:9" hidden="1" x14ac:dyDescent="0.2">
      <c r="A287" s="389" t="s">
        <v>2011</v>
      </c>
      <c r="B287" s="389"/>
      <c r="C287" s="390" t="s">
        <v>2067</v>
      </c>
      <c r="D287" s="389" t="s">
        <v>36</v>
      </c>
      <c r="E287" s="389" t="s">
        <v>2068</v>
      </c>
      <c r="F287" s="391" t="s">
        <v>2018</v>
      </c>
      <c r="G287" s="390" t="s">
        <v>2477</v>
      </c>
      <c r="H287" s="390" t="s">
        <v>2070</v>
      </c>
      <c r="I287" s="392">
        <v>8.5</v>
      </c>
    </row>
    <row r="288" spans="1:9" hidden="1" x14ac:dyDescent="0.2">
      <c r="A288" s="393" t="s">
        <v>2024</v>
      </c>
      <c r="B288" s="393"/>
      <c r="C288" s="394" t="s">
        <v>2337</v>
      </c>
      <c r="D288" s="393" t="s">
        <v>36</v>
      </c>
      <c r="E288" s="393" t="s">
        <v>2338</v>
      </c>
      <c r="F288" s="395" t="s">
        <v>48</v>
      </c>
      <c r="G288" s="394" t="s">
        <v>2478</v>
      </c>
      <c r="H288" s="394" t="s">
        <v>2340</v>
      </c>
      <c r="I288" s="396">
        <v>3.35</v>
      </c>
    </row>
    <row r="289" spans="1:9" hidden="1" x14ac:dyDescent="0.2">
      <c r="A289" s="393" t="s">
        <v>2024</v>
      </c>
      <c r="B289" s="393"/>
      <c r="C289" s="394" t="s">
        <v>2479</v>
      </c>
      <c r="D289" s="393" t="s">
        <v>36</v>
      </c>
      <c r="E289" s="393" t="s">
        <v>2480</v>
      </c>
      <c r="F289" s="395" t="s">
        <v>48</v>
      </c>
      <c r="G289" s="394" t="s">
        <v>2026</v>
      </c>
      <c r="H289" s="394" t="s">
        <v>2481</v>
      </c>
      <c r="I289" s="396">
        <v>11.13</v>
      </c>
    </row>
    <row r="290" spans="1:9" hidden="1" x14ac:dyDescent="0.2">
      <c r="A290" s="393" t="s">
        <v>2024</v>
      </c>
      <c r="B290" s="393"/>
      <c r="C290" s="394" t="s">
        <v>2344</v>
      </c>
      <c r="D290" s="393" t="s">
        <v>36</v>
      </c>
      <c r="E290" s="393" t="s">
        <v>2345</v>
      </c>
      <c r="F290" s="395" t="s">
        <v>48</v>
      </c>
      <c r="G290" s="394" t="s">
        <v>2482</v>
      </c>
      <c r="H290" s="394" t="s">
        <v>2346</v>
      </c>
      <c r="I290" s="396">
        <v>3.93</v>
      </c>
    </row>
    <row r="291" spans="1:9" ht="15" hidden="1" thickTop="1" x14ac:dyDescent="0.2">
      <c r="A291" s="188"/>
      <c r="B291" s="188"/>
      <c r="C291" s="188"/>
      <c r="D291" s="188"/>
      <c r="E291" s="188"/>
      <c r="F291" s="188"/>
      <c r="G291" s="188"/>
      <c r="H291" s="188"/>
      <c r="I291" s="188"/>
    </row>
    <row r="292" spans="1:9" ht="15" hidden="1" x14ac:dyDescent="0.2">
      <c r="A292" s="121"/>
      <c r="B292" s="121" t="s">
        <v>65</v>
      </c>
      <c r="C292" s="117" t="s">
        <v>46</v>
      </c>
      <c r="D292" s="121" t="s">
        <v>21</v>
      </c>
      <c r="E292" s="121" t="s">
        <v>37</v>
      </c>
      <c r="F292" s="118" t="s">
        <v>26</v>
      </c>
      <c r="G292" s="117" t="s">
        <v>61</v>
      </c>
      <c r="H292" s="117" t="s">
        <v>79</v>
      </c>
      <c r="I292" s="117" t="s">
        <v>50</v>
      </c>
    </row>
    <row r="293" spans="1:9" x14ac:dyDescent="0.2">
      <c r="A293" s="386" t="s">
        <v>2007</v>
      </c>
      <c r="B293" s="386" t="s">
        <v>2483</v>
      </c>
      <c r="C293" s="387" t="s">
        <v>2484</v>
      </c>
      <c r="D293" s="386" t="s">
        <v>10</v>
      </c>
      <c r="E293" s="386" t="s">
        <v>526</v>
      </c>
      <c r="F293" s="388" t="s">
        <v>48</v>
      </c>
      <c r="G293" s="387">
        <v>1</v>
      </c>
      <c r="H293" s="387" t="s">
        <v>2485</v>
      </c>
      <c r="I293" s="387" t="s">
        <v>2485</v>
      </c>
    </row>
    <row r="294" spans="1:9" hidden="1" x14ac:dyDescent="0.2">
      <c r="A294" s="389" t="s">
        <v>2011</v>
      </c>
      <c r="B294" s="389"/>
      <c r="C294" s="390" t="s">
        <v>2067</v>
      </c>
      <c r="D294" s="389" t="s">
        <v>36</v>
      </c>
      <c r="E294" s="389" t="s">
        <v>2068</v>
      </c>
      <c r="F294" s="391" t="s">
        <v>2018</v>
      </c>
      <c r="G294" s="390" t="s">
        <v>2486</v>
      </c>
      <c r="H294" s="390" t="s">
        <v>2070</v>
      </c>
      <c r="I294" s="392">
        <v>1.26</v>
      </c>
    </row>
    <row r="295" spans="1:9" hidden="1" x14ac:dyDescent="0.2">
      <c r="A295" s="389" t="s">
        <v>2011</v>
      </c>
      <c r="B295" s="389"/>
      <c r="C295" s="390" t="s">
        <v>2034</v>
      </c>
      <c r="D295" s="389" t="s">
        <v>36</v>
      </c>
      <c r="E295" s="389" t="s">
        <v>2035</v>
      </c>
      <c r="F295" s="391" t="s">
        <v>2018</v>
      </c>
      <c r="G295" s="390" t="s">
        <v>2486</v>
      </c>
      <c r="H295" s="390" t="s">
        <v>2037</v>
      </c>
      <c r="I295" s="392">
        <v>1</v>
      </c>
    </row>
    <row r="296" spans="1:9" hidden="1" x14ac:dyDescent="0.2">
      <c r="A296" s="393" t="s">
        <v>2024</v>
      </c>
      <c r="B296" s="393"/>
      <c r="C296" s="394" t="s">
        <v>2487</v>
      </c>
      <c r="D296" s="393" t="s">
        <v>36</v>
      </c>
      <c r="E296" s="393" t="s">
        <v>2488</v>
      </c>
      <c r="F296" s="395" t="s">
        <v>48</v>
      </c>
      <c r="G296" s="394" t="s">
        <v>2026</v>
      </c>
      <c r="H296" s="394" t="s">
        <v>2489</v>
      </c>
      <c r="I296" s="396">
        <v>4.12</v>
      </c>
    </row>
    <row r="297" spans="1:9" hidden="1" x14ac:dyDescent="0.2">
      <c r="A297" s="393" t="s">
        <v>2024</v>
      </c>
      <c r="B297" s="393"/>
      <c r="C297" s="394" t="s">
        <v>2455</v>
      </c>
      <c r="D297" s="393" t="s">
        <v>36</v>
      </c>
      <c r="E297" s="393" t="s">
        <v>2456</v>
      </c>
      <c r="F297" s="395" t="s">
        <v>48</v>
      </c>
      <c r="G297" s="394" t="s">
        <v>2026</v>
      </c>
      <c r="H297" s="394" t="s">
        <v>2457</v>
      </c>
      <c r="I297" s="396">
        <v>0.91</v>
      </c>
    </row>
    <row r="298" spans="1:9" ht="22.5" hidden="1" x14ac:dyDescent="0.2">
      <c r="A298" s="393" t="s">
        <v>2024</v>
      </c>
      <c r="B298" s="393"/>
      <c r="C298" s="394" t="s">
        <v>2449</v>
      </c>
      <c r="D298" s="393" t="s">
        <v>36</v>
      </c>
      <c r="E298" s="393" t="s">
        <v>2450</v>
      </c>
      <c r="F298" s="395" t="s">
        <v>48</v>
      </c>
      <c r="G298" s="394" t="s">
        <v>2406</v>
      </c>
      <c r="H298" s="394" t="s">
        <v>2451</v>
      </c>
      <c r="I298" s="396">
        <v>0.14000000000000001</v>
      </c>
    </row>
    <row r="299" spans="1:9" ht="15" hidden="1" thickTop="1" x14ac:dyDescent="0.2">
      <c r="A299" s="188"/>
      <c r="B299" s="188"/>
      <c r="C299" s="188"/>
      <c r="D299" s="188"/>
      <c r="E299" s="188"/>
      <c r="F299" s="188"/>
      <c r="G299" s="188"/>
      <c r="H299" s="188"/>
      <c r="I299" s="188"/>
    </row>
    <row r="300" spans="1:9" ht="15" hidden="1" x14ac:dyDescent="0.2">
      <c r="A300" s="121"/>
      <c r="B300" s="121" t="s">
        <v>65</v>
      </c>
      <c r="C300" s="117" t="s">
        <v>46</v>
      </c>
      <c r="D300" s="121" t="s">
        <v>21</v>
      </c>
      <c r="E300" s="121" t="s">
        <v>37</v>
      </c>
      <c r="F300" s="118" t="s">
        <v>26</v>
      </c>
      <c r="G300" s="117" t="s">
        <v>61</v>
      </c>
      <c r="H300" s="117" t="s">
        <v>79</v>
      </c>
      <c r="I300" s="117" t="s">
        <v>50</v>
      </c>
    </row>
    <row r="301" spans="1:9" x14ac:dyDescent="0.2">
      <c r="A301" s="386" t="s">
        <v>2007</v>
      </c>
      <c r="B301" s="386" t="s">
        <v>2490</v>
      </c>
      <c r="C301" s="387" t="s">
        <v>2491</v>
      </c>
      <c r="D301" s="386" t="s">
        <v>10</v>
      </c>
      <c r="E301" s="386" t="s">
        <v>990</v>
      </c>
      <c r="F301" s="388" t="s">
        <v>48</v>
      </c>
      <c r="G301" s="387">
        <v>1</v>
      </c>
      <c r="H301" s="387" t="s">
        <v>2492</v>
      </c>
      <c r="I301" s="387" t="s">
        <v>2492</v>
      </c>
    </row>
    <row r="302" spans="1:9" hidden="1" x14ac:dyDescent="0.2">
      <c r="A302" s="389" t="s">
        <v>2011</v>
      </c>
      <c r="B302" s="389"/>
      <c r="C302" s="390" t="s">
        <v>2034</v>
      </c>
      <c r="D302" s="389" t="s">
        <v>36</v>
      </c>
      <c r="E302" s="389" t="s">
        <v>2035</v>
      </c>
      <c r="F302" s="391" t="s">
        <v>2018</v>
      </c>
      <c r="G302" s="390" t="s">
        <v>2493</v>
      </c>
      <c r="H302" s="390" t="s">
        <v>2037</v>
      </c>
      <c r="I302" s="392">
        <v>6.58</v>
      </c>
    </row>
    <row r="303" spans="1:9" hidden="1" x14ac:dyDescent="0.2">
      <c r="A303" s="389" t="s">
        <v>2011</v>
      </c>
      <c r="B303" s="389"/>
      <c r="C303" s="390" t="s">
        <v>2067</v>
      </c>
      <c r="D303" s="389" t="s">
        <v>36</v>
      </c>
      <c r="E303" s="389" t="s">
        <v>2068</v>
      </c>
      <c r="F303" s="391" t="s">
        <v>2018</v>
      </c>
      <c r="G303" s="390" t="s">
        <v>2493</v>
      </c>
      <c r="H303" s="390" t="s">
        <v>2070</v>
      </c>
      <c r="I303" s="392">
        <v>8.2799999999999994</v>
      </c>
    </row>
    <row r="304" spans="1:9" hidden="1" x14ac:dyDescent="0.2">
      <c r="A304" s="393" t="s">
        <v>2024</v>
      </c>
      <c r="B304" s="393"/>
      <c r="C304" s="394" t="s">
        <v>2455</v>
      </c>
      <c r="D304" s="393" t="s">
        <v>36</v>
      </c>
      <c r="E304" s="393" t="s">
        <v>2456</v>
      </c>
      <c r="F304" s="395" t="s">
        <v>48</v>
      </c>
      <c r="G304" s="394" t="s">
        <v>2026</v>
      </c>
      <c r="H304" s="394" t="s">
        <v>2457</v>
      </c>
      <c r="I304" s="396">
        <v>0.91</v>
      </c>
    </row>
    <row r="305" spans="1:9" hidden="1" x14ac:dyDescent="0.2">
      <c r="A305" s="393" t="s">
        <v>2024</v>
      </c>
      <c r="B305" s="393"/>
      <c r="C305" s="394" t="s">
        <v>2443</v>
      </c>
      <c r="D305" s="393" t="s">
        <v>36</v>
      </c>
      <c r="E305" s="393" t="s">
        <v>2444</v>
      </c>
      <c r="F305" s="395" t="s">
        <v>48</v>
      </c>
      <c r="G305" s="394" t="s">
        <v>2026</v>
      </c>
      <c r="H305" s="394" t="s">
        <v>2445</v>
      </c>
      <c r="I305" s="396">
        <v>1.62</v>
      </c>
    </row>
    <row r="306" spans="1:9" ht="22.5" hidden="1" x14ac:dyDescent="0.2">
      <c r="A306" s="393" t="s">
        <v>2024</v>
      </c>
      <c r="B306" s="393"/>
      <c r="C306" s="394" t="s">
        <v>2449</v>
      </c>
      <c r="D306" s="393" t="s">
        <v>36</v>
      </c>
      <c r="E306" s="393" t="s">
        <v>2450</v>
      </c>
      <c r="F306" s="395" t="s">
        <v>48</v>
      </c>
      <c r="G306" s="394" t="s">
        <v>2494</v>
      </c>
      <c r="H306" s="394" t="s">
        <v>2451</v>
      </c>
      <c r="I306" s="396">
        <v>1.01</v>
      </c>
    </row>
    <row r="307" spans="1:9" hidden="1" x14ac:dyDescent="0.2">
      <c r="A307" s="393" t="s">
        <v>2024</v>
      </c>
      <c r="B307" s="393"/>
      <c r="C307" s="394" t="s">
        <v>2495</v>
      </c>
      <c r="D307" s="393" t="s">
        <v>36</v>
      </c>
      <c r="E307" s="393" t="s">
        <v>2496</v>
      </c>
      <c r="F307" s="395" t="s">
        <v>48</v>
      </c>
      <c r="G307" s="394" t="s">
        <v>2026</v>
      </c>
      <c r="H307" s="394" t="s">
        <v>2497</v>
      </c>
      <c r="I307" s="396">
        <v>9.9499999999999993</v>
      </c>
    </row>
    <row r="308" spans="1:9" ht="15" hidden="1" thickTop="1" x14ac:dyDescent="0.2">
      <c r="A308" s="188"/>
      <c r="B308" s="188"/>
      <c r="C308" s="188"/>
      <c r="D308" s="188"/>
      <c r="E308" s="188"/>
      <c r="F308" s="188"/>
      <c r="G308" s="188"/>
      <c r="H308" s="188"/>
      <c r="I308" s="188"/>
    </row>
    <row r="309" spans="1:9" ht="15" hidden="1" x14ac:dyDescent="0.2">
      <c r="A309" s="121"/>
      <c r="B309" s="121" t="s">
        <v>65</v>
      </c>
      <c r="C309" s="117" t="s">
        <v>46</v>
      </c>
      <c r="D309" s="121" t="s">
        <v>21</v>
      </c>
      <c r="E309" s="121" t="s">
        <v>37</v>
      </c>
      <c r="F309" s="118" t="s">
        <v>26</v>
      </c>
      <c r="G309" s="117" t="s">
        <v>61</v>
      </c>
      <c r="H309" s="117" t="s">
        <v>79</v>
      </c>
      <c r="I309" s="117" t="s">
        <v>50</v>
      </c>
    </row>
    <row r="310" spans="1:9" x14ac:dyDescent="0.2">
      <c r="A310" s="386" t="s">
        <v>2007</v>
      </c>
      <c r="B310" s="386" t="s">
        <v>2498</v>
      </c>
      <c r="C310" s="387" t="s">
        <v>2499</v>
      </c>
      <c r="D310" s="386" t="s">
        <v>10</v>
      </c>
      <c r="E310" s="386" t="s">
        <v>995</v>
      </c>
      <c r="F310" s="388" t="s">
        <v>48</v>
      </c>
      <c r="G310" s="387">
        <v>1</v>
      </c>
      <c r="H310" s="387" t="s">
        <v>2500</v>
      </c>
      <c r="I310" s="387" t="s">
        <v>2500</v>
      </c>
    </row>
    <row r="311" spans="1:9" hidden="1" x14ac:dyDescent="0.2">
      <c r="A311" s="389" t="s">
        <v>2011</v>
      </c>
      <c r="B311" s="389"/>
      <c r="C311" s="390" t="s">
        <v>2030</v>
      </c>
      <c r="D311" s="389" t="s">
        <v>36</v>
      </c>
      <c r="E311" s="389" t="s">
        <v>2031</v>
      </c>
      <c r="F311" s="391" t="s">
        <v>2018</v>
      </c>
      <c r="G311" s="390" t="s">
        <v>2119</v>
      </c>
      <c r="H311" s="390" t="s">
        <v>2033</v>
      </c>
      <c r="I311" s="392">
        <v>52.8</v>
      </c>
    </row>
    <row r="312" spans="1:9" hidden="1" x14ac:dyDescent="0.2">
      <c r="A312" s="389" t="s">
        <v>2011</v>
      </c>
      <c r="B312" s="389"/>
      <c r="C312" s="390" t="s">
        <v>2034</v>
      </c>
      <c r="D312" s="389" t="s">
        <v>36</v>
      </c>
      <c r="E312" s="389" t="s">
        <v>2035</v>
      </c>
      <c r="F312" s="391" t="s">
        <v>2018</v>
      </c>
      <c r="G312" s="390" t="s">
        <v>2119</v>
      </c>
      <c r="H312" s="390" t="s">
        <v>2037</v>
      </c>
      <c r="I312" s="392">
        <v>42.93</v>
      </c>
    </row>
    <row r="313" spans="1:9" hidden="1" x14ac:dyDescent="0.2">
      <c r="A313" s="389" t="s">
        <v>2011</v>
      </c>
      <c r="B313" s="389"/>
      <c r="C313" s="390" t="s">
        <v>2501</v>
      </c>
      <c r="D313" s="389" t="s">
        <v>36</v>
      </c>
      <c r="E313" s="389" t="s">
        <v>2502</v>
      </c>
      <c r="F313" s="391" t="s">
        <v>24</v>
      </c>
      <c r="G313" s="390" t="s">
        <v>2503</v>
      </c>
      <c r="H313" s="390" t="s">
        <v>2504</v>
      </c>
      <c r="I313" s="392">
        <v>12.28</v>
      </c>
    </row>
    <row r="314" spans="1:9" ht="22.5" hidden="1" x14ac:dyDescent="0.2">
      <c r="A314" s="389" t="s">
        <v>2011</v>
      </c>
      <c r="B314" s="389"/>
      <c r="C314" s="390" t="s">
        <v>2505</v>
      </c>
      <c r="D314" s="389" t="s">
        <v>36</v>
      </c>
      <c r="E314" s="389" t="s">
        <v>2506</v>
      </c>
      <c r="F314" s="391" t="s">
        <v>25</v>
      </c>
      <c r="G314" s="390" t="s">
        <v>2365</v>
      </c>
      <c r="H314" s="390" t="s">
        <v>2507</v>
      </c>
      <c r="I314" s="392">
        <v>1.1599999999999999</v>
      </c>
    </row>
    <row r="315" spans="1:9" ht="22.5" hidden="1" x14ac:dyDescent="0.2">
      <c r="A315" s="389" t="s">
        <v>2011</v>
      </c>
      <c r="B315" s="389"/>
      <c r="C315" s="390" t="s">
        <v>2508</v>
      </c>
      <c r="D315" s="389" t="s">
        <v>36</v>
      </c>
      <c r="E315" s="389" t="s">
        <v>2509</v>
      </c>
      <c r="F315" s="391" t="s">
        <v>25</v>
      </c>
      <c r="G315" s="390" t="s">
        <v>2203</v>
      </c>
      <c r="H315" s="390" t="s">
        <v>2510</v>
      </c>
      <c r="I315" s="392">
        <v>89.55</v>
      </c>
    </row>
    <row r="316" spans="1:9" hidden="1" x14ac:dyDescent="0.2">
      <c r="A316" s="393" t="s">
        <v>2024</v>
      </c>
      <c r="B316" s="393"/>
      <c r="C316" s="394" t="s">
        <v>2511</v>
      </c>
      <c r="D316" s="393" t="s">
        <v>36</v>
      </c>
      <c r="E316" s="393" t="s">
        <v>2512</v>
      </c>
      <c r="F316" s="395" t="s">
        <v>48</v>
      </c>
      <c r="G316" s="394" t="s">
        <v>2119</v>
      </c>
      <c r="H316" s="394" t="s">
        <v>2513</v>
      </c>
      <c r="I316" s="396">
        <v>122.52</v>
      </c>
    </row>
    <row r="317" spans="1:9" hidden="1" x14ac:dyDescent="0.2">
      <c r="A317" s="393" t="s">
        <v>2024</v>
      </c>
      <c r="B317" s="393"/>
      <c r="C317" s="394" t="s">
        <v>2514</v>
      </c>
      <c r="D317" s="393" t="s">
        <v>36</v>
      </c>
      <c r="E317" s="393" t="s">
        <v>2515</v>
      </c>
      <c r="F317" s="395" t="s">
        <v>48</v>
      </c>
      <c r="G317" s="394" t="s">
        <v>2395</v>
      </c>
      <c r="H317" s="394" t="s">
        <v>2516</v>
      </c>
      <c r="I317" s="396">
        <v>30.76</v>
      </c>
    </row>
    <row r="318" spans="1:9" ht="15" hidden="1" thickTop="1" x14ac:dyDescent="0.2">
      <c r="A318" s="188"/>
      <c r="B318" s="188"/>
      <c r="C318" s="188"/>
      <c r="D318" s="188"/>
      <c r="E318" s="188"/>
      <c r="F318" s="188"/>
      <c r="G318" s="188"/>
      <c r="H318" s="188"/>
      <c r="I318" s="188"/>
    </row>
    <row r="319" spans="1:9" ht="15" hidden="1" x14ac:dyDescent="0.2">
      <c r="A319" s="121"/>
      <c r="B319" s="121" t="s">
        <v>65</v>
      </c>
      <c r="C319" s="117" t="s">
        <v>46</v>
      </c>
      <c r="D319" s="121" t="s">
        <v>21</v>
      </c>
      <c r="E319" s="121" t="s">
        <v>37</v>
      </c>
      <c r="F319" s="118" t="s">
        <v>26</v>
      </c>
      <c r="G319" s="117" t="s">
        <v>61</v>
      </c>
      <c r="H319" s="117" t="s">
        <v>79</v>
      </c>
      <c r="I319" s="117" t="s">
        <v>50</v>
      </c>
    </row>
    <row r="320" spans="1:9" x14ac:dyDescent="0.2">
      <c r="A320" s="386" t="s">
        <v>2007</v>
      </c>
      <c r="B320" s="386" t="s">
        <v>2517</v>
      </c>
      <c r="C320" s="387" t="s">
        <v>2518</v>
      </c>
      <c r="D320" s="386" t="s">
        <v>10</v>
      </c>
      <c r="E320" s="386" t="s">
        <v>997</v>
      </c>
      <c r="F320" s="388" t="s">
        <v>48</v>
      </c>
      <c r="G320" s="387">
        <v>1</v>
      </c>
      <c r="H320" s="387" t="s">
        <v>2519</v>
      </c>
      <c r="I320" s="387" t="s">
        <v>2519</v>
      </c>
    </row>
    <row r="321" spans="1:9" hidden="1" x14ac:dyDescent="0.2">
      <c r="A321" s="389" t="s">
        <v>2011</v>
      </c>
      <c r="B321" s="389"/>
      <c r="C321" s="390" t="s">
        <v>2030</v>
      </c>
      <c r="D321" s="389" t="s">
        <v>36</v>
      </c>
      <c r="E321" s="389" t="s">
        <v>2031</v>
      </c>
      <c r="F321" s="391" t="s">
        <v>2018</v>
      </c>
      <c r="G321" s="390" t="s">
        <v>2119</v>
      </c>
      <c r="H321" s="390" t="s">
        <v>2033</v>
      </c>
      <c r="I321" s="392">
        <v>52.8</v>
      </c>
    </row>
    <row r="322" spans="1:9" hidden="1" x14ac:dyDescent="0.2">
      <c r="A322" s="389" t="s">
        <v>2011</v>
      </c>
      <c r="B322" s="389"/>
      <c r="C322" s="390" t="s">
        <v>2034</v>
      </c>
      <c r="D322" s="389" t="s">
        <v>36</v>
      </c>
      <c r="E322" s="389" t="s">
        <v>2035</v>
      </c>
      <c r="F322" s="391" t="s">
        <v>2018</v>
      </c>
      <c r="G322" s="390" t="s">
        <v>2119</v>
      </c>
      <c r="H322" s="390" t="s">
        <v>2037</v>
      </c>
      <c r="I322" s="392">
        <v>42.93</v>
      </c>
    </row>
    <row r="323" spans="1:9" hidden="1" x14ac:dyDescent="0.2">
      <c r="A323" s="389" t="s">
        <v>2011</v>
      </c>
      <c r="B323" s="389"/>
      <c r="C323" s="390" t="s">
        <v>2501</v>
      </c>
      <c r="D323" s="389" t="s">
        <v>36</v>
      </c>
      <c r="E323" s="389" t="s">
        <v>2502</v>
      </c>
      <c r="F323" s="391" t="s">
        <v>24</v>
      </c>
      <c r="G323" s="390" t="s">
        <v>2503</v>
      </c>
      <c r="H323" s="390" t="s">
        <v>2504</v>
      </c>
      <c r="I323" s="392">
        <v>12.28</v>
      </c>
    </row>
    <row r="324" spans="1:9" ht="22.5" hidden="1" x14ac:dyDescent="0.2">
      <c r="A324" s="389" t="s">
        <v>2011</v>
      </c>
      <c r="B324" s="389"/>
      <c r="C324" s="390" t="s">
        <v>2505</v>
      </c>
      <c r="D324" s="389" t="s">
        <v>36</v>
      </c>
      <c r="E324" s="389" t="s">
        <v>2506</v>
      </c>
      <c r="F324" s="391" t="s">
        <v>25</v>
      </c>
      <c r="G324" s="390" t="s">
        <v>2365</v>
      </c>
      <c r="H324" s="390" t="s">
        <v>2507</v>
      </c>
      <c r="I324" s="392">
        <v>1.1599999999999999</v>
      </c>
    </row>
    <row r="325" spans="1:9" ht="22.5" hidden="1" x14ac:dyDescent="0.2">
      <c r="A325" s="389" t="s">
        <v>2011</v>
      </c>
      <c r="B325" s="389"/>
      <c r="C325" s="390" t="s">
        <v>2508</v>
      </c>
      <c r="D325" s="389" t="s">
        <v>36</v>
      </c>
      <c r="E325" s="389" t="s">
        <v>2509</v>
      </c>
      <c r="F325" s="391" t="s">
        <v>25</v>
      </c>
      <c r="G325" s="390" t="s">
        <v>2203</v>
      </c>
      <c r="H325" s="390" t="s">
        <v>2510</v>
      </c>
      <c r="I325" s="392">
        <v>89.55</v>
      </c>
    </row>
    <row r="326" spans="1:9" hidden="1" x14ac:dyDescent="0.2">
      <c r="A326" s="393" t="s">
        <v>2024</v>
      </c>
      <c r="B326" s="393"/>
      <c r="C326" s="394" t="s">
        <v>2520</v>
      </c>
      <c r="D326" s="393" t="s">
        <v>36</v>
      </c>
      <c r="E326" s="393" t="s">
        <v>2521</v>
      </c>
      <c r="F326" s="395" t="s">
        <v>48</v>
      </c>
      <c r="G326" s="394" t="s">
        <v>2119</v>
      </c>
      <c r="H326" s="394" t="s">
        <v>2522</v>
      </c>
      <c r="I326" s="396">
        <v>199.92</v>
      </c>
    </row>
    <row r="327" spans="1:9" ht="15" hidden="1" thickTop="1" x14ac:dyDescent="0.2">
      <c r="A327" s="188"/>
      <c r="B327" s="188"/>
      <c r="C327" s="188"/>
      <c r="D327" s="188"/>
      <c r="E327" s="188"/>
      <c r="F327" s="188"/>
      <c r="G327" s="188"/>
      <c r="H327" s="188"/>
      <c r="I327" s="188"/>
    </row>
    <row r="328" spans="1:9" ht="15" hidden="1" x14ac:dyDescent="0.2">
      <c r="A328" s="121"/>
      <c r="B328" s="121" t="s">
        <v>65</v>
      </c>
      <c r="C328" s="117" t="s">
        <v>46</v>
      </c>
      <c r="D328" s="121" t="s">
        <v>21</v>
      </c>
      <c r="E328" s="121" t="s">
        <v>37</v>
      </c>
      <c r="F328" s="118" t="s">
        <v>26</v>
      </c>
      <c r="G328" s="117" t="s">
        <v>61</v>
      </c>
      <c r="H328" s="117" t="s">
        <v>79</v>
      </c>
      <c r="I328" s="117" t="s">
        <v>50</v>
      </c>
    </row>
    <row r="329" spans="1:9" x14ac:dyDescent="0.2">
      <c r="A329" s="386" t="s">
        <v>2007</v>
      </c>
      <c r="B329" s="386" t="s">
        <v>2523</v>
      </c>
      <c r="C329" s="387" t="s">
        <v>2524</v>
      </c>
      <c r="D329" s="386" t="s">
        <v>10</v>
      </c>
      <c r="E329" s="386" t="s">
        <v>1005</v>
      </c>
      <c r="F329" s="388" t="s">
        <v>48</v>
      </c>
      <c r="G329" s="387">
        <v>1</v>
      </c>
      <c r="H329" s="387" t="s">
        <v>2525</v>
      </c>
      <c r="I329" s="387" t="s">
        <v>2525</v>
      </c>
    </row>
    <row r="330" spans="1:9" hidden="1" x14ac:dyDescent="0.2">
      <c r="A330" s="389" t="s">
        <v>2011</v>
      </c>
      <c r="B330" s="389"/>
      <c r="C330" s="390" t="s">
        <v>2067</v>
      </c>
      <c r="D330" s="389" t="s">
        <v>36</v>
      </c>
      <c r="E330" s="389" t="s">
        <v>2068</v>
      </c>
      <c r="F330" s="391" t="s">
        <v>2018</v>
      </c>
      <c r="G330" s="390" t="s">
        <v>2436</v>
      </c>
      <c r="H330" s="390" t="s">
        <v>2070</v>
      </c>
      <c r="I330" s="392">
        <v>9.01</v>
      </c>
    </row>
    <row r="331" spans="1:9" hidden="1" x14ac:dyDescent="0.2">
      <c r="A331" s="389" t="s">
        <v>2011</v>
      </c>
      <c r="B331" s="389"/>
      <c r="C331" s="390" t="s">
        <v>2034</v>
      </c>
      <c r="D331" s="389" t="s">
        <v>36</v>
      </c>
      <c r="E331" s="389" t="s">
        <v>2035</v>
      </c>
      <c r="F331" s="391" t="s">
        <v>2018</v>
      </c>
      <c r="G331" s="390" t="s">
        <v>2436</v>
      </c>
      <c r="H331" s="390" t="s">
        <v>2037</v>
      </c>
      <c r="I331" s="392">
        <v>7.15</v>
      </c>
    </row>
    <row r="332" spans="1:9" hidden="1" x14ac:dyDescent="0.2">
      <c r="A332" s="393" t="s">
        <v>2024</v>
      </c>
      <c r="B332" s="393"/>
      <c r="C332" s="394" t="s">
        <v>2526</v>
      </c>
      <c r="D332" s="393" t="s">
        <v>36</v>
      </c>
      <c r="E332" s="393" t="s">
        <v>2527</v>
      </c>
      <c r="F332" s="395" t="s">
        <v>48</v>
      </c>
      <c r="G332" s="394" t="s">
        <v>2026</v>
      </c>
      <c r="H332" s="394" t="s">
        <v>2528</v>
      </c>
      <c r="I332" s="396">
        <v>15.4</v>
      </c>
    </row>
    <row r="333" spans="1:9" ht="15" hidden="1" thickTop="1" x14ac:dyDescent="0.2">
      <c r="A333" s="188"/>
      <c r="B333" s="188"/>
      <c r="C333" s="188"/>
      <c r="D333" s="188"/>
      <c r="E333" s="188"/>
      <c r="F333" s="188"/>
      <c r="G333" s="188"/>
      <c r="H333" s="188"/>
      <c r="I333" s="188"/>
    </row>
    <row r="334" spans="1:9" ht="15" hidden="1" x14ac:dyDescent="0.2">
      <c r="A334" s="121"/>
      <c r="B334" s="121" t="s">
        <v>65</v>
      </c>
      <c r="C334" s="117" t="s">
        <v>46</v>
      </c>
      <c r="D334" s="121" t="s">
        <v>21</v>
      </c>
      <c r="E334" s="121" t="s">
        <v>37</v>
      </c>
      <c r="F334" s="118" t="s">
        <v>26</v>
      </c>
      <c r="G334" s="117" t="s">
        <v>61</v>
      </c>
      <c r="H334" s="117" t="s">
        <v>79</v>
      </c>
      <c r="I334" s="117" t="s">
        <v>50</v>
      </c>
    </row>
    <row r="335" spans="1:9" ht="22.5" x14ac:dyDescent="0.2">
      <c r="A335" s="386" t="s">
        <v>2007</v>
      </c>
      <c r="B335" s="386" t="s">
        <v>2529</v>
      </c>
      <c r="C335" s="387" t="s">
        <v>2530</v>
      </c>
      <c r="D335" s="386" t="s">
        <v>10</v>
      </c>
      <c r="E335" s="386" t="s">
        <v>1007</v>
      </c>
      <c r="F335" s="388" t="s">
        <v>48</v>
      </c>
      <c r="G335" s="387">
        <v>1</v>
      </c>
      <c r="H335" s="387" t="s">
        <v>2531</v>
      </c>
      <c r="I335" s="387" t="s">
        <v>2531</v>
      </c>
    </row>
    <row r="336" spans="1:9" hidden="1" x14ac:dyDescent="0.2">
      <c r="A336" s="389" t="s">
        <v>2011</v>
      </c>
      <c r="B336" s="389"/>
      <c r="C336" s="390" t="s">
        <v>2067</v>
      </c>
      <c r="D336" s="389" t="s">
        <v>36</v>
      </c>
      <c r="E336" s="389" t="s">
        <v>2068</v>
      </c>
      <c r="F336" s="391" t="s">
        <v>2018</v>
      </c>
      <c r="G336" s="390" t="s">
        <v>2364</v>
      </c>
      <c r="H336" s="390" t="s">
        <v>2070</v>
      </c>
      <c r="I336" s="392">
        <v>4.5</v>
      </c>
    </row>
    <row r="337" spans="1:9" hidden="1" x14ac:dyDescent="0.2">
      <c r="A337" s="389" t="s">
        <v>2011</v>
      </c>
      <c r="B337" s="389"/>
      <c r="C337" s="390" t="s">
        <v>2063</v>
      </c>
      <c r="D337" s="389" t="s">
        <v>36</v>
      </c>
      <c r="E337" s="389" t="s">
        <v>2064</v>
      </c>
      <c r="F337" s="391" t="s">
        <v>2018</v>
      </c>
      <c r="G337" s="390" t="s">
        <v>2364</v>
      </c>
      <c r="H337" s="390" t="s">
        <v>2066</v>
      </c>
      <c r="I337" s="392">
        <v>3.53</v>
      </c>
    </row>
    <row r="338" spans="1:9" hidden="1" x14ac:dyDescent="0.2">
      <c r="A338" s="393" t="s">
        <v>2024</v>
      </c>
      <c r="B338" s="393"/>
      <c r="C338" s="394" t="s">
        <v>2443</v>
      </c>
      <c r="D338" s="393" t="s">
        <v>36</v>
      </c>
      <c r="E338" s="393" t="s">
        <v>2444</v>
      </c>
      <c r="F338" s="395" t="s">
        <v>48</v>
      </c>
      <c r="G338" s="394" t="s">
        <v>2026</v>
      </c>
      <c r="H338" s="394" t="s">
        <v>2445</v>
      </c>
      <c r="I338" s="396">
        <v>1.62</v>
      </c>
    </row>
    <row r="339" spans="1:9" hidden="1" x14ac:dyDescent="0.2">
      <c r="A339" s="393" t="s">
        <v>2024</v>
      </c>
      <c r="B339" s="393"/>
      <c r="C339" s="394" t="s">
        <v>2532</v>
      </c>
      <c r="D339" s="393" t="s">
        <v>36</v>
      </c>
      <c r="E339" s="393" t="s">
        <v>2533</v>
      </c>
      <c r="F339" s="395" t="s">
        <v>48</v>
      </c>
      <c r="G339" s="394" t="s">
        <v>2026</v>
      </c>
      <c r="H339" s="394" t="s">
        <v>2534</v>
      </c>
      <c r="I339" s="396">
        <v>14.32</v>
      </c>
    </row>
    <row r="340" spans="1:9" ht="22.5" hidden="1" x14ac:dyDescent="0.2">
      <c r="A340" s="393" t="s">
        <v>2024</v>
      </c>
      <c r="B340" s="393"/>
      <c r="C340" s="394" t="s">
        <v>2449</v>
      </c>
      <c r="D340" s="393" t="s">
        <v>36</v>
      </c>
      <c r="E340" s="393" t="s">
        <v>2450</v>
      </c>
      <c r="F340" s="395" t="s">
        <v>48</v>
      </c>
      <c r="G340" s="394" t="s">
        <v>2384</v>
      </c>
      <c r="H340" s="394" t="s">
        <v>2451</v>
      </c>
      <c r="I340" s="396">
        <v>0.83</v>
      </c>
    </row>
    <row r="341" spans="1:9" ht="15" hidden="1" thickTop="1" x14ac:dyDescent="0.2">
      <c r="A341" s="188"/>
      <c r="B341" s="188"/>
      <c r="C341" s="188"/>
      <c r="D341" s="188"/>
      <c r="E341" s="188"/>
      <c r="F341" s="188"/>
      <c r="G341" s="188"/>
      <c r="H341" s="188"/>
      <c r="I341" s="188"/>
    </row>
    <row r="342" spans="1:9" ht="15" hidden="1" x14ac:dyDescent="0.2">
      <c r="A342" s="121"/>
      <c r="B342" s="121" t="s">
        <v>65</v>
      </c>
      <c r="C342" s="117" t="s">
        <v>46</v>
      </c>
      <c r="D342" s="121" t="s">
        <v>21</v>
      </c>
      <c r="E342" s="121" t="s">
        <v>37</v>
      </c>
      <c r="F342" s="118" t="s">
        <v>26</v>
      </c>
      <c r="G342" s="117" t="s">
        <v>61</v>
      </c>
      <c r="H342" s="117" t="s">
        <v>79</v>
      </c>
      <c r="I342" s="117" t="s">
        <v>50</v>
      </c>
    </row>
    <row r="343" spans="1:9" x14ac:dyDescent="0.2">
      <c r="A343" s="386" t="s">
        <v>2007</v>
      </c>
      <c r="B343" s="386" t="s">
        <v>2535</v>
      </c>
      <c r="C343" s="387" t="s">
        <v>2536</v>
      </c>
      <c r="D343" s="386" t="s">
        <v>10</v>
      </c>
      <c r="E343" s="386" t="s">
        <v>1009</v>
      </c>
      <c r="F343" s="388" t="s">
        <v>48</v>
      </c>
      <c r="G343" s="387">
        <v>1</v>
      </c>
      <c r="H343" s="387" t="s">
        <v>2537</v>
      </c>
      <c r="I343" s="387" t="s">
        <v>2537</v>
      </c>
    </row>
    <row r="344" spans="1:9" hidden="1" x14ac:dyDescent="0.2">
      <c r="A344" s="389" t="s">
        <v>2011</v>
      </c>
      <c r="B344" s="389"/>
      <c r="C344" s="390" t="s">
        <v>2067</v>
      </c>
      <c r="D344" s="389" t="s">
        <v>36</v>
      </c>
      <c r="E344" s="389" t="s">
        <v>2068</v>
      </c>
      <c r="F344" s="391" t="s">
        <v>2018</v>
      </c>
      <c r="G344" s="390" t="s">
        <v>2432</v>
      </c>
      <c r="H344" s="390" t="s">
        <v>2070</v>
      </c>
      <c r="I344" s="392">
        <v>9.5500000000000007</v>
      </c>
    </row>
    <row r="345" spans="1:9" hidden="1" x14ac:dyDescent="0.2">
      <c r="A345" s="389" t="s">
        <v>2011</v>
      </c>
      <c r="B345" s="389"/>
      <c r="C345" s="390" t="s">
        <v>2063</v>
      </c>
      <c r="D345" s="389" t="s">
        <v>36</v>
      </c>
      <c r="E345" s="389" t="s">
        <v>2064</v>
      </c>
      <c r="F345" s="391" t="s">
        <v>2018</v>
      </c>
      <c r="G345" s="390" t="s">
        <v>2432</v>
      </c>
      <c r="H345" s="390" t="s">
        <v>2066</v>
      </c>
      <c r="I345" s="392">
        <v>7.48</v>
      </c>
    </row>
    <row r="346" spans="1:9" hidden="1" x14ac:dyDescent="0.2">
      <c r="A346" s="393" t="s">
        <v>2024</v>
      </c>
      <c r="B346" s="393"/>
      <c r="C346" s="394" t="s">
        <v>2538</v>
      </c>
      <c r="D346" s="393" t="s">
        <v>36</v>
      </c>
      <c r="E346" s="393" t="s">
        <v>2539</v>
      </c>
      <c r="F346" s="395" t="s">
        <v>48</v>
      </c>
      <c r="G346" s="394" t="s">
        <v>2026</v>
      </c>
      <c r="H346" s="394" t="s">
        <v>2540</v>
      </c>
      <c r="I346" s="396">
        <v>5.75</v>
      </c>
    </row>
    <row r="347" spans="1:9" ht="22.5" hidden="1" x14ac:dyDescent="0.2">
      <c r="A347" s="393" t="s">
        <v>2024</v>
      </c>
      <c r="B347" s="393"/>
      <c r="C347" s="394" t="s">
        <v>2449</v>
      </c>
      <c r="D347" s="393" t="s">
        <v>36</v>
      </c>
      <c r="E347" s="393" t="s">
        <v>2450</v>
      </c>
      <c r="F347" s="395" t="s">
        <v>48</v>
      </c>
      <c r="G347" s="394" t="s">
        <v>2541</v>
      </c>
      <c r="H347" s="394" t="s">
        <v>2451</v>
      </c>
      <c r="I347" s="396">
        <v>1.25</v>
      </c>
    </row>
    <row r="348" spans="1:9" hidden="1" x14ac:dyDescent="0.2">
      <c r="A348" s="393" t="s">
        <v>2024</v>
      </c>
      <c r="B348" s="393"/>
      <c r="C348" s="394" t="s">
        <v>2542</v>
      </c>
      <c r="D348" s="393" t="s">
        <v>36</v>
      </c>
      <c r="E348" s="393" t="s">
        <v>2543</v>
      </c>
      <c r="F348" s="395" t="s">
        <v>48</v>
      </c>
      <c r="G348" s="394" t="s">
        <v>2026</v>
      </c>
      <c r="H348" s="394" t="s">
        <v>2544</v>
      </c>
      <c r="I348" s="396">
        <v>88.35</v>
      </c>
    </row>
    <row r="349" spans="1:9" ht="15" hidden="1" thickTop="1" x14ac:dyDescent="0.2">
      <c r="A349" s="188"/>
      <c r="B349" s="188"/>
      <c r="C349" s="188"/>
      <c r="D349" s="188"/>
      <c r="E349" s="188"/>
      <c r="F349" s="188"/>
      <c r="G349" s="188"/>
      <c r="H349" s="188"/>
      <c r="I349" s="188"/>
    </row>
    <row r="350" spans="1:9" ht="15" hidden="1" x14ac:dyDescent="0.2">
      <c r="A350" s="121"/>
      <c r="B350" s="121" t="s">
        <v>65</v>
      </c>
      <c r="C350" s="117" t="s">
        <v>46</v>
      </c>
      <c r="D350" s="121" t="s">
        <v>21</v>
      </c>
      <c r="E350" s="121" t="s">
        <v>37</v>
      </c>
      <c r="F350" s="118" t="s">
        <v>26</v>
      </c>
      <c r="G350" s="117" t="s">
        <v>61</v>
      </c>
      <c r="H350" s="117" t="s">
        <v>79</v>
      </c>
      <c r="I350" s="117" t="s">
        <v>50</v>
      </c>
    </row>
    <row r="351" spans="1:9" ht="22.5" x14ac:dyDescent="0.2">
      <c r="A351" s="386" t="s">
        <v>2007</v>
      </c>
      <c r="B351" s="386" t="s">
        <v>2545</v>
      </c>
      <c r="C351" s="387" t="s">
        <v>2546</v>
      </c>
      <c r="D351" s="386" t="s">
        <v>10</v>
      </c>
      <c r="E351" s="386" t="s">
        <v>1011</v>
      </c>
      <c r="F351" s="388" t="s">
        <v>48</v>
      </c>
      <c r="G351" s="387">
        <v>1</v>
      </c>
      <c r="H351" s="387" t="s">
        <v>2547</v>
      </c>
      <c r="I351" s="387" t="s">
        <v>2547</v>
      </c>
    </row>
    <row r="352" spans="1:9" hidden="1" x14ac:dyDescent="0.2">
      <c r="A352" s="389" t="s">
        <v>2011</v>
      </c>
      <c r="B352" s="389"/>
      <c r="C352" s="390" t="s">
        <v>2067</v>
      </c>
      <c r="D352" s="389" t="s">
        <v>36</v>
      </c>
      <c r="E352" s="389" t="s">
        <v>2068</v>
      </c>
      <c r="F352" s="391" t="s">
        <v>2018</v>
      </c>
      <c r="G352" s="390" t="s">
        <v>2202</v>
      </c>
      <c r="H352" s="390" t="s">
        <v>2070</v>
      </c>
      <c r="I352" s="392">
        <v>3.42</v>
      </c>
    </row>
    <row r="353" spans="1:9" hidden="1" x14ac:dyDescent="0.2">
      <c r="A353" s="389" t="s">
        <v>2011</v>
      </c>
      <c r="B353" s="389"/>
      <c r="C353" s="390" t="s">
        <v>2063</v>
      </c>
      <c r="D353" s="389" t="s">
        <v>36</v>
      </c>
      <c r="E353" s="389" t="s">
        <v>2064</v>
      </c>
      <c r="F353" s="391" t="s">
        <v>2018</v>
      </c>
      <c r="G353" s="390" t="s">
        <v>2202</v>
      </c>
      <c r="H353" s="390" t="s">
        <v>2066</v>
      </c>
      <c r="I353" s="392">
        <v>2.68</v>
      </c>
    </row>
    <row r="354" spans="1:9" hidden="1" x14ac:dyDescent="0.2">
      <c r="A354" s="393" t="s">
        <v>2024</v>
      </c>
      <c r="B354" s="393"/>
      <c r="C354" s="394" t="s">
        <v>2548</v>
      </c>
      <c r="D354" s="393" t="s">
        <v>36</v>
      </c>
      <c r="E354" s="393" t="s">
        <v>2549</v>
      </c>
      <c r="F354" s="395" t="s">
        <v>48</v>
      </c>
      <c r="G354" s="394" t="s">
        <v>2026</v>
      </c>
      <c r="H354" s="394" t="s">
        <v>2550</v>
      </c>
      <c r="I354" s="396">
        <v>1.29</v>
      </c>
    </row>
    <row r="355" spans="1:9" ht="22.5" hidden="1" x14ac:dyDescent="0.2">
      <c r="A355" s="393" t="s">
        <v>2024</v>
      </c>
      <c r="B355" s="393"/>
      <c r="C355" s="394" t="s">
        <v>2449</v>
      </c>
      <c r="D355" s="393" t="s">
        <v>36</v>
      </c>
      <c r="E355" s="393" t="s">
        <v>2450</v>
      </c>
      <c r="F355" s="395" t="s">
        <v>48</v>
      </c>
      <c r="G355" s="394" t="s">
        <v>2551</v>
      </c>
      <c r="H355" s="394" t="s">
        <v>2451</v>
      </c>
      <c r="I355" s="396">
        <v>0.54</v>
      </c>
    </row>
    <row r="356" spans="1:9" hidden="1" x14ac:dyDescent="0.2">
      <c r="A356" s="393" t="s">
        <v>2024</v>
      </c>
      <c r="B356" s="393"/>
      <c r="C356" s="394" t="s">
        <v>2552</v>
      </c>
      <c r="D356" s="393" t="s">
        <v>36</v>
      </c>
      <c r="E356" s="393" t="s">
        <v>2553</v>
      </c>
      <c r="F356" s="395" t="s">
        <v>48</v>
      </c>
      <c r="G356" s="394" t="s">
        <v>2026</v>
      </c>
      <c r="H356" s="394" t="s">
        <v>2554</v>
      </c>
      <c r="I356" s="396">
        <v>10.46</v>
      </c>
    </row>
    <row r="357" spans="1:9" ht="15" hidden="1" thickTop="1" x14ac:dyDescent="0.2">
      <c r="A357" s="188"/>
      <c r="B357" s="188"/>
      <c r="C357" s="188"/>
      <c r="D357" s="188"/>
      <c r="E357" s="188"/>
      <c r="F357" s="188"/>
      <c r="G357" s="188"/>
      <c r="H357" s="188"/>
      <c r="I357" s="188"/>
    </row>
    <row r="358" spans="1:9" ht="15" hidden="1" x14ac:dyDescent="0.2">
      <c r="A358" s="121"/>
      <c r="B358" s="121" t="s">
        <v>65</v>
      </c>
      <c r="C358" s="117" t="s">
        <v>46</v>
      </c>
      <c r="D358" s="121" t="s">
        <v>21</v>
      </c>
      <c r="E358" s="121" t="s">
        <v>37</v>
      </c>
      <c r="F358" s="118" t="s">
        <v>26</v>
      </c>
      <c r="G358" s="117" t="s">
        <v>61</v>
      </c>
      <c r="H358" s="117" t="s">
        <v>79</v>
      </c>
      <c r="I358" s="117" t="s">
        <v>50</v>
      </c>
    </row>
    <row r="359" spans="1:9" x14ac:dyDescent="0.2">
      <c r="A359" s="386" t="s">
        <v>2007</v>
      </c>
      <c r="B359" s="386" t="s">
        <v>2555</v>
      </c>
      <c r="C359" s="387" t="s">
        <v>2556</v>
      </c>
      <c r="D359" s="386" t="s">
        <v>10</v>
      </c>
      <c r="E359" s="386" t="s">
        <v>587</v>
      </c>
      <c r="F359" s="388" t="s">
        <v>48</v>
      </c>
      <c r="G359" s="387">
        <v>1</v>
      </c>
      <c r="H359" s="387" t="s">
        <v>2557</v>
      </c>
      <c r="I359" s="387" t="s">
        <v>2557</v>
      </c>
    </row>
    <row r="360" spans="1:9" hidden="1" x14ac:dyDescent="0.2">
      <c r="A360" s="389" t="s">
        <v>2011</v>
      </c>
      <c r="B360" s="389"/>
      <c r="C360" s="390" t="s">
        <v>2558</v>
      </c>
      <c r="D360" s="389" t="s">
        <v>36</v>
      </c>
      <c r="E360" s="389" t="s">
        <v>2559</v>
      </c>
      <c r="F360" s="391" t="s">
        <v>2018</v>
      </c>
      <c r="G360" s="390" t="s">
        <v>2046</v>
      </c>
      <c r="H360" s="390" t="s">
        <v>2560</v>
      </c>
      <c r="I360" s="392">
        <v>5.67</v>
      </c>
    </row>
    <row r="361" spans="1:9" hidden="1" x14ac:dyDescent="0.2">
      <c r="A361" s="389" t="s">
        <v>2011</v>
      </c>
      <c r="B361" s="389"/>
      <c r="C361" s="390" t="s">
        <v>2106</v>
      </c>
      <c r="D361" s="389" t="s">
        <v>36</v>
      </c>
      <c r="E361" s="389" t="s">
        <v>2107</v>
      </c>
      <c r="F361" s="391" t="s">
        <v>2018</v>
      </c>
      <c r="G361" s="390" t="s">
        <v>2046</v>
      </c>
      <c r="H361" s="390" t="s">
        <v>2108</v>
      </c>
      <c r="I361" s="392">
        <v>7.28</v>
      </c>
    </row>
    <row r="362" spans="1:9" x14ac:dyDescent="0.2">
      <c r="A362" s="393" t="s">
        <v>2024</v>
      </c>
      <c r="B362" s="393"/>
      <c r="C362" s="394" t="s">
        <v>2561</v>
      </c>
      <c r="D362" s="393" t="s">
        <v>10</v>
      </c>
      <c r="E362" s="393" t="s">
        <v>2562</v>
      </c>
      <c r="F362" s="395" t="s">
        <v>168</v>
      </c>
      <c r="G362" s="394" t="s">
        <v>2026</v>
      </c>
      <c r="H362" s="394" t="s">
        <v>2563</v>
      </c>
      <c r="I362" s="396">
        <v>12.25</v>
      </c>
    </row>
    <row r="363" spans="1:9" ht="15" hidden="1" thickTop="1" x14ac:dyDescent="0.2">
      <c r="A363" s="188"/>
      <c r="B363" s="188"/>
      <c r="C363" s="188"/>
      <c r="D363" s="188"/>
      <c r="E363" s="188"/>
      <c r="F363" s="188"/>
      <c r="G363" s="188"/>
      <c r="H363" s="188"/>
      <c r="I363" s="188"/>
    </row>
    <row r="364" spans="1:9" ht="15" hidden="1" x14ac:dyDescent="0.2">
      <c r="A364" s="121"/>
      <c r="B364" s="121" t="s">
        <v>65</v>
      </c>
      <c r="C364" s="117" t="s">
        <v>46</v>
      </c>
      <c r="D364" s="121" t="s">
        <v>21</v>
      </c>
      <c r="E364" s="121" t="s">
        <v>37</v>
      </c>
      <c r="F364" s="118" t="s">
        <v>26</v>
      </c>
      <c r="G364" s="117" t="s">
        <v>61</v>
      </c>
      <c r="H364" s="117" t="s">
        <v>79</v>
      </c>
      <c r="I364" s="117" t="s">
        <v>50</v>
      </c>
    </row>
    <row r="365" spans="1:9" x14ac:dyDescent="0.2">
      <c r="A365" s="386" t="s">
        <v>2007</v>
      </c>
      <c r="B365" s="386" t="s">
        <v>2564</v>
      </c>
      <c r="C365" s="387" t="s">
        <v>2565</v>
      </c>
      <c r="D365" s="386" t="s">
        <v>10</v>
      </c>
      <c r="E365" s="386" t="s">
        <v>1048</v>
      </c>
      <c r="F365" s="388" t="s">
        <v>48</v>
      </c>
      <c r="G365" s="387">
        <v>1</v>
      </c>
      <c r="H365" s="387" t="s">
        <v>2566</v>
      </c>
      <c r="I365" s="387" t="s">
        <v>2566</v>
      </c>
    </row>
    <row r="366" spans="1:9" hidden="1" x14ac:dyDescent="0.2">
      <c r="A366" s="389" t="s">
        <v>2011</v>
      </c>
      <c r="B366" s="389"/>
      <c r="C366" s="390" t="s">
        <v>2106</v>
      </c>
      <c r="D366" s="389" t="s">
        <v>36</v>
      </c>
      <c r="E366" s="389" t="s">
        <v>2107</v>
      </c>
      <c r="F366" s="391" t="s">
        <v>2018</v>
      </c>
      <c r="G366" s="390" t="s">
        <v>2220</v>
      </c>
      <c r="H366" s="390" t="s">
        <v>2108</v>
      </c>
      <c r="I366" s="392">
        <v>5.46</v>
      </c>
    </row>
    <row r="367" spans="1:9" hidden="1" x14ac:dyDescent="0.2">
      <c r="A367" s="389" t="s">
        <v>2011</v>
      </c>
      <c r="B367" s="389"/>
      <c r="C367" s="390" t="s">
        <v>2558</v>
      </c>
      <c r="D367" s="389" t="s">
        <v>36</v>
      </c>
      <c r="E367" s="389" t="s">
        <v>2559</v>
      </c>
      <c r="F367" s="391" t="s">
        <v>2018</v>
      </c>
      <c r="G367" s="390" t="s">
        <v>2220</v>
      </c>
      <c r="H367" s="390" t="s">
        <v>2560</v>
      </c>
      <c r="I367" s="392">
        <v>4.25</v>
      </c>
    </row>
    <row r="368" spans="1:9" hidden="1" x14ac:dyDescent="0.2">
      <c r="A368" s="393" t="s">
        <v>2024</v>
      </c>
      <c r="B368" s="393"/>
      <c r="C368" s="394" t="s">
        <v>2567</v>
      </c>
      <c r="D368" s="393" t="s">
        <v>36</v>
      </c>
      <c r="E368" s="393" t="s">
        <v>2568</v>
      </c>
      <c r="F368" s="395" t="s">
        <v>48</v>
      </c>
      <c r="G368" s="394" t="s">
        <v>2026</v>
      </c>
      <c r="H368" s="394" t="s">
        <v>2569</v>
      </c>
      <c r="I368" s="396">
        <v>15.97</v>
      </c>
    </row>
    <row r="369" spans="1:9" ht="15" hidden="1" thickTop="1" x14ac:dyDescent="0.2">
      <c r="A369" s="188"/>
      <c r="B369" s="188"/>
      <c r="C369" s="188"/>
      <c r="D369" s="188"/>
      <c r="E369" s="188"/>
      <c r="F369" s="188"/>
      <c r="G369" s="188"/>
      <c r="H369" s="188"/>
      <c r="I369" s="188"/>
    </row>
    <row r="370" spans="1:9" ht="15" hidden="1" x14ac:dyDescent="0.2">
      <c r="A370" s="121"/>
      <c r="B370" s="121" t="s">
        <v>65</v>
      </c>
      <c r="C370" s="117" t="s">
        <v>46</v>
      </c>
      <c r="D370" s="121" t="s">
        <v>21</v>
      </c>
      <c r="E370" s="121" t="s">
        <v>37</v>
      </c>
      <c r="F370" s="118" t="s">
        <v>26</v>
      </c>
      <c r="G370" s="117" t="s">
        <v>61</v>
      </c>
      <c r="H370" s="117" t="s">
        <v>79</v>
      </c>
      <c r="I370" s="117" t="s">
        <v>50</v>
      </c>
    </row>
    <row r="371" spans="1:9" ht="22.5" x14ac:dyDescent="0.2">
      <c r="A371" s="386" t="s">
        <v>2007</v>
      </c>
      <c r="B371" s="386" t="s">
        <v>2570</v>
      </c>
      <c r="C371" s="387" t="s">
        <v>2571</v>
      </c>
      <c r="D371" s="386" t="s">
        <v>10</v>
      </c>
      <c r="E371" s="386" t="s">
        <v>1050</v>
      </c>
      <c r="F371" s="388" t="s">
        <v>12</v>
      </c>
      <c r="G371" s="387">
        <v>1</v>
      </c>
      <c r="H371" s="387" t="s">
        <v>2572</v>
      </c>
      <c r="I371" s="387" t="s">
        <v>2572</v>
      </c>
    </row>
    <row r="372" spans="1:9" hidden="1" x14ac:dyDescent="0.2">
      <c r="A372" s="389" t="s">
        <v>2011</v>
      </c>
      <c r="B372" s="389"/>
      <c r="C372" s="390" t="s">
        <v>2558</v>
      </c>
      <c r="D372" s="389" t="s">
        <v>36</v>
      </c>
      <c r="E372" s="389" t="s">
        <v>2559</v>
      </c>
      <c r="F372" s="391" t="s">
        <v>2018</v>
      </c>
      <c r="G372" s="390" t="s">
        <v>2573</v>
      </c>
      <c r="H372" s="390" t="s">
        <v>2560</v>
      </c>
      <c r="I372" s="392">
        <v>2.61</v>
      </c>
    </row>
    <row r="373" spans="1:9" hidden="1" x14ac:dyDescent="0.2">
      <c r="A373" s="389" t="s">
        <v>2011</v>
      </c>
      <c r="B373" s="389"/>
      <c r="C373" s="390" t="s">
        <v>2106</v>
      </c>
      <c r="D373" s="389" t="s">
        <v>36</v>
      </c>
      <c r="E373" s="389" t="s">
        <v>2107</v>
      </c>
      <c r="F373" s="391" t="s">
        <v>2018</v>
      </c>
      <c r="G373" s="390" t="s">
        <v>2573</v>
      </c>
      <c r="H373" s="390" t="s">
        <v>2108</v>
      </c>
      <c r="I373" s="392">
        <v>3.35</v>
      </c>
    </row>
    <row r="374" spans="1:9" hidden="1" x14ac:dyDescent="0.2">
      <c r="A374" s="393" t="s">
        <v>2024</v>
      </c>
      <c r="B374" s="393"/>
      <c r="C374" s="394" t="s">
        <v>2574</v>
      </c>
      <c r="D374" s="393" t="s">
        <v>36</v>
      </c>
      <c r="E374" s="393" t="s">
        <v>2575</v>
      </c>
      <c r="F374" s="395" t="s">
        <v>12</v>
      </c>
      <c r="G374" s="394" t="s">
        <v>2576</v>
      </c>
      <c r="H374" s="394" t="s">
        <v>2577</v>
      </c>
      <c r="I374" s="396">
        <v>2</v>
      </c>
    </row>
    <row r="375" spans="1:9" ht="15" hidden="1" thickTop="1" x14ac:dyDescent="0.2">
      <c r="A375" s="188"/>
      <c r="B375" s="188"/>
      <c r="C375" s="188"/>
      <c r="D375" s="188"/>
      <c r="E375" s="188"/>
      <c r="F375" s="188"/>
      <c r="G375" s="188"/>
      <c r="H375" s="188"/>
      <c r="I375" s="188"/>
    </row>
    <row r="376" spans="1:9" ht="15" hidden="1" x14ac:dyDescent="0.2">
      <c r="A376" s="121"/>
      <c r="B376" s="121" t="s">
        <v>65</v>
      </c>
      <c r="C376" s="117" t="s">
        <v>46</v>
      </c>
      <c r="D376" s="121" t="s">
        <v>21</v>
      </c>
      <c r="E376" s="121" t="s">
        <v>37</v>
      </c>
      <c r="F376" s="118" t="s">
        <v>26</v>
      </c>
      <c r="G376" s="117" t="s">
        <v>61</v>
      </c>
      <c r="H376" s="117" t="s">
        <v>79</v>
      </c>
      <c r="I376" s="117" t="s">
        <v>50</v>
      </c>
    </row>
    <row r="377" spans="1:9" ht="22.5" x14ac:dyDescent="0.2">
      <c r="A377" s="386" t="s">
        <v>2007</v>
      </c>
      <c r="B377" s="386" t="s">
        <v>2578</v>
      </c>
      <c r="C377" s="387" t="s">
        <v>2579</v>
      </c>
      <c r="D377" s="386" t="s">
        <v>10</v>
      </c>
      <c r="E377" s="386" t="s">
        <v>1052</v>
      </c>
      <c r="F377" s="388" t="s">
        <v>12</v>
      </c>
      <c r="G377" s="387">
        <v>1</v>
      </c>
      <c r="H377" s="387" t="s">
        <v>2580</v>
      </c>
      <c r="I377" s="387" t="s">
        <v>2580</v>
      </c>
    </row>
    <row r="378" spans="1:9" hidden="1" x14ac:dyDescent="0.2">
      <c r="A378" s="389" t="s">
        <v>2011</v>
      </c>
      <c r="B378" s="389"/>
      <c r="C378" s="390" t="s">
        <v>2034</v>
      </c>
      <c r="D378" s="389" t="s">
        <v>36</v>
      </c>
      <c r="E378" s="389" t="s">
        <v>2035</v>
      </c>
      <c r="F378" s="391" t="s">
        <v>2018</v>
      </c>
      <c r="G378" s="390" t="s">
        <v>2581</v>
      </c>
      <c r="H378" s="390" t="s">
        <v>2037</v>
      </c>
      <c r="I378" s="392">
        <v>6.43</v>
      </c>
    </row>
    <row r="379" spans="1:9" x14ac:dyDescent="0.2">
      <c r="A379" s="393" t="s">
        <v>2024</v>
      </c>
      <c r="B379" s="393"/>
      <c r="C379" s="394" t="s">
        <v>2582</v>
      </c>
      <c r="D379" s="393" t="s">
        <v>10</v>
      </c>
      <c r="E379" s="393" t="s">
        <v>2583</v>
      </c>
      <c r="F379" s="395" t="s">
        <v>12</v>
      </c>
      <c r="G379" s="394" t="s">
        <v>2584</v>
      </c>
      <c r="H379" s="394" t="s">
        <v>2445</v>
      </c>
      <c r="I379" s="396">
        <v>1.64</v>
      </c>
    </row>
    <row r="380" spans="1:9" ht="15" hidden="1" thickTop="1" x14ac:dyDescent="0.2">
      <c r="A380" s="188"/>
      <c r="B380" s="188"/>
      <c r="C380" s="188"/>
      <c r="D380" s="188"/>
      <c r="E380" s="188"/>
      <c r="F380" s="188"/>
      <c r="G380" s="188"/>
      <c r="H380" s="188"/>
      <c r="I380" s="188"/>
    </row>
    <row r="381" spans="1:9" ht="15" hidden="1" x14ac:dyDescent="0.2">
      <c r="A381" s="121"/>
      <c r="B381" s="121" t="s">
        <v>65</v>
      </c>
      <c r="C381" s="117" t="s">
        <v>46</v>
      </c>
      <c r="D381" s="121" t="s">
        <v>21</v>
      </c>
      <c r="E381" s="121" t="s">
        <v>37</v>
      </c>
      <c r="F381" s="118" t="s">
        <v>26</v>
      </c>
      <c r="G381" s="117" t="s">
        <v>61</v>
      </c>
      <c r="H381" s="117" t="s">
        <v>79</v>
      </c>
      <c r="I381" s="117" t="s">
        <v>50</v>
      </c>
    </row>
    <row r="382" spans="1:9" ht="22.5" x14ac:dyDescent="0.2">
      <c r="A382" s="386" t="s">
        <v>2007</v>
      </c>
      <c r="B382" s="386" t="s">
        <v>2585</v>
      </c>
      <c r="C382" s="387" t="s">
        <v>2586</v>
      </c>
      <c r="D382" s="386" t="s">
        <v>10</v>
      </c>
      <c r="E382" s="386" t="s">
        <v>1054</v>
      </c>
      <c r="F382" s="388" t="s">
        <v>12</v>
      </c>
      <c r="G382" s="387">
        <v>1</v>
      </c>
      <c r="H382" s="387" t="s">
        <v>2587</v>
      </c>
      <c r="I382" s="387" t="s">
        <v>2587</v>
      </c>
    </row>
    <row r="383" spans="1:9" hidden="1" x14ac:dyDescent="0.2">
      <c r="A383" s="389" t="s">
        <v>2011</v>
      </c>
      <c r="B383" s="389"/>
      <c r="C383" s="390" t="s">
        <v>2558</v>
      </c>
      <c r="D383" s="389" t="s">
        <v>36</v>
      </c>
      <c r="E383" s="389" t="s">
        <v>2559</v>
      </c>
      <c r="F383" s="391" t="s">
        <v>2018</v>
      </c>
      <c r="G383" s="390" t="s">
        <v>2588</v>
      </c>
      <c r="H383" s="390" t="s">
        <v>2560</v>
      </c>
      <c r="I383" s="392">
        <v>1.41</v>
      </c>
    </row>
    <row r="384" spans="1:9" hidden="1" x14ac:dyDescent="0.2">
      <c r="A384" s="389" t="s">
        <v>2011</v>
      </c>
      <c r="B384" s="389"/>
      <c r="C384" s="390" t="s">
        <v>2106</v>
      </c>
      <c r="D384" s="389" t="s">
        <v>36</v>
      </c>
      <c r="E384" s="389" t="s">
        <v>2107</v>
      </c>
      <c r="F384" s="391" t="s">
        <v>2018</v>
      </c>
      <c r="G384" s="390" t="s">
        <v>2588</v>
      </c>
      <c r="H384" s="390" t="s">
        <v>2108</v>
      </c>
      <c r="I384" s="392">
        <v>1.82</v>
      </c>
    </row>
    <row r="385" spans="1:9" ht="33.75" hidden="1" x14ac:dyDescent="0.2">
      <c r="A385" s="389" t="s">
        <v>2011</v>
      </c>
      <c r="B385" s="389"/>
      <c r="C385" s="390" t="s">
        <v>2589</v>
      </c>
      <c r="D385" s="389" t="s">
        <v>36</v>
      </c>
      <c r="E385" s="389" t="s">
        <v>2590</v>
      </c>
      <c r="F385" s="391" t="s">
        <v>12</v>
      </c>
      <c r="G385" s="390" t="s">
        <v>2026</v>
      </c>
      <c r="H385" s="390" t="s">
        <v>2591</v>
      </c>
      <c r="I385" s="392">
        <v>2.06</v>
      </c>
    </row>
    <row r="386" spans="1:9" ht="22.5" hidden="1" x14ac:dyDescent="0.2">
      <c r="A386" s="393" t="s">
        <v>2024</v>
      </c>
      <c r="B386" s="393"/>
      <c r="C386" s="394" t="s">
        <v>2592</v>
      </c>
      <c r="D386" s="393" t="s">
        <v>36</v>
      </c>
      <c r="E386" s="393" t="s">
        <v>2593</v>
      </c>
      <c r="F386" s="395" t="s">
        <v>12</v>
      </c>
      <c r="G386" s="394" t="s">
        <v>2214</v>
      </c>
      <c r="H386" s="394" t="s">
        <v>2594</v>
      </c>
      <c r="I386" s="396">
        <v>2.93</v>
      </c>
    </row>
    <row r="387" spans="1:9" ht="15" hidden="1" thickTop="1" x14ac:dyDescent="0.2">
      <c r="A387" s="188"/>
      <c r="B387" s="188"/>
      <c r="C387" s="188"/>
      <c r="D387" s="188"/>
      <c r="E387" s="188"/>
      <c r="F387" s="188"/>
      <c r="G387" s="188"/>
      <c r="H387" s="188"/>
      <c r="I387" s="188"/>
    </row>
    <row r="388" spans="1:9" ht="15" hidden="1" x14ac:dyDescent="0.2">
      <c r="A388" s="121"/>
      <c r="B388" s="121" t="s">
        <v>65</v>
      </c>
      <c r="C388" s="117" t="s">
        <v>46</v>
      </c>
      <c r="D388" s="121" t="s">
        <v>21</v>
      </c>
      <c r="E388" s="121" t="s">
        <v>37</v>
      </c>
      <c r="F388" s="118" t="s">
        <v>26</v>
      </c>
      <c r="G388" s="117" t="s">
        <v>61</v>
      </c>
      <c r="H388" s="117" t="s">
        <v>79</v>
      </c>
      <c r="I388" s="117" t="s">
        <v>50</v>
      </c>
    </row>
    <row r="389" spans="1:9" x14ac:dyDescent="0.2">
      <c r="A389" s="386" t="s">
        <v>2007</v>
      </c>
      <c r="B389" s="386" t="s">
        <v>2595</v>
      </c>
      <c r="C389" s="387" t="s">
        <v>2596</v>
      </c>
      <c r="D389" s="386" t="s">
        <v>10</v>
      </c>
      <c r="E389" s="386" t="s">
        <v>1056</v>
      </c>
      <c r="F389" s="388" t="s">
        <v>12</v>
      </c>
      <c r="G389" s="387">
        <v>1</v>
      </c>
      <c r="H389" s="387" t="s">
        <v>2597</v>
      </c>
      <c r="I389" s="387" t="s">
        <v>2597</v>
      </c>
    </row>
    <row r="390" spans="1:9" hidden="1" x14ac:dyDescent="0.2">
      <c r="A390" s="389" t="s">
        <v>2011</v>
      </c>
      <c r="B390" s="389"/>
      <c r="C390" s="390" t="s">
        <v>2558</v>
      </c>
      <c r="D390" s="389" t="s">
        <v>36</v>
      </c>
      <c r="E390" s="389" t="s">
        <v>2559</v>
      </c>
      <c r="F390" s="391" t="s">
        <v>2018</v>
      </c>
      <c r="G390" s="390" t="s">
        <v>2598</v>
      </c>
      <c r="H390" s="390" t="s">
        <v>2560</v>
      </c>
      <c r="I390" s="392">
        <v>11.35</v>
      </c>
    </row>
    <row r="391" spans="1:9" hidden="1" x14ac:dyDescent="0.2">
      <c r="A391" s="389" t="s">
        <v>2011</v>
      </c>
      <c r="B391" s="389"/>
      <c r="C391" s="390" t="s">
        <v>2106</v>
      </c>
      <c r="D391" s="389" t="s">
        <v>36</v>
      </c>
      <c r="E391" s="389" t="s">
        <v>2107</v>
      </c>
      <c r="F391" s="391" t="s">
        <v>2018</v>
      </c>
      <c r="G391" s="390" t="s">
        <v>2598</v>
      </c>
      <c r="H391" s="390" t="s">
        <v>2108</v>
      </c>
      <c r="I391" s="392">
        <v>14.57</v>
      </c>
    </row>
    <row r="392" spans="1:9" x14ac:dyDescent="0.2">
      <c r="A392" s="393" t="s">
        <v>2024</v>
      </c>
      <c r="B392" s="393"/>
      <c r="C392" s="394" t="s">
        <v>2599</v>
      </c>
      <c r="D392" s="393" t="s">
        <v>10</v>
      </c>
      <c r="E392" s="393" t="s">
        <v>2600</v>
      </c>
      <c r="F392" s="395" t="s">
        <v>12</v>
      </c>
      <c r="G392" s="394" t="s">
        <v>2026</v>
      </c>
      <c r="H392" s="394" t="s">
        <v>2601</v>
      </c>
      <c r="I392" s="396">
        <v>5.57</v>
      </c>
    </row>
    <row r="393" spans="1:9" ht="15" hidden="1" thickTop="1" x14ac:dyDescent="0.2">
      <c r="A393" s="188"/>
      <c r="B393" s="188"/>
      <c r="C393" s="188"/>
      <c r="D393" s="188"/>
      <c r="E393" s="188"/>
      <c r="F393" s="188"/>
      <c r="G393" s="188"/>
      <c r="H393" s="188"/>
      <c r="I393" s="188"/>
    </row>
    <row r="394" spans="1:9" ht="15" hidden="1" x14ac:dyDescent="0.2">
      <c r="A394" s="121"/>
      <c r="B394" s="121" t="s">
        <v>65</v>
      </c>
      <c r="C394" s="117" t="s">
        <v>46</v>
      </c>
      <c r="D394" s="121" t="s">
        <v>21</v>
      </c>
      <c r="E394" s="121" t="s">
        <v>37</v>
      </c>
      <c r="F394" s="118" t="s">
        <v>26</v>
      </c>
      <c r="G394" s="117" t="s">
        <v>61</v>
      </c>
      <c r="H394" s="117" t="s">
        <v>79</v>
      </c>
      <c r="I394" s="117" t="s">
        <v>50</v>
      </c>
    </row>
    <row r="395" spans="1:9" ht="22.5" x14ac:dyDescent="0.2">
      <c r="A395" s="386" t="s">
        <v>2007</v>
      </c>
      <c r="B395" s="386" t="s">
        <v>2602</v>
      </c>
      <c r="C395" s="387" t="s">
        <v>2603</v>
      </c>
      <c r="D395" s="386" t="s">
        <v>10</v>
      </c>
      <c r="E395" s="386" t="s">
        <v>1058</v>
      </c>
      <c r="F395" s="388" t="s">
        <v>12</v>
      </c>
      <c r="G395" s="387">
        <v>1</v>
      </c>
      <c r="H395" s="387" t="s">
        <v>2604</v>
      </c>
      <c r="I395" s="387" t="s">
        <v>2604</v>
      </c>
    </row>
    <row r="396" spans="1:9" hidden="1" x14ac:dyDescent="0.2">
      <c r="A396" s="389" t="s">
        <v>2011</v>
      </c>
      <c r="B396" s="389"/>
      <c r="C396" s="390" t="s">
        <v>2558</v>
      </c>
      <c r="D396" s="389" t="s">
        <v>36</v>
      </c>
      <c r="E396" s="389" t="s">
        <v>2559</v>
      </c>
      <c r="F396" s="391" t="s">
        <v>2018</v>
      </c>
      <c r="G396" s="390" t="s">
        <v>2605</v>
      </c>
      <c r="H396" s="390" t="s">
        <v>2560</v>
      </c>
      <c r="I396" s="392">
        <v>3.32</v>
      </c>
    </row>
    <row r="397" spans="1:9" hidden="1" x14ac:dyDescent="0.2">
      <c r="A397" s="389" t="s">
        <v>2011</v>
      </c>
      <c r="B397" s="389"/>
      <c r="C397" s="390" t="s">
        <v>2106</v>
      </c>
      <c r="D397" s="389" t="s">
        <v>36</v>
      </c>
      <c r="E397" s="389" t="s">
        <v>2107</v>
      </c>
      <c r="F397" s="391" t="s">
        <v>2018</v>
      </c>
      <c r="G397" s="390" t="s">
        <v>2605</v>
      </c>
      <c r="H397" s="390" t="s">
        <v>2108</v>
      </c>
      <c r="I397" s="392">
        <v>4.26</v>
      </c>
    </row>
    <row r="398" spans="1:9" ht="22.5" hidden="1" x14ac:dyDescent="0.2">
      <c r="A398" s="389" t="s">
        <v>2011</v>
      </c>
      <c r="B398" s="389"/>
      <c r="C398" s="390" t="s">
        <v>2606</v>
      </c>
      <c r="D398" s="389" t="s">
        <v>36</v>
      </c>
      <c r="E398" s="389" t="s">
        <v>2607</v>
      </c>
      <c r="F398" s="391" t="s">
        <v>12</v>
      </c>
      <c r="G398" s="390" t="s">
        <v>2115</v>
      </c>
      <c r="H398" s="390" t="s">
        <v>2608</v>
      </c>
      <c r="I398" s="392">
        <v>4.0599999999999996</v>
      </c>
    </row>
    <row r="399" spans="1:9" hidden="1" x14ac:dyDescent="0.2">
      <c r="A399" s="393" t="s">
        <v>2024</v>
      </c>
      <c r="B399" s="393"/>
      <c r="C399" s="394" t="s">
        <v>2609</v>
      </c>
      <c r="D399" s="393" t="s">
        <v>36</v>
      </c>
      <c r="E399" s="393" t="s">
        <v>2610</v>
      </c>
      <c r="F399" s="395" t="s">
        <v>12</v>
      </c>
      <c r="G399" s="394" t="s">
        <v>2611</v>
      </c>
      <c r="H399" s="394" t="s">
        <v>2612</v>
      </c>
      <c r="I399" s="396">
        <v>71.790000000000006</v>
      </c>
    </row>
    <row r="400" spans="1:9" ht="15" hidden="1" thickTop="1" x14ac:dyDescent="0.2">
      <c r="A400" s="188"/>
      <c r="B400" s="188"/>
      <c r="C400" s="188"/>
      <c r="D400" s="188"/>
      <c r="E400" s="188"/>
      <c r="F400" s="188"/>
      <c r="G400" s="188"/>
      <c r="H400" s="188"/>
      <c r="I400" s="188"/>
    </row>
    <row r="401" spans="1:9" ht="15" hidden="1" x14ac:dyDescent="0.2">
      <c r="A401" s="121"/>
      <c r="B401" s="121" t="s">
        <v>65</v>
      </c>
      <c r="C401" s="117" t="s">
        <v>46</v>
      </c>
      <c r="D401" s="121" t="s">
        <v>21</v>
      </c>
      <c r="E401" s="121" t="s">
        <v>37</v>
      </c>
      <c r="F401" s="118" t="s">
        <v>26</v>
      </c>
      <c r="G401" s="117" t="s">
        <v>61</v>
      </c>
      <c r="H401" s="117" t="s">
        <v>79</v>
      </c>
      <c r="I401" s="117" t="s">
        <v>50</v>
      </c>
    </row>
    <row r="402" spans="1:9" x14ac:dyDescent="0.2">
      <c r="A402" s="386" t="s">
        <v>2007</v>
      </c>
      <c r="B402" s="386" t="s">
        <v>2613</v>
      </c>
      <c r="C402" s="387" t="s">
        <v>2614</v>
      </c>
      <c r="D402" s="386" t="s">
        <v>10</v>
      </c>
      <c r="E402" s="386" t="s">
        <v>1074</v>
      </c>
      <c r="F402" s="388" t="s">
        <v>48</v>
      </c>
      <c r="G402" s="387">
        <v>1</v>
      </c>
      <c r="H402" s="387" t="s">
        <v>2615</v>
      </c>
      <c r="I402" s="387" t="s">
        <v>2615</v>
      </c>
    </row>
    <row r="403" spans="1:9" hidden="1" x14ac:dyDescent="0.2">
      <c r="A403" s="389" t="s">
        <v>2011</v>
      </c>
      <c r="B403" s="389"/>
      <c r="C403" s="390" t="s">
        <v>2558</v>
      </c>
      <c r="D403" s="389" t="s">
        <v>36</v>
      </c>
      <c r="E403" s="389" t="s">
        <v>2559</v>
      </c>
      <c r="F403" s="391" t="s">
        <v>2018</v>
      </c>
      <c r="G403" s="390" t="s">
        <v>2616</v>
      </c>
      <c r="H403" s="390" t="s">
        <v>2560</v>
      </c>
      <c r="I403" s="392">
        <v>2.83</v>
      </c>
    </row>
    <row r="404" spans="1:9" hidden="1" x14ac:dyDescent="0.2">
      <c r="A404" s="389" t="s">
        <v>2011</v>
      </c>
      <c r="B404" s="389"/>
      <c r="C404" s="390" t="s">
        <v>2106</v>
      </c>
      <c r="D404" s="389" t="s">
        <v>36</v>
      </c>
      <c r="E404" s="389" t="s">
        <v>2107</v>
      </c>
      <c r="F404" s="391" t="s">
        <v>2018</v>
      </c>
      <c r="G404" s="390" t="s">
        <v>2046</v>
      </c>
      <c r="H404" s="390" t="s">
        <v>2108</v>
      </c>
      <c r="I404" s="392">
        <v>7.28</v>
      </c>
    </row>
    <row r="405" spans="1:9" x14ac:dyDescent="0.2">
      <c r="A405" s="393" t="s">
        <v>2024</v>
      </c>
      <c r="B405" s="393"/>
      <c r="C405" s="394" t="s">
        <v>2617</v>
      </c>
      <c r="D405" s="393" t="s">
        <v>10</v>
      </c>
      <c r="E405" s="393" t="s">
        <v>2618</v>
      </c>
      <c r="F405" s="395" t="s">
        <v>48</v>
      </c>
      <c r="G405" s="394" t="s">
        <v>2026</v>
      </c>
      <c r="H405" s="394" t="s">
        <v>2619</v>
      </c>
      <c r="I405" s="396">
        <v>2.6</v>
      </c>
    </row>
    <row r="406" spans="1:9" ht="15" hidden="1" thickTop="1" x14ac:dyDescent="0.2">
      <c r="A406" s="188"/>
      <c r="B406" s="188"/>
      <c r="C406" s="188"/>
      <c r="D406" s="188"/>
      <c r="E406" s="188"/>
      <c r="F406" s="188"/>
      <c r="G406" s="188"/>
      <c r="H406" s="188"/>
      <c r="I406" s="188"/>
    </row>
    <row r="407" spans="1:9" ht="15" hidden="1" x14ac:dyDescent="0.2">
      <c r="A407" s="121"/>
      <c r="B407" s="121" t="s">
        <v>65</v>
      </c>
      <c r="C407" s="117" t="s">
        <v>46</v>
      </c>
      <c r="D407" s="121" t="s">
        <v>21</v>
      </c>
      <c r="E407" s="121" t="s">
        <v>37</v>
      </c>
      <c r="F407" s="118" t="s">
        <v>26</v>
      </c>
      <c r="G407" s="117" t="s">
        <v>61</v>
      </c>
      <c r="H407" s="117" t="s">
        <v>79</v>
      </c>
      <c r="I407" s="117" t="s">
        <v>50</v>
      </c>
    </row>
    <row r="408" spans="1:9" ht="22.5" x14ac:dyDescent="0.2">
      <c r="A408" s="386" t="s">
        <v>2007</v>
      </c>
      <c r="B408" s="386" t="s">
        <v>2620</v>
      </c>
      <c r="C408" s="387" t="s">
        <v>2621</v>
      </c>
      <c r="D408" s="386" t="s">
        <v>10</v>
      </c>
      <c r="E408" s="386" t="s">
        <v>560</v>
      </c>
      <c r="F408" s="388" t="s">
        <v>48</v>
      </c>
      <c r="G408" s="387">
        <v>1</v>
      </c>
      <c r="H408" s="387" t="s">
        <v>2622</v>
      </c>
      <c r="I408" s="387" t="s">
        <v>2622</v>
      </c>
    </row>
    <row r="409" spans="1:9" hidden="1" x14ac:dyDescent="0.2">
      <c r="A409" s="389" t="s">
        <v>2011</v>
      </c>
      <c r="B409" s="389"/>
      <c r="C409" s="390" t="s">
        <v>2106</v>
      </c>
      <c r="D409" s="389" t="s">
        <v>36</v>
      </c>
      <c r="E409" s="389" t="s">
        <v>2107</v>
      </c>
      <c r="F409" s="391" t="s">
        <v>2018</v>
      </c>
      <c r="G409" s="390" t="s">
        <v>2204</v>
      </c>
      <c r="H409" s="390" t="s">
        <v>2108</v>
      </c>
      <c r="I409" s="392">
        <v>15.48</v>
      </c>
    </row>
    <row r="410" spans="1:9" hidden="1" x14ac:dyDescent="0.2">
      <c r="A410" s="389" t="s">
        <v>2011</v>
      </c>
      <c r="B410" s="389"/>
      <c r="C410" s="390" t="s">
        <v>2034</v>
      </c>
      <c r="D410" s="389" t="s">
        <v>36</v>
      </c>
      <c r="E410" s="389" t="s">
        <v>2035</v>
      </c>
      <c r="F410" s="391" t="s">
        <v>2018</v>
      </c>
      <c r="G410" s="390" t="s">
        <v>2204</v>
      </c>
      <c r="H410" s="390" t="s">
        <v>2037</v>
      </c>
      <c r="I410" s="392">
        <v>12.16</v>
      </c>
    </row>
    <row r="411" spans="1:9" ht="22.5" hidden="1" x14ac:dyDescent="0.2">
      <c r="A411" s="393" t="s">
        <v>2024</v>
      </c>
      <c r="B411" s="393"/>
      <c r="C411" s="394" t="s">
        <v>2623</v>
      </c>
      <c r="D411" s="393" t="s">
        <v>36</v>
      </c>
      <c r="E411" s="393" t="s">
        <v>2624</v>
      </c>
      <c r="F411" s="395" t="s">
        <v>48</v>
      </c>
      <c r="G411" s="394" t="s">
        <v>2026</v>
      </c>
      <c r="H411" s="394" t="s">
        <v>2625</v>
      </c>
      <c r="I411" s="396">
        <v>13.01</v>
      </c>
    </row>
    <row r="412" spans="1:9" hidden="1" x14ac:dyDescent="0.2">
      <c r="A412" s="393" t="s">
        <v>2024</v>
      </c>
      <c r="B412" s="393"/>
      <c r="C412" s="394" t="s">
        <v>2626</v>
      </c>
      <c r="D412" s="393" t="s">
        <v>36</v>
      </c>
      <c r="E412" s="393" t="s">
        <v>2627</v>
      </c>
      <c r="F412" s="395" t="s">
        <v>48</v>
      </c>
      <c r="G412" s="394" t="s">
        <v>2115</v>
      </c>
      <c r="H412" s="394" t="s">
        <v>2628</v>
      </c>
      <c r="I412" s="396">
        <v>81.22</v>
      </c>
    </row>
    <row r="413" spans="1:9" ht="15" hidden="1" thickTop="1" x14ac:dyDescent="0.2">
      <c r="A413" s="188"/>
      <c r="B413" s="188"/>
      <c r="C413" s="188"/>
      <c r="D413" s="188"/>
      <c r="E413" s="188"/>
      <c r="F413" s="188"/>
      <c r="G413" s="188"/>
      <c r="H413" s="188"/>
      <c r="I413" s="188"/>
    </row>
    <row r="414" spans="1:9" ht="15" hidden="1" x14ac:dyDescent="0.2">
      <c r="A414" s="121"/>
      <c r="B414" s="121" t="s">
        <v>65</v>
      </c>
      <c r="C414" s="117" t="s">
        <v>46</v>
      </c>
      <c r="D414" s="121" t="s">
        <v>21</v>
      </c>
      <c r="E414" s="121" t="s">
        <v>37</v>
      </c>
      <c r="F414" s="118" t="s">
        <v>26</v>
      </c>
      <c r="G414" s="117" t="s">
        <v>61</v>
      </c>
      <c r="H414" s="117" t="s">
        <v>79</v>
      </c>
      <c r="I414" s="117" t="s">
        <v>50</v>
      </c>
    </row>
    <row r="415" spans="1:9" x14ac:dyDescent="0.2">
      <c r="A415" s="386" t="s">
        <v>2007</v>
      </c>
      <c r="B415" s="386" t="s">
        <v>2629</v>
      </c>
      <c r="C415" s="387" t="s">
        <v>2630</v>
      </c>
      <c r="D415" s="386" t="s">
        <v>10</v>
      </c>
      <c r="E415" s="386" t="s">
        <v>1088</v>
      </c>
      <c r="F415" s="388" t="s">
        <v>48</v>
      </c>
      <c r="G415" s="387">
        <v>1</v>
      </c>
      <c r="H415" s="387" t="s">
        <v>2631</v>
      </c>
      <c r="I415" s="387" t="s">
        <v>2631</v>
      </c>
    </row>
    <row r="416" spans="1:9" hidden="1" x14ac:dyDescent="0.2">
      <c r="A416" s="389" t="s">
        <v>2011</v>
      </c>
      <c r="B416" s="389"/>
      <c r="C416" s="390" t="s">
        <v>2034</v>
      </c>
      <c r="D416" s="389" t="s">
        <v>36</v>
      </c>
      <c r="E416" s="389" t="s">
        <v>2035</v>
      </c>
      <c r="F416" s="391" t="s">
        <v>2018</v>
      </c>
      <c r="G416" s="390" t="s">
        <v>2632</v>
      </c>
      <c r="H416" s="390" t="s">
        <v>2037</v>
      </c>
      <c r="I416" s="392">
        <v>1.1399999999999999</v>
      </c>
    </row>
    <row r="417" spans="1:9" x14ac:dyDescent="0.2">
      <c r="A417" s="393" t="s">
        <v>2024</v>
      </c>
      <c r="B417" s="393"/>
      <c r="C417" s="394" t="s">
        <v>2633</v>
      </c>
      <c r="D417" s="393" t="s">
        <v>10</v>
      </c>
      <c r="E417" s="393" t="s">
        <v>2634</v>
      </c>
      <c r="F417" s="395" t="s">
        <v>48</v>
      </c>
      <c r="G417" s="394" t="s">
        <v>2026</v>
      </c>
      <c r="H417" s="394" t="s">
        <v>2635</v>
      </c>
      <c r="I417" s="396">
        <v>1.55</v>
      </c>
    </row>
    <row r="418" spans="1:9" ht="15" hidden="1" thickTop="1" x14ac:dyDescent="0.2">
      <c r="A418" s="188"/>
      <c r="B418" s="188"/>
      <c r="C418" s="188"/>
      <c r="D418" s="188"/>
      <c r="E418" s="188"/>
      <c r="F418" s="188"/>
      <c r="G418" s="188"/>
      <c r="H418" s="188"/>
      <c r="I418" s="188"/>
    </row>
    <row r="419" spans="1:9" ht="15" hidden="1" x14ac:dyDescent="0.2">
      <c r="A419" s="121"/>
      <c r="B419" s="121" t="s">
        <v>65</v>
      </c>
      <c r="C419" s="117" t="s">
        <v>46</v>
      </c>
      <c r="D419" s="121" t="s">
        <v>21</v>
      </c>
      <c r="E419" s="121" t="s">
        <v>37</v>
      </c>
      <c r="F419" s="118" t="s">
        <v>26</v>
      </c>
      <c r="G419" s="117" t="s">
        <v>61</v>
      </c>
      <c r="H419" s="117" t="s">
        <v>79</v>
      </c>
      <c r="I419" s="117" t="s">
        <v>50</v>
      </c>
    </row>
    <row r="420" spans="1:9" x14ac:dyDescent="0.2">
      <c r="A420" s="386" t="s">
        <v>2007</v>
      </c>
      <c r="B420" s="386" t="s">
        <v>2636</v>
      </c>
      <c r="C420" s="387" t="s">
        <v>2637</v>
      </c>
      <c r="D420" s="386" t="s">
        <v>10</v>
      </c>
      <c r="E420" s="386" t="s">
        <v>1100</v>
      </c>
      <c r="F420" s="388" t="s">
        <v>48</v>
      </c>
      <c r="G420" s="387">
        <v>1</v>
      </c>
      <c r="H420" s="387" t="s">
        <v>2638</v>
      </c>
      <c r="I420" s="387" t="s">
        <v>2638</v>
      </c>
    </row>
    <row r="421" spans="1:9" hidden="1" x14ac:dyDescent="0.2">
      <c r="A421" s="389" t="s">
        <v>2011</v>
      </c>
      <c r="B421" s="389"/>
      <c r="C421" s="390" t="s">
        <v>2558</v>
      </c>
      <c r="D421" s="389" t="s">
        <v>36</v>
      </c>
      <c r="E421" s="389" t="s">
        <v>2559</v>
      </c>
      <c r="F421" s="391" t="s">
        <v>2018</v>
      </c>
      <c r="G421" s="390" t="s">
        <v>2046</v>
      </c>
      <c r="H421" s="390" t="s">
        <v>2560</v>
      </c>
      <c r="I421" s="392">
        <v>5.67</v>
      </c>
    </row>
    <row r="422" spans="1:9" hidden="1" x14ac:dyDescent="0.2">
      <c r="A422" s="389" t="s">
        <v>2011</v>
      </c>
      <c r="B422" s="389"/>
      <c r="C422" s="390" t="s">
        <v>2106</v>
      </c>
      <c r="D422" s="389" t="s">
        <v>36</v>
      </c>
      <c r="E422" s="389" t="s">
        <v>2107</v>
      </c>
      <c r="F422" s="391" t="s">
        <v>2018</v>
      </c>
      <c r="G422" s="390" t="s">
        <v>2046</v>
      </c>
      <c r="H422" s="390" t="s">
        <v>2108</v>
      </c>
      <c r="I422" s="392">
        <v>7.28</v>
      </c>
    </row>
    <row r="423" spans="1:9" x14ac:dyDescent="0.2">
      <c r="A423" s="393" t="s">
        <v>2024</v>
      </c>
      <c r="B423" s="393"/>
      <c r="C423" s="394" t="s">
        <v>2639</v>
      </c>
      <c r="D423" s="393" t="s">
        <v>10</v>
      </c>
      <c r="E423" s="393" t="s">
        <v>2640</v>
      </c>
      <c r="F423" s="395" t="s">
        <v>168</v>
      </c>
      <c r="G423" s="394" t="s">
        <v>2026</v>
      </c>
      <c r="H423" s="394" t="s">
        <v>2641</v>
      </c>
      <c r="I423" s="396">
        <v>242.83</v>
      </c>
    </row>
    <row r="424" spans="1:9" ht="15" hidden="1" thickTop="1" x14ac:dyDescent="0.2">
      <c r="A424" s="188"/>
      <c r="B424" s="188"/>
      <c r="C424" s="188"/>
      <c r="D424" s="188"/>
      <c r="E424" s="188"/>
      <c r="F424" s="188"/>
      <c r="G424" s="188"/>
      <c r="H424" s="188"/>
      <c r="I424" s="188"/>
    </row>
    <row r="425" spans="1:9" ht="15" hidden="1" x14ac:dyDescent="0.2">
      <c r="A425" s="121"/>
      <c r="B425" s="121" t="s">
        <v>65</v>
      </c>
      <c r="C425" s="117" t="s">
        <v>46</v>
      </c>
      <c r="D425" s="121" t="s">
        <v>21</v>
      </c>
      <c r="E425" s="121" t="s">
        <v>37</v>
      </c>
      <c r="F425" s="118" t="s">
        <v>26</v>
      </c>
      <c r="G425" s="117" t="s">
        <v>61</v>
      </c>
      <c r="H425" s="117" t="s">
        <v>79</v>
      </c>
      <c r="I425" s="117" t="s">
        <v>50</v>
      </c>
    </row>
    <row r="426" spans="1:9" x14ac:dyDescent="0.2">
      <c r="A426" s="386" t="s">
        <v>2007</v>
      </c>
      <c r="B426" s="386" t="s">
        <v>2642</v>
      </c>
      <c r="C426" s="387" t="s">
        <v>2643</v>
      </c>
      <c r="D426" s="386" t="s">
        <v>10</v>
      </c>
      <c r="E426" s="386" t="s">
        <v>658</v>
      </c>
      <c r="F426" s="388" t="s">
        <v>48</v>
      </c>
      <c r="G426" s="387">
        <v>1</v>
      </c>
      <c r="H426" s="387" t="s">
        <v>2644</v>
      </c>
      <c r="I426" s="387" t="s">
        <v>2644</v>
      </c>
    </row>
    <row r="427" spans="1:9" hidden="1" x14ac:dyDescent="0.2">
      <c r="A427" s="389" t="s">
        <v>2011</v>
      </c>
      <c r="B427" s="389"/>
      <c r="C427" s="390" t="s">
        <v>2106</v>
      </c>
      <c r="D427" s="389" t="s">
        <v>36</v>
      </c>
      <c r="E427" s="389" t="s">
        <v>2107</v>
      </c>
      <c r="F427" s="391" t="s">
        <v>2018</v>
      </c>
      <c r="G427" s="390" t="s">
        <v>2220</v>
      </c>
      <c r="H427" s="390" t="s">
        <v>2108</v>
      </c>
      <c r="I427" s="392">
        <v>5.46</v>
      </c>
    </row>
    <row r="428" spans="1:9" hidden="1" x14ac:dyDescent="0.2">
      <c r="A428" s="389" t="s">
        <v>2011</v>
      </c>
      <c r="B428" s="389"/>
      <c r="C428" s="390" t="s">
        <v>2034</v>
      </c>
      <c r="D428" s="389" t="s">
        <v>36</v>
      </c>
      <c r="E428" s="389" t="s">
        <v>2035</v>
      </c>
      <c r="F428" s="391" t="s">
        <v>2018</v>
      </c>
      <c r="G428" s="390" t="s">
        <v>2220</v>
      </c>
      <c r="H428" s="390" t="s">
        <v>2037</v>
      </c>
      <c r="I428" s="392">
        <v>4.29</v>
      </c>
    </row>
    <row r="429" spans="1:9" hidden="1" x14ac:dyDescent="0.2">
      <c r="A429" s="393" t="s">
        <v>2024</v>
      </c>
      <c r="B429" s="393"/>
      <c r="C429" s="394" t="s">
        <v>2645</v>
      </c>
      <c r="D429" s="393" t="s">
        <v>36</v>
      </c>
      <c r="E429" s="393" t="s">
        <v>2646</v>
      </c>
      <c r="F429" s="395" t="s">
        <v>48</v>
      </c>
      <c r="G429" s="394" t="s">
        <v>2026</v>
      </c>
      <c r="H429" s="394" t="s">
        <v>2647</v>
      </c>
      <c r="I429" s="396">
        <v>71.08</v>
      </c>
    </row>
    <row r="430" spans="1:9" ht="15" hidden="1" thickTop="1" x14ac:dyDescent="0.2">
      <c r="A430" s="188"/>
      <c r="B430" s="188"/>
      <c r="C430" s="188"/>
      <c r="D430" s="188"/>
      <c r="E430" s="188"/>
      <c r="F430" s="188"/>
      <c r="G430" s="188"/>
      <c r="H430" s="188"/>
      <c r="I430" s="188"/>
    </row>
    <row r="431" spans="1:9" ht="15" hidden="1" x14ac:dyDescent="0.2">
      <c r="A431" s="121"/>
      <c r="B431" s="121" t="s">
        <v>65</v>
      </c>
      <c r="C431" s="117" t="s">
        <v>46</v>
      </c>
      <c r="D431" s="121" t="s">
        <v>21</v>
      </c>
      <c r="E431" s="121" t="s">
        <v>37</v>
      </c>
      <c r="F431" s="118" t="s">
        <v>26</v>
      </c>
      <c r="G431" s="117" t="s">
        <v>61</v>
      </c>
      <c r="H431" s="117" t="s">
        <v>79</v>
      </c>
      <c r="I431" s="117" t="s">
        <v>50</v>
      </c>
    </row>
    <row r="432" spans="1:9" x14ac:dyDescent="0.2">
      <c r="A432" s="386" t="s">
        <v>2007</v>
      </c>
      <c r="B432" s="386" t="s">
        <v>2648</v>
      </c>
      <c r="C432" s="387" t="s">
        <v>2649</v>
      </c>
      <c r="D432" s="386" t="s">
        <v>10</v>
      </c>
      <c r="E432" s="386" t="s">
        <v>1118</v>
      </c>
      <c r="F432" s="388" t="s">
        <v>48</v>
      </c>
      <c r="G432" s="387">
        <v>1</v>
      </c>
      <c r="H432" s="387" t="s">
        <v>2650</v>
      </c>
      <c r="I432" s="387" t="s">
        <v>2650</v>
      </c>
    </row>
    <row r="433" spans="1:9" hidden="1" x14ac:dyDescent="0.2">
      <c r="A433" s="389" t="s">
        <v>2011</v>
      </c>
      <c r="B433" s="389"/>
      <c r="C433" s="390" t="s">
        <v>2106</v>
      </c>
      <c r="D433" s="389" t="s">
        <v>36</v>
      </c>
      <c r="E433" s="389" t="s">
        <v>2107</v>
      </c>
      <c r="F433" s="391" t="s">
        <v>2018</v>
      </c>
      <c r="G433" s="390" t="s">
        <v>2220</v>
      </c>
      <c r="H433" s="390" t="s">
        <v>2108</v>
      </c>
      <c r="I433" s="392">
        <v>5.46</v>
      </c>
    </row>
    <row r="434" spans="1:9" hidden="1" x14ac:dyDescent="0.2">
      <c r="A434" s="389" t="s">
        <v>2011</v>
      </c>
      <c r="B434" s="389"/>
      <c r="C434" s="390" t="s">
        <v>2034</v>
      </c>
      <c r="D434" s="389" t="s">
        <v>36</v>
      </c>
      <c r="E434" s="389" t="s">
        <v>2035</v>
      </c>
      <c r="F434" s="391" t="s">
        <v>2018</v>
      </c>
      <c r="G434" s="390" t="s">
        <v>2220</v>
      </c>
      <c r="H434" s="390" t="s">
        <v>2037</v>
      </c>
      <c r="I434" s="392">
        <v>4.29</v>
      </c>
    </row>
    <row r="435" spans="1:9" x14ac:dyDescent="0.2">
      <c r="A435" s="393" t="s">
        <v>2024</v>
      </c>
      <c r="B435" s="393"/>
      <c r="C435" s="394" t="s">
        <v>2651</v>
      </c>
      <c r="D435" s="393" t="s">
        <v>10</v>
      </c>
      <c r="E435" s="393" t="s">
        <v>2652</v>
      </c>
      <c r="F435" s="395" t="s">
        <v>48</v>
      </c>
      <c r="G435" s="394" t="s">
        <v>2026</v>
      </c>
      <c r="H435" s="394" t="s">
        <v>2653</v>
      </c>
      <c r="I435" s="396">
        <v>382.95</v>
      </c>
    </row>
    <row r="436" spans="1:9" hidden="1" x14ac:dyDescent="0.2">
      <c r="A436" s="393" t="s">
        <v>2024</v>
      </c>
      <c r="B436" s="393"/>
      <c r="C436" s="394" t="s">
        <v>2654</v>
      </c>
      <c r="D436" s="393" t="s">
        <v>36</v>
      </c>
      <c r="E436" s="393" t="s">
        <v>2655</v>
      </c>
      <c r="F436" s="395" t="s">
        <v>48</v>
      </c>
      <c r="G436" s="394" t="s">
        <v>2115</v>
      </c>
      <c r="H436" s="394" t="s">
        <v>2656</v>
      </c>
      <c r="I436" s="396">
        <v>4.3600000000000003</v>
      </c>
    </row>
    <row r="437" spans="1:9" ht="15" hidden="1" thickTop="1" x14ac:dyDescent="0.2">
      <c r="A437" s="188"/>
      <c r="B437" s="188"/>
      <c r="C437" s="188"/>
      <c r="D437" s="188"/>
      <c r="E437" s="188"/>
      <c r="F437" s="188"/>
      <c r="G437" s="188"/>
      <c r="H437" s="188"/>
      <c r="I437" s="188"/>
    </row>
    <row r="438" spans="1:9" ht="15" hidden="1" x14ac:dyDescent="0.2">
      <c r="A438" s="121"/>
      <c r="B438" s="121" t="s">
        <v>65</v>
      </c>
      <c r="C438" s="117" t="s">
        <v>46</v>
      </c>
      <c r="D438" s="121" t="s">
        <v>21</v>
      </c>
      <c r="E438" s="121" t="s">
        <v>37</v>
      </c>
      <c r="F438" s="118" t="s">
        <v>26</v>
      </c>
      <c r="G438" s="117" t="s">
        <v>61</v>
      </c>
      <c r="H438" s="117" t="s">
        <v>79</v>
      </c>
      <c r="I438" s="117" t="s">
        <v>50</v>
      </c>
    </row>
    <row r="439" spans="1:9" x14ac:dyDescent="0.2">
      <c r="A439" s="386" t="s">
        <v>2007</v>
      </c>
      <c r="B439" s="386" t="s">
        <v>2657</v>
      </c>
      <c r="C439" s="387" t="s">
        <v>2658</v>
      </c>
      <c r="D439" s="386" t="s">
        <v>10</v>
      </c>
      <c r="E439" s="386" t="s">
        <v>1122</v>
      </c>
      <c r="F439" s="388" t="s">
        <v>266</v>
      </c>
      <c r="G439" s="387">
        <v>1</v>
      </c>
      <c r="H439" s="387" t="s">
        <v>2659</v>
      </c>
      <c r="I439" s="387" t="s">
        <v>2659</v>
      </c>
    </row>
    <row r="440" spans="1:9" hidden="1" x14ac:dyDescent="0.2">
      <c r="A440" s="389" t="s">
        <v>2011</v>
      </c>
      <c r="B440" s="389"/>
      <c r="C440" s="390" t="s">
        <v>2034</v>
      </c>
      <c r="D440" s="389" t="s">
        <v>36</v>
      </c>
      <c r="E440" s="389" t="s">
        <v>2035</v>
      </c>
      <c r="F440" s="391" t="s">
        <v>2018</v>
      </c>
      <c r="G440" s="390" t="s">
        <v>2616</v>
      </c>
      <c r="H440" s="390" t="s">
        <v>2037</v>
      </c>
      <c r="I440" s="392">
        <v>2.86</v>
      </c>
    </row>
    <row r="441" spans="1:9" hidden="1" x14ac:dyDescent="0.2">
      <c r="A441" s="389" t="s">
        <v>2011</v>
      </c>
      <c r="B441" s="389"/>
      <c r="C441" s="390" t="s">
        <v>2106</v>
      </c>
      <c r="D441" s="389" t="s">
        <v>36</v>
      </c>
      <c r="E441" s="389" t="s">
        <v>2107</v>
      </c>
      <c r="F441" s="391" t="s">
        <v>2018</v>
      </c>
      <c r="G441" s="390" t="s">
        <v>2616</v>
      </c>
      <c r="H441" s="390" t="s">
        <v>2108</v>
      </c>
      <c r="I441" s="392">
        <v>3.64</v>
      </c>
    </row>
    <row r="442" spans="1:9" x14ac:dyDescent="0.2">
      <c r="A442" s="393" t="s">
        <v>2024</v>
      </c>
      <c r="B442" s="393"/>
      <c r="C442" s="394" t="s">
        <v>2660</v>
      </c>
      <c r="D442" s="393" t="s">
        <v>10</v>
      </c>
      <c r="E442" s="393" t="s">
        <v>2661</v>
      </c>
      <c r="F442" s="395" t="s">
        <v>168</v>
      </c>
      <c r="G442" s="394" t="s">
        <v>2026</v>
      </c>
      <c r="H442" s="394" t="s">
        <v>2662</v>
      </c>
      <c r="I442" s="396">
        <v>18.86</v>
      </c>
    </row>
    <row r="443" spans="1:9" ht="15" hidden="1" thickTop="1" x14ac:dyDescent="0.2">
      <c r="A443" s="188"/>
      <c r="B443" s="188"/>
      <c r="C443" s="188"/>
      <c r="D443" s="188"/>
      <c r="E443" s="188"/>
      <c r="F443" s="188"/>
      <c r="G443" s="188"/>
      <c r="H443" s="188"/>
      <c r="I443" s="188"/>
    </row>
    <row r="444" spans="1:9" ht="15" hidden="1" x14ac:dyDescent="0.2">
      <c r="A444" s="121"/>
      <c r="B444" s="121" t="s">
        <v>65</v>
      </c>
      <c r="C444" s="117" t="s">
        <v>46</v>
      </c>
      <c r="D444" s="121" t="s">
        <v>21</v>
      </c>
      <c r="E444" s="121" t="s">
        <v>37</v>
      </c>
      <c r="F444" s="118" t="s">
        <v>26</v>
      </c>
      <c r="G444" s="117" t="s">
        <v>61</v>
      </c>
      <c r="H444" s="117" t="s">
        <v>79</v>
      </c>
      <c r="I444" s="117" t="s">
        <v>50</v>
      </c>
    </row>
    <row r="445" spans="1:9" x14ac:dyDescent="0.2">
      <c r="A445" s="386" t="s">
        <v>2007</v>
      </c>
      <c r="B445" s="386" t="s">
        <v>2663</v>
      </c>
      <c r="C445" s="387" t="s">
        <v>2664</v>
      </c>
      <c r="D445" s="386" t="s">
        <v>10</v>
      </c>
      <c r="E445" s="386" t="s">
        <v>582</v>
      </c>
      <c r="F445" s="388" t="s">
        <v>266</v>
      </c>
      <c r="G445" s="387">
        <v>1</v>
      </c>
      <c r="H445" s="387" t="s">
        <v>2665</v>
      </c>
      <c r="I445" s="387" t="s">
        <v>2665</v>
      </c>
    </row>
    <row r="446" spans="1:9" hidden="1" x14ac:dyDescent="0.2">
      <c r="A446" s="389" t="s">
        <v>2011</v>
      </c>
      <c r="B446" s="389"/>
      <c r="C446" s="390" t="s">
        <v>2034</v>
      </c>
      <c r="D446" s="389" t="s">
        <v>36</v>
      </c>
      <c r="E446" s="389" t="s">
        <v>2035</v>
      </c>
      <c r="F446" s="391" t="s">
        <v>2018</v>
      </c>
      <c r="G446" s="390" t="s">
        <v>2616</v>
      </c>
      <c r="H446" s="390" t="s">
        <v>2037</v>
      </c>
      <c r="I446" s="392">
        <v>2.86</v>
      </c>
    </row>
    <row r="447" spans="1:9" hidden="1" x14ac:dyDescent="0.2">
      <c r="A447" s="389" t="s">
        <v>2011</v>
      </c>
      <c r="B447" s="389"/>
      <c r="C447" s="390" t="s">
        <v>2106</v>
      </c>
      <c r="D447" s="389" t="s">
        <v>36</v>
      </c>
      <c r="E447" s="389" t="s">
        <v>2107</v>
      </c>
      <c r="F447" s="391" t="s">
        <v>2018</v>
      </c>
      <c r="G447" s="390" t="s">
        <v>2616</v>
      </c>
      <c r="H447" s="390" t="s">
        <v>2108</v>
      </c>
      <c r="I447" s="392">
        <v>3.64</v>
      </c>
    </row>
    <row r="448" spans="1:9" x14ac:dyDescent="0.2">
      <c r="A448" s="393" t="s">
        <v>2024</v>
      </c>
      <c r="B448" s="393"/>
      <c r="C448" s="394" t="s">
        <v>2666</v>
      </c>
      <c r="D448" s="393" t="s">
        <v>10</v>
      </c>
      <c r="E448" s="393" t="s">
        <v>2667</v>
      </c>
      <c r="F448" s="395" t="s">
        <v>266</v>
      </c>
      <c r="G448" s="394" t="s">
        <v>2026</v>
      </c>
      <c r="H448" s="394" t="s">
        <v>2668</v>
      </c>
      <c r="I448" s="396">
        <v>32.61</v>
      </c>
    </row>
    <row r="449" spans="1:9" ht="15" hidden="1" thickTop="1" x14ac:dyDescent="0.2">
      <c r="A449" s="188"/>
      <c r="B449" s="188"/>
      <c r="C449" s="188"/>
      <c r="D449" s="188"/>
      <c r="E449" s="188"/>
      <c r="F449" s="188"/>
      <c r="G449" s="188"/>
      <c r="H449" s="188"/>
      <c r="I449" s="188"/>
    </row>
    <row r="450" spans="1:9" ht="15" hidden="1" x14ac:dyDescent="0.2">
      <c r="A450" s="121"/>
      <c r="B450" s="121" t="s">
        <v>65</v>
      </c>
      <c r="C450" s="117" t="s">
        <v>46</v>
      </c>
      <c r="D450" s="121" t="s">
        <v>21</v>
      </c>
      <c r="E450" s="121" t="s">
        <v>37</v>
      </c>
      <c r="F450" s="118" t="s">
        <v>26</v>
      </c>
      <c r="G450" s="117" t="s">
        <v>61</v>
      </c>
      <c r="H450" s="117" t="s">
        <v>79</v>
      </c>
      <c r="I450" s="117" t="s">
        <v>50</v>
      </c>
    </row>
    <row r="451" spans="1:9" x14ac:dyDescent="0.2">
      <c r="A451" s="386" t="s">
        <v>2007</v>
      </c>
      <c r="B451" s="386" t="s">
        <v>2669</v>
      </c>
      <c r="C451" s="387" t="s">
        <v>2670</v>
      </c>
      <c r="D451" s="386" t="s">
        <v>10</v>
      </c>
      <c r="E451" s="386" t="s">
        <v>580</v>
      </c>
      <c r="F451" s="388" t="s">
        <v>168</v>
      </c>
      <c r="G451" s="387">
        <v>1</v>
      </c>
      <c r="H451" s="387" t="s">
        <v>2671</v>
      </c>
      <c r="I451" s="387" t="s">
        <v>2671</v>
      </c>
    </row>
    <row r="452" spans="1:9" hidden="1" x14ac:dyDescent="0.2">
      <c r="A452" s="389" t="s">
        <v>2011</v>
      </c>
      <c r="B452" s="389"/>
      <c r="C452" s="390" t="s">
        <v>2034</v>
      </c>
      <c r="D452" s="389" t="s">
        <v>36</v>
      </c>
      <c r="E452" s="389" t="s">
        <v>2035</v>
      </c>
      <c r="F452" s="391" t="s">
        <v>2018</v>
      </c>
      <c r="G452" s="390" t="s">
        <v>2046</v>
      </c>
      <c r="H452" s="390" t="s">
        <v>2037</v>
      </c>
      <c r="I452" s="392">
        <v>5.72</v>
      </c>
    </row>
    <row r="453" spans="1:9" hidden="1" x14ac:dyDescent="0.2">
      <c r="A453" s="389" t="s">
        <v>2011</v>
      </c>
      <c r="B453" s="389"/>
      <c r="C453" s="390" t="s">
        <v>2106</v>
      </c>
      <c r="D453" s="389" t="s">
        <v>36</v>
      </c>
      <c r="E453" s="389" t="s">
        <v>2107</v>
      </c>
      <c r="F453" s="391" t="s">
        <v>2018</v>
      </c>
      <c r="G453" s="390" t="s">
        <v>2046</v>
      </c>
      <c r="H453" s="390" t="s">
        <v>2108</v>
      </c>
      <c r="I453" s="392">
        <v>7.28</v>
      </c>
    </row>
    <row r="454" spans="1:9" x14ac:dyDescent="0.2">
      <c r="A454" s="393" t="s">
        <v>2024</v>
      </c>
      <c r="B454" s="393"/>
      <c r="C454" s="394" t="s">
        <v>2672</v>
      </c>
      <c r="D454" s="393" t="s">
        <v>10</v>
      </c>
      <c r="E454" s="393" t="s">
        <v>2673</v>
      </c>
      <c r="F454" s="395" t="s">
        <v>266</v>
      </c>
      <c r="G454" s="394" t="s">
        <v>2026</v>
      </c>
      <c r="H454" s="394" t="s">
        <v>2674</v>
      </c>
      <c r="I454" s="396">
        <v>24.48</v>
      </c>
    </row>
    <row r="455" spans="1:9" ht="15" hidden="1" thickTop="1" x14ac:dyDescent="0.2">
      <c r="A455" s="188"/>
      <c r="B455" s="188"/>
      <c r="C455" s="188"/>
      <c r="D455" s="188"/>
      <c r="E455" s="188"/>
      <c r="F455" s="188"/>
      <c r="G455" s="188"/>
      <c r="H455" s="188"/>
      <c r="I455" s="188"/>
    </row>
    <row r="456" spans="1:9" ht="15" hidden="1" x14ac:dyDescent="0.2">
      <c r="A456" s="121"/>
      <c r="B456" s="121" t="s">
        <v>65</v>
      </c>
      <c r="C456" s="117" t="s">
        <v>46</v>
      </c>
      <c r="D456" s="121" t="s">
        <v>21</v>
      </c>
      <c r="E456" s="121" t="s">
        <v>37</v>
      </c>
      <c r="F456" s="118" t="s">
        <v>26</v>
      </c>
      <c r="G456" s="117" t="s">
        <v>61</v>
      </c>
      <c r="H456" s="117" t="s">
        <v>79</v>
      </c>
      <c r="I456" s="117" t="s">
        <v>50</v>
      </c>
    </row>
    <row r="457" spans="1:9" x14ac:dyDescent="0.2">
      <c r="A457" s="386" t="s">
        <v>2007</v>
      </c>
      <c r="B457" s="386" t="s">
        <v>2675</v>
      </c>
      <c r="C457" s="387" t="s">
        <v>2676</v>
      </c>
      <c r="D457" s="386" t="s">
        <v>10</v>
      </c>
      <c r="E457" s="386" t="s">
        <v>584</v>
      </c>
      <c r="F457" s="388" t="s">
        <v>585</v>
      </c>
      <c r="G457" s="387">
        <v>1</v>
      </c>
      <c r="H457" s="387" t="s">
        <v>2677</v>
      </c>
      <c r="I457" s="387" t="s">
        <v>2677</v>
      </c>
    </row>
    <row r="458" spans="1:9" hidden="1" x14ac:dyDescent="0.2">
      <c r="A458" s="389" t="s">
        <v>2011</v>
      </c>
      <c r="B458" s="389"/>
      <c r="C458" s="390" t="s">
        <v>2106</v>
      </c>
      <c r="D458" s="389" t="s">
        <v>36</v>
      </c>
      <c r="E458" s="389" t="s">
        <v>2107</v>
      </c>
      <c r="F458" s="391" t="s">
        <v>2018</v>
      </c>
      <c r="G458" s="390" t="s">
        <v>2678</v>
      </c>
      <c r="H458" s="390" t="s">
        <v>2108</v>
      </c>
      <c r="I458" s="392">
        <v>0.91</v>
      </c>
    </row>
    <row r="459" spans="1:9" x14ac:dyDescent="0.2">
      <c r="A459" s="393" t="s">
        <v>2024</v>
      </c>
      <c r="B459" s="393"/>
      <c r="C459" s="394" t="s">
        <v>2679</v>
      </c>
      <c r="D459" s="393" t="s">
        <v>10</v>
      </c>
      <c r="E459" s="393" t="s">
        <v>2680</v>
      </c>
      <c r="F459" s="395" t="s">
        <v>168</v>
      </c>
      <c r="G459" s="394" t="s">
        <v>2026</v>
      </c>
      <c r="H459" s="394" t="s">
        <v>2681</v>
      </c>
      <c r="I459" s="396">
        <v>33.1</v>
      </c>
    </row>
    <row r="460" spans="1:9" ht="15" hidden="1" thickTop="1" x14ac:dyDescent="0.2">
      <c r="A460" s="188"/>
      <c r="B460" s="188"/>
      <c r="C460" s="188"/>
      <c r="D460" s="188"/>
      <c r="E460" s="188"/>
      <c r="F460" s="188"/>
      <c r="G460" s="188"/>
      <c r="H460" s="188"/>
      <c r="I460" s="188"/>
    </row>
    <row r="461" spans="1:9" ht="15" hidden="1" x14ac:dyDescent="0.2">
      <c r="A461" s="121"/>
      <c r="B461" s="121" t="s">
        <v>65</v>
      </c>
      <c r="C461" s="117" t="s">
        <v>46</v>
      </c>
      <c r="D461" s="121" t="s">
        <v>21</v>
      </c>
      <c r="E461" s="121" t="s">
        <v>37</v>
      </c>
      <c r="F461" s="118" t="s">
        <v>26</v>
      </c>
      <c r="G461" s="117" t="s">
        <v>61</v>
      </c>
      <c r="H461" s="117" t="s">
        <v>79</v>
      </c>
      <c r="I461" s="117" t="s">
        <v>50</v>
      </c>
    </row>
    <row r="462" spans="1:9" x14ac:dyDescent="0.2">
      <c r="A462" s="386" t="s">
        <v>2007</v>
      </c>
      <c r="B462" s="386" t="s">
        <v>2682</v>
      </c>
      <c r="C462" s="387" t="s">
        <v>2683</v>
      </c>
      <c r="D462" s="386" t="s">
        <v>10</v>
      </c>
      <c r="E462" s="386" t="s">
        <v>1124</v>
      </c>
      <c r="F462" s="388" t="s">
        <v>48</v>
      </c>
      <c r="G462" s="387">
        <v>1</v>
      </c>
      <c r="H462" s="387" t="s">
        <v>2684</v>
      </c>
      <c r="I462" s="387" t="s">
        <v>2684</v>
      </c>
    </row>
    <row r="463" spans="1:9" hidden="1" x14ac:dyDescent="0.2">
      <c r="A463" s="389" t="s">
        <v>2011</v>
      </c>
      <c r="B463" s="389"/>
      <c r="C463" s="390" t="s">
        <v>2558</v>
      </c>
      <c r="D463" s="389" t="s">
        <v>36</v>
      </c>
      <c r="E463" s="389" t="s">
        <v>2559</v>
      </c>
      <c r="F463" s="391" t="s">
        <v>2018</v>
      </c>
      <c r="G463" s="390" t="s">
        <v>2685</v>
      </c>
      <c r="H463" s="390" t="s">
        <v>2560</v>
      </c>
      <c r="I463" s="392">
        <v>2.27</v>
      </c>
    </row>
    <row r="464" spans="1:9" hidden="1" x14ac:dyDescent="0.2">
      <c r="A464" s="389" t="s">
        <v>2011</v>
      </c>
      <c r="B464" s="389"/>
      <c r="C464" s="390" t="s">
        <v>2106</v>
      </c>
      <c r="D464" s="389" t="s">
        <v>36</v>
      </c>
      <c r="E464" s="389" t="s">
        <v>2107</v>
      </c>
      <c r="F464" s="391" t="s">
        <v>2018</v>
      </c>
      <c r="G464" s="390" t="s">
        <v>2685</v>
      </c>
      <c r="H464" s="390" t="s">
        <v>2108</v>
      </c>
      <c r="I464" s="392">
        <v>2.91</v>
      </c>
    </row>
    <row r="465" spans="1:9" x14ac:dyDescent="0.2">
      <c r="A465" s="393" t="s">
        <v>2024</v>
      </c>
      <c r="B465" s="393"/>
      <c r="C465" s="394" t="s">
        <v>2686</v>
      </c>
      <c r="D465" s="393" t="s">
        <v>10</v>
      </c>
      <c r="E465" s="393" t="s">
        <v>2687</v>
      </c>
      <c r="F465" s="395" t="s">
        <v>14</v>
      </c>
      <c r="G465" s="394" t="s">
        <v>2026</v>
      </c>
      <c r="H465" s="394" t="s">
        <v>2688</v>
      </c>
      <c r="I465" s="396">
        <v>1.45</v>
      </c>
    </row>
    <row r="466" spans="1:9" ht="15" hidden="1" thickTop="1" x14ac:dyDescent="0.2">
      <c r="A466" s="188"/>
      <c r="B466" s="188"/>
      <c r="C466" s="188"/>
      <c r="D466" s="188"/>
      <c r="E466" s="188"/>
      <c r="F466" s="188"/>
      <c r="G466" s="188"/>
      <c r="H466" s="188"/>
      <c r="I466" s="188"/>
    </row>
    <row r="467" spans="1:9" ht="15" hidden="1" x14ac:dyDescent="0.2">
      <c r="A467" s="121"/>
      <c r="B467" s="121" t="s">
        <v>65</v>
      </c>
      <c r="C467" s="117" t="s">
        <v>46</v>
      </c>
      <c r="D467" s="121" t="s">
        <v>21</v>
      </c>
      <c r="E467" s="121" t="s">
        <v>37</v>
      </c>
      <c r="F467" s="118" t="s">
        <v>26</v>
      </c>
      <c r="G467" s="117" t="s">
        <v>61</v>
      </c>
      <c r="H467" s="117" t="s">
        <v>79</v>
      </c>
      <c r="I467" s="117" t="s">
        <v>50</v>
      </c>
    </row>
    <row r="468" spans="1:9" x14ac:dyDescent="0.2">
      <c r="A468" s="386" t="s">
        <v>2007</v>
      </c>
      <c r="B468" s="386" t="s">
        <v>2689</v>
      </c>
      <c r="C468" s="387" t="s">
        <v>2690</v>
      </c>
      <c r="D468" s="386" t="s">
        <v>10</v>
      </c>
      <c r="E468" s="386" t="s">
        <v>1130</v>
      </c>
      <c r="F468" s="388" t="s">
        <v>48</v>
      </c>
      <c r="G468" s="387">
        <v>1</v>
      </c>
      <c r="H468" s="387" t="s">
        <v>2691</v>
      </c>
      <c r="I468" s="387" t="s">
        <v>2691</v>
      </c>
    </row>
    <row r="469" spans="1:9" hidden="1" x14ac:dyDescent="0.2">
      <c r="A469" s="389" t="s">
        <v>2011</v>
      </c>
      <c r="B469" s="389"/>
      <c r="C469" s="390" t="s">
        <v>2063</v>
      </c>
      <c r="D469" s="389" t="s">
        <v>36</v>
      </c>
      <c r="E469" s="389" t="s">
        <v>2064</v>
      </c>
      <c r="F469" s="391" t="s">
        <v>2018</v>
      </c>
      <c r="G469" s="390" t="s">
        <v>2692</v>
      </c>
      <c r="H469" s="390" t="s">
        <v>2066</v>
      </c>
      <c r="I469" s="392">
        <v>6.36</v>
      </c>
    </row>
    <row r="470" spans="1:9" hidden="1" x14ac:dyDescent="0.2">
      <c r="A470" s="389" t="s">
        <v>2011</v>
      </c>
      <c r="B470" s="389"/>
      <c r="C470" s="390" t="s">
        <v>2067</v>
      </c>
      <c r="D470" s="389" t="s">
        <v>36</v>
      </c>
      <c r="E470" s="389" t="s">
        <v>2068</v>
      </c>
      <c r="F470" s="391" t="s">
        <v>2018</v>
      </c>
      <c r="G470" s="390" t="s">
        <v>2692</v>
      </c>
      <c r="H470" s="390" t="s">
        <v>2070</v>
      </c>
      <c r="I470" s="392">
        <v>8.1199999999999992</v>
      </c>
    </row>
    <row r="471" spans="1:9" hidden="1" x14ac:dyDescent="0.2">
      <c r="A471" s="393" t="s">
        <v>2024</v>
      </c>
      <c r="B471" s="393"/>
      <c r="C471" s="394" t="s">
        <v>2693</v>
      </c>
      <c r="D471" s="393" t="s">
        <v>36</v>
      </c>
      <c r="E471" s="393" t="s">
        <v>2694</v>
      </c>
      <c r="F471" s="395" t="s">
        <v>48</v>
      </c>
      <c r="G471" s="394" t="s">
        <v>2296</v>
      </c>
      <c r="H471" s="394" t="s">
        <v>2695</v>
      </c>
      <c r="I471" s="396">
        <v>0.14000000000000001</v>
      </c>
    </row>
    <row r="472" spans="1:9" hidden="1" x14ac:dyDescent="0.2">
      <c r="A472" s="393" t="s">
        <v>2024</v>
      </c>
      <c r="B472" s="393"/>
      <c r="C472" s="394" t="s">
        <v>2696</v>
      </c>
      <c r="D472" s="393" t="s">
        <v>36</v>
      </c>
      <c r="E472" s="393" t="s">
        <v>2697</v>
      </c>
      <c r="F472" s="395" t="s">
        <v>48</v>
      </c>
      <c r="G472" s="394" t="s">
        <v>2026</v>
      </c>
      <c r="H472" s="394" t="s">
        <v>2698</v>
      </c>
      <c r="I472" s="396">
        <v>19.12</v>
      </c>
    </row>
    <row r="473" spans="1:9" hidden="1" x14ac:dyDescent="0.2">
      <c r="A473" s="393" t="s">
        <v>2024</v>
      </c>
      <c r="B473" s="393"/>
      <c r="C473" s="394" t="s">
        <v>2289</v>
      </c>
      <c r="D473" s="393" t="s">
        <v>36</v>
      </c>
      <c r="E473" s="393" t="s">
        <v>2290</v>
      </c>
      <c r="F473" s="395" t="s">
        <v>2291</v>
      </c>
      <c r="G473" s="394" t="s">
        <v>2274</v>
      </c>
      <c r="H473" s="394" t="s">
        <v>2293</v>
      </c>
      <c r="I473" s="396">
        <v>0.06</v>
      </c>
    </row>
    <row r="474" spans="1:9" ht="15" hidden="1" thickTop="1" x14ac:dyDescent="0.2">
      <c r="A474" s="188"/>
      <c r="B474" s="188"/>
      <c r="C474" s="188"/>
      <c r="D474" s="188"/>
      <c r="E474" s="188"/>
      <c r="F474" s="188"/>
      <c r="G474" s="188"/>
      <c r="H474" s="188"/>
      <c r="I474" s="188"/>
    </row>
    <row r="475" spans="1:9" ht="15" hidden="1" x14ac:dyDescent="0.2">
      <c r="A475" s="121"/>
      <c r="B475" s="121" t="s">
        <v>65</v>
      </c>
      <c r="C475" s="117" t="s">
        <v>46</v>
      </c>
      <c r="D475" s="121" t="s">
        <v>21</v>
      </c>
      <c r="E475" s="121" t="s">
        <v>37</v>
      </c>
      <c r="F475" s="118" t="s">
        <v>26</v>
      </c>
      <c r="G475" s="117" t="s">
        <v>61</v>
      </c>
      <c r="H475" s="117" t="s">
        <v>79</v>
      </c>
      <c r="I475" s="117" t="s">
        <v>50</v>
      </c>
    </row>
    <row r="476" spans="1:9" ht="22.5" x14ac:dyDescent="0.2">
      <c r="A476" s="386" t="s">
        <v>2007</v>
      </c>
      <c r="B476" s="386" t="s">
        <v>2699</v>
      </c>
      <c r="C476" s="387" t="s">
        <v>2700</v>
      </c>
      <c r="D476" s="386" t="s">
        <v>10</v>
      </c>
      <c r="E476" s="386" t="s">
        <v>1132</v>
      </c>
      <c r="F476" s="388" t="s">
        <v>12</v>
      </c>
      <c r="G476" s="387">
        <v>1</v>
      </c>
      <c r="H476" s="387" t="s">
        <v>2701</v>
      </c>
      <c r="I476" s="387" t="s">
        <v>2701</v>
      </c>
    </row>
    <row r="477" spans="1:9" hidden="1" x14ac:dyDescent="0.2">
      <c r="A477" s="389" t="s">
        <v>2011</v>
      </c>
      <c r="B477" s="389"/>
      <c r="C477" s="390" t="s">
        <v>2558</v>
      </c>
      <c r="D477" s="389" t="s">
        <v>36</v>
      </c>
      <c r="E477" s="389" t="s">
        <v>2559</v>
      </c>
      <c r="F477" s="391" t="s">
        <v>2018</v>
      </c>
      <c r="G477" s="390" t="s">
        <v>2436</v>
      </c>
      <c r="H477" s="390" t="s">
        <v>2560</v>
      </c>
      <c r="I477" s="392">
        <v>7.09</v>
      </c>
    </row>
    <row r="478" spans="1:9" hidden="1" x14ac:dyDescent="0.2">
      <c r="A478" s="389" t="s">
        <v>2011</v>
      </c>
      <c r="B478" s="389"/>
      <c r="C478" s="390" t="s">
        <v>2106</v>
      </c>
      <c r="D478" s="389" t="s">
        <v>36</v>
      </c>
      <c r="E478" s="389" t="s">
        <v>2107</v>
      </c>
      <c r="F478" s="391" t="s">
        <v>2018</v>
      </c>
      <c r="G478" s="390" t="s">
        <v>2436</v>
      </c>
      <c r="H478" s="390" t="s">
        <v>2108</v>
      </c>
      <c r="I478" s="392">
        <v>9.11</v>
      </c>
    </row>
    <row r="479" spans="1:9" x14ac:dyDescent="0.2">
      <c r="A479" s="393" t="s">
        <v>2024</v>
      </c>
      <c r="B479" s="393"/>
      <c r="C479" s="394" t="s">
        <v>2702</v>
      </c>
      <c r="D479" s="393" t="s">
        <v>10</v>
      </c>
      <c r="E479" s="393" t="s">
        <v>2703</v>
      </c>
      <c r="F479" s="395" t="s">
        <v>12</v>
      </c>
      <c r="G479" s="394" t="s">
        <v>2026</v>
      </c>
      <c r="H479" s="394" t="s">
        <v>2704</v>
      </c>
      <c r="I479" s="396">
        <v>2.5299999999999998</v>
      </c>
    </row>
    <row r="480" spans="1:9" ht="15" hidden="1" thickTop="1" x14ac:dyDescent="0.2">
      <c r="A480" s="188"/>
      <c r="B480" s="188"/>
      <c r="C480" s="188"/>
      <c r="D480" s="188"/>
      <c r="E480" s="188"/>
      <c r="F480" s="188"/>
      <c r="G480" s="188"/>
      <c r="H480" s="188"/>
      <c r="I480" s="188"/>
    </row>
    <row r="481" spans="1:9" ht="15" hidden="1" x14ac:dyDescent="0.2">
      <c r="A481" s="121"/>
      <c r="B481" s="121" t="s">
        <v>65</v>
      </c>
      <c r="C481" s="117" t="s">
        <v>46</v>
      </c>
      <c r="D481" s="121" t="s">
        <v>21</v>
      </c>
      <c r="E481" s="121" t="s">
        <v>37</v>
      </c>
      <c r="F481" s="118" t="s">
        <v>26</v>
      </c>
      <c r="G481" s="117" t="s">
        <v>61</v>
      </c>
      <c r="H481" s="117" t="s">
        <v>79</v>
      </c>
      <c r="I481" s="117" t="s">
        <v>50</v>
      </c>
    </row>
    <row r="482" spans="1:9" x14ac:dyDescent="0.2">
      <c r="A482" s="386" t="s">
        <v>2007</v>
      </c>
      <c r="B482" s="386" t="s">
        <v>2705</v>
      </c>
      <c r="C482" s="387" t="s">
        <v>2706</v>
      </c>
      <c r="D482" s="386" t="s">
        <v>10</v>
      </c>
      <c r="E482" s="386" t="s">
        <v>1140</v>
      </c>
      <c r="F482" s="388" t="s">
        <v>48</v>
      </c>
      <c r="G482" s="387">
        <v>1</v>
      </c>
      <c r="H482" s="387" t="s">
        <v>2707</v>
      </c>
      <c r="I482" s="387" t="s">
        <v>2707</v>
      </c>
    </row>
    <row r="483" spans="1:9" hidden="1" x14ac:dyDescent="0.2">
      <c r="A483" s="389" t="s">
        <v>2011</v>
      </c>
      <c r="B483" s="389"/>
      <c r="C483" s="390" t="s">
        <v>2106</v>
      </c>
      <c r="D483" s="389" t="s">
        <v>36</v>
      </c>
      <c r="E483" s="389" t="s">
        <v>2107</v>
      </c>
      <c r="F483" s="391" t="s">
        <v>2018</v>
      </c>
      <c r="G483" s="390" t="s">
        <v>2708</v>
      </c>
      <c r="H483" s="390" t="s">
        <v>2108</v>
      </c>
      <c r="I483" s="392">
        <v>2.73</v>
      </c>
    </row>
    <row r="484" spans="1:9" ht="22.5" hidden="1" x14ac:dyDescent="0.2">
      <c r="A484" s="393" t="s">
        <v>2024</v>
      </c>
      <c r="B484" s="393"/>
      <c r="C484" s="394" t="s">
        <v>2709</v>
      </c>
      <c r="D484" s="393" t="s">
        <v>36</v>
      </c>
      <c r="E484" s="393" t="s">
        <v>2710</v>
      </c>
      <c r="F484" s="395" t="s">
        <v>48</v>
      </c>
      <c r="G484" s="394" t="s">
        <v>2026</v>
      </c>
      <c r="H484" s="394" t="s">
        <v>2332</v>
      </c>
      <c r="I484" s="396">
        <v>0.41</v>
      </c>
    </row>
    <row r="485" spans="1:9" ht="15" hidden="1" thickTop="1" x14ac:dyDescent="0.2">
      <c r="A485" s="188"/>
      <c r="B485" s="188"/>
      <c r="C485" s="188"/>
      <c r="D485" s="188"/>
      <c r="E485" s="188"/>
      <c r="F485" s="188"/>
      <c r="G485" s="188"/>
      <c r="H485" s="188"/>
      <c r="I485" s="188"/>
    </row>
    <row r="486" spans="1:9" ht="15" hidden="1" x14ac:dyDescent="0.2">
      <c r="A486" s="121"/>
      <c r="B486" s="121" t="s">
        <v>65</v>
      </c>
      <c r="C486" s="117" t="s">
        <v>46</v>
      </c>
      <c r="D486" s="121" t="s">
        <v>21</v>
      </c>
      <c r="E486" s="121" t="s">
        <v>37</v>
      </c>
      <c r="F486" s="118" t="s">
        <v>26</v>
      </c>
      <c r="G486" s="117" t="s">
        <v>61</v>
      </c>
      <c r="H486" s="117" t="s">
        <v>79</v>
      </c>
      <c r="I486" s="117" t="s">
        <v>50</v>
      </c>
    </row>
    <row r="487" spans="1:9" x14ac:dyDescent="0.2">
      <c r="A487" s="386" t="s">
        <v>2007</v>
      </c>
      <c r="B487" s="386" t="s">
        <v>2711</v>
      </c>
      <c r="C487" s="387" t="s">
        <v>2712</v>
      </c>
      <c r="D487" s="386" t="s">
        <v>10</v>
      </c>
      <c r="E487" s="386" t="s">
        <v>1146</v>
      </c>
      <c r="F487" s="388" t="s">
        <v>48</v>
      </c>
      <c r="G487" s="387">
        <v>1</v>
      </c>
      <c r="H487" s="387" t="s">
        <v>2713</v>
      </c>
      <c r="I487" s="387" t="s">
        <v>2713</v>
      </c>
    </row>
    <row r="488" spans="1:9" hidden="1" x14ac:dyDescent="0.2">
      <c r="A488" s="389" t="s">
        <v>2011</v>
      </c>
      <c r="B488" s="389"/>
      <c r="C488" s="390" t="s">
        <v>2558</v>
      </c>
      <c r="D488" s="389" t="s">
        <v>36</v>
      </c>
      <c r="E488" s="389" t="s">
        <v>2559</v>
      </c>
      <c r="F488" s="391" t="s">
        <v>2018</v>
      </c>
      <c r="G488" s="390" t="s">
        <v>2364</v>
      </c>
      <c r="H488" s="390" t="s">
        <v>2560</v>
      </c>
      <c r="I488" s="392">
        <v>3.54</v>
      </c>
    </row>
    <row r="489" spans="1:9" hidden="1" x14ac:dyDescent="0.2">
      <c r="A489" s="389" t="s">
        <v>2011</v>
      </c>
      <c r="B489" s="389"/>
      <c r="C489" s="390" t="s">
        <v>2106</v>
      </c>
      <c r="D489" s="389" t="s">
        <v>36</v>
      </c>
      <c r="E489" s="389" t="s">
        <v>2107</v>
      </c>
      <c r="F489" s="391" t="s">
        <v>2018</v>
      </c>
      <c r="G489" s="390" t="s">
        <v>2364</v>
      </c>
      <c r="H489" s="390" t="s">
        <v>2108</v>
      </c>
      <c r="I489" s="392">
        <v>4.55</v>
      </c>
    </row>
    <row r="490" spans="1:9" x14ac:dyDescent="0.2">
      <c r="A490" s="393" t="s">
        <v>2024</v>
      </c>
      <c r="B490" s="393"/>
      <c r="C490" s="394" t="s">
        <v>2714</v>
      </c>
      <c r="D490" s="393" t="s">
        <v>10</v>
      </c>
      <c r="E490" s="393" t="s">
        <v>2715</v>
      </c>
      <c r="F490" s="395" t="s">
        <v>14</v>
      </c>
      <c r="G490" s="394" t="s">
        <v>2026</v>
      </c>
      <c r="H490" s="394" t="s">
        <v>2716</v>
      </c>
      <c r="I490" s="396">
        <v>4.4400000000000004</v>
      </c>
    </row>
    <row r="491" spans="1:9" ht="22.5" hidden="1" x14ac:dyDescent="0.2">
      <c r="A491" s="393" t="s">
        <v>2024</v>
      </c>
      <c r="B491" s="393"/>
      <c r="C491" s="394" t="s">
        <v>2709</v>
      </c>
      <c r="D491" s="393" t="s">
        <v>36</v>
      </c>
      <c r="E491" s="393" t="s">
        <v>2710</v>
      </c>
      <c r="F491" s="395" t="s">
        <v>48</v>
      </c>
      <c r="G491" s="394" t="s">
        <v>2115</v>
      </c>
      <c r="H491" s="394" t="s">
        <v>2332</v>
      </c>
      <c r="I491" s="396">
        <v>0.82</v>
      </c>
    </row>
    <row r="492" spans="1:9" ht="15" hidden="1" thickTop="1" x14ac:dyDescent="0.2">
      <c r="A492" s="188"/>
      <c r="B492" s="188"/>
      <c r="C492" s="188"/>
      <c r="D492" s="188"/>
      <c r="E492" s="188"/>
      <c r="F492" s="188"/>
      <c r="G492" s="188"/>
      <c r="H492" s="188"/>
      <c r="I492" s="188"/>
    </row>
    <row r="493" spans="1:9" ht="15" hidden="1" x14ac:dyDescent="0.2">
      <c r="A493" s="121"/>
      <c r="B493" s="121" t="s">
        <v>65</v>
      </c>
      <c r="C493" s="117" t="s">
        <v>46</v>
      </c>
      <c r="D493" s="121" t="s">
        <v>21</v>
      </c>
      <c r="E493" s="121" t="s">
        <v>37</v>
      </c>
      <c r="F493" s="118" t="s">
        <v>26</v>
      </c>
      <c r="G493" s="117" t="s">
        <v>61</v>
      </c>
      <c r="H493" s="117" t="s">
        <v>79</v>
      </c>
      <c r="I493" s="117" t="s">
        <v>50</v>
      </c>
    </row>
    <row r="494" spans="1:9" x14ac:dyDescent="0.2">
      <c r="A494" s="386" t="s">
        <v>2007</v>
      </c>
      <c r="B494" s="386" t="s">
        <v>2717</v>
      </c>
      <c r="C494" s="387" t="s">
        <v>2718</v>
      </c>
      <c r="D494" s="386" t="s">
        <v>10</v>
      </c>
      <c r="E494" s="386" t="s">
        <v>1148</v>
      </c>
      <c r="F494" s="388" t="s">
        <v>48</v>
      </c>
      <c r="G494" s="387">
        <v>1</v>
      </c>
      <c r="H494" s="387" t="s">
        <v>2719</v>
      </c>
      <c r="I494" s="387" t="s">
        <v>2719</v>
      </c>
    </row>
    <row r="495" spans="1:9" hidden="1" x14ac:dyDescent="0.2">
      <c r="A495" s="389" t="s">
        <v>2011</v>
      </c>
      <c r="B495" s="389"/>
      <c r="C495" s="390" t="s">
        <v>2558</v>
      </c>
      <c r="D495" s="389" t="s">
        <v>36</v>
      </c>
      <c r="E495" s="389" t="s">
        <v>2559</v>
      </c>
      <c r="F495" s="391" t="s">
        <v>2018</v>
      </c>
      <c r="G495" s="390" t="s">
        <v>2364</v>
      </c>
      <c r="H495" s="390" t="s">
        <v>2560</v>
      </c>
      <c r="I495" s="392">
        <v>3.54</v>
      </c>
    </row>
    <row r="496" spans="1:9" hidden="1" x14ac:dyDescent="0.2">
      <c r="A496" s="389" t="s">
        <v>2011</v>
      </c>
      <c r="B496" s="389"/>
      <c r="C496" s="390" t="s">
        <v>2106</v>
      </c>
      <c r="D496" s="389" t="s">
        <v>36</v>
      </c>
      <c r="E496" s="389" t="s">
        <v>2107</v>
      </c>
      <c r="F496" s="391" t="s">
        <v>2018</v>
      </c>
      <c r="G496" s="390" t="s">
        <v>2364</v>
      </c>
      <c r="H496" s="390" t="s">
        <v>2108</v>
      </c>
      <c r="I496" s="392">
        <v>4.55</v>
      </c>
    </row>
    <row r="497" spans="1:9" x14ac:dyDescent="0.2">
      <c r="A497" s="393" t="s">
        <v>2024</v>
      </c>
      <c r="B497" s="393"/>
      <c r="C497" s="394" t="s">
        <v>2720</v>
      </c>
      <c r="D497" s="393" t="s">
        <v>10</v>
      </c>
      <c r="E497" s="393" t="s">
        <v>2721</v>
      </c>
      <c r="F497" s="395" t="s">
        <v>14</v>
      </c>
      <c r="G497" s="394" t="s">
        <v>2026</v>
      </c>
      <c r="H497" s="394" t="s">
        <v>2722</v>
      </c>
      <c r="I497" s="396">
        <v>4.75</v>
      </c>
    </row>
    <row r="498" spans="1:9" ht="22.5" hidden="1" x14ac:dyDescent="0.2">
      <c r="A498" s="393" t="s">
        <v>2024</v>
      </c>
      <c r="B498" s="393"/>
      <c r="C498" s="394" t="s">
        <v>2709</v>
      </c>
      <c r="D498" s="393" t="s">
        <v>36</v>
      </c>
      <c r="E498" s="393" t="s">
        <v>2710</v>
      </c>
      <c r="F498" s="395" t="s">
        <v>48</v>
      </c>
      <c r="G498" s="394" t="s">
        <v>2115</v>
      </c>
      <c r="H498" s="394" t="s">
        <v>2332</v>
      </c>
      <c r="I498" s="396">
        <v>0.82</v>
      </c>
    </row>
    <row r="499" spans="1:9" ht="15" hidden="1" thickTop="1" x14ac:dyDescent="0.2">
      <c r="A499" s="188"/>
      <c r="B499" s="188"/>
      <c r="C499" s="188"/>
      <c r="D499" s="188"/>
      <c r="E499" s="188"/>
      <c r="F499" s="188"/>
      <c r="G499" s="188"/>
      <c r="H499" s="188"/>
      <c r="I499" s="188"/>
    </row>
    <row r="500" spans="1:9" ht="15" hidden="1" x14ac:dyDescent="0.2">
      <c r="A500" s="121"/>
      <c r="B500" s="121" t="s">
        <v>65</v>
      </c>
      <c r="C500" s="117" t="s">
        <v>46</v>
      </c>
      <c r="D500" s="121" t="s">
        <v>21</v>
      </c>
      <c r="E500" s="121" t="s">
        <v>37</v>
      </c>
      <c r="F500" s="118" t="s">
        <v>26</v>
      </c>
      <c r="G500" s="117" t="s">
        <v>61</v>
      </c>
      <c r="H500" s="117" t="s">
        <v>79</v>
      </c>
      <c r="I500" s="117" t="s">
        <v>50</v>
      </c>
    </row>
    <row r="501" spans="1:9" x14ac:dyDescent="0.2">
      <c r="A501" s="386" t="s">
        <v>2007</v>
      </c>
      <c r="B501" s="386" t="s">
        <v>2723</v>
      </c>
      <c r="C501" s="387" t="s">
        <v>2724</v>
      </c>
      <c r="D501" s="386" t="s">
        <v>10</v>
      </c>
      <c r="E501" s="386" t="s">
        <v>593</v>
      </c>
      <c r="F501" s="388" t="s">
        <v>266</v>
      </c>
      <c r="G501" s="387">
        <v>1</v>
      </c>
      <c r="H501" s="387" t="s">
        <v>2725</v>
      </c>
      <c r="I501" s="387" t="s">
        <v>2725</v>
      </c>
    </row>
    <row r="502" spans="1:9" hidden="1" x14ac:dyDescent="0.2">
      <c r="A502" s="389" t="s">
        <v>2011</v>
      </c>
      <c r="B502" s="389"/>
      <c r="C502" s="390" t="s">
        <v>2726</v>
      </c>
      <c r="D502" s="389" t="s">
        <v>36</v>
      </c>
      <c r="E502" s="389" t="s">
        <v>2727</v>
      </c>
      <c r="F502" s="391" t="s">
        <v>2018</v>
      </c>
      <c r="G502" s="390" t="s">
        <v>2026</v>
      </c>
      <c r="H502" s="390" t="s">
        <v>2728</v>
      </c>
      <c r="I502" s="392">
        <v>18.28</v>
      </c>
    </row>
    <row r="503" spans="1:9" x14ac:dyDescent="0.2">
      <c r="A503" s="393" t="s">
        <v>2024</v>
      </c>
      <c r="B503" s="393"/>
      <c r="C503" s="394" t="s">
        <v>2729</v>
      </c>
      <c r="D503" s="393" t="s">
        <v>10</v>
      </c>
      <c r="E503" s="393" t="s">
        <v>2730</v>
      </c>
      <c r="F503" s="395" t="s">
        <v>168</v>
      </c>
      <c r="G503" s="394" t="s">
        <v>2026</v>
      </c>
      <c r="H503" s="394" t="s">
        <v>2731</v>
      </c>
      <c r="I503" s="396">
        <v>402.64</v>
      </c>
    </row>
    <row r="504" spans="1:9" x14ac:dyDescent="0.2">
      <c r="A504" s="393" t="s">
        <v>2024</v>
      </c>
      <c r="B504" s="393"/>
      <c r="C504" s="394" t="s">
        <v>2732</v>
      </c>
      <c r="D504" s="393" t="s">
        <v>10</v>
      </c>
      <c r="E504" s="393" t="s">
        <v>2733</v>
      </c>
      <c r="F504" s="395" t="s">
        <v>168</v>
      </c>
      <c r="G504" s="394" t="s">
        <v>2026</v>
      </c>
      <c r="H504" s="394" t="s">
        <v>2734</v>
      </c>
      <c r="I504" s="396">
        <v>22.5</v>
      </c>
    </row>
    <row r="505" spans="1:9" ht="15" hidden="1" thickTop="1" x14ac:dyDescent="0.2">
      <c r="A505" s="188"/>
      <c r="B505" s="188"/>
      <c r="C505" s="188"/>
      <c r="D505" s="188"/>
      <c r="E505" s="188"/>
      <c r="F505" s="188"/>
      <c r="G505" s="188"/>
      <c r="H505" s="188"/>
      <c r="I505" s="188"/>
    </row>
    <row r="506" spans="1:9" ht="15" hidden="1" x14ac:dyDescent="0.2">
      <c r="A506" s="121"/>
      <c r="B506" s="121" t="s">
        <v>65</v>
      </c>
      <c r="C506" s="117" t="s">
        <v>46</v>
      </c>
      <c r="D506" s="121" t="s">
        <v>21</v>
      </c>
      <c r="E506" s="121" t="s">
        <v>37</v>
      </c>
      <c r="F506" s="118" t="s">
        <v>26</v>
      </c>
      <c r="G506" s="117" t="s">
        <v>61</v>
      </c>
      <c r="H506" s="117" t="s">
        <v>79</v>
      </c>
      <c r="I506" s="117" t="s">
        <v>50</v>
      </c>
    </row>
    <row r="507" spans="1:9" x14ac:dyDescent="0.2">
      <c r="A507" s="386" t="s">
        <v>2007</v>
      </c>
      <c r="B507" s="386" t="s">
        <v>2735</v>
      </c>
      <c r="C507" s="387" t="s">
        <v>2736</v>
      </c>
      <c r="D507" s="386" t="s">
        <v>10</v>
      </c>
      <c r="E507" s="386" t="s">
        <v>1152</v>
      </c>
      <c r="F507" s="388" t="s">
        <v>48</v>
      </c>
      <c r="G507" s="387">
        <v>1</v>
      </c>
      <c r="H507" s="387" t="s">
        <v>2737</v>
      </c>
      <c r="I507" s="387" t="s">
        <v>2737</v>
      </c>
    </row>
    <row r="508" spans="1:9" x14ac:dyDescent="0.2">
      <c r="A508" s="393" t="s">
        <v>2024</v>
      </c>
      <c r="B508" s="393"/>
      <c r="C508" s="394" t="s">
        <v>2738</v>
      </c>
      <c r="D508" s="393" t="s">
        <v>10</v>
      </c>
      <c r="E508" s="393" t="s">
        <v>2739</v>
      </c>
      <c r="F508" s="395" t="s">
        <v>48</v>
      </c>
      <c r="G508" s="394" t="s">
        <v>2026</v>
      </c>
      <c r="H508" s="394" t="s">
        <v>2737</v>
      </c>
      <c r="I508" s="396">
        <v>263.79000000000002</v>
      </c>
    </row>
    <row r="509" spans="1:9" ht="15" hidden="1" thickTop="1" x14ac:dyDescent="0.2">
      <c r="A509" s="188"/>
      <c r="B509" s="188"/>
      <c r="C509" s="188"/>
      <c r="D509" s="188"/>
      <c r="E509" s="188"/>
      <c r="F509" s="188"/>
      <c r="G509" s="188"/>
      <c r="H509" s="188"/>
      <c r="I509" s="188"/>
    </row>
    <row r="510" spans="1:9" ht="15" hidden="1" x14ac:dyDescent="0.2">
      <c r="A510" s="121"/>
      <c r="B510" s="121" t="s">
        <v>65</v>
      </c>
      <c r="C510" s="117" t="s">
        <v>46</v>
      </c>
      <c r="D510" s="121" t="s">
        <v>21</v>
      </c>
      <c r="E510" s="121" t="s">
        <v>37</v>
      </c>
      <c r="F510" s="118" t="s">
        <v>26</v>
      </c>
      <c r="G510" s="117" t="s">
        <v>61</v>
      </c>
      <c r="H510" s="117" t="s">
        <v>79</v>
      </c>
      <c r="I510" s="117" t="s">
        <v>50</v>
      </c>
    </row>
    <row r="511" spans="1:9" x14ac:dyDescent="0.2">
      <c r="A511" s="386" t="s">
        <v>2007</v>
      </c>
      <c r="B511" s="386" t="s">
        <v>2740</v>
      </c>
      <c r="C511" s="387" t="s">
        <v>2741</v>
      </c>
      <c r="D511" s="386" t="s">
        <v>10</v>
      </c>
      <c r="E511" s="386" t="s">
        <v>599</v>
      </c>
      <c r="F511" s="388" t="s">
        <v>12</v>
      </c>
      <c r="G511" s="387">
        <v>1</v>
      </c>
      <c r="H511" s="387" t="s">
        <v>2742</v>
      </c>
      <c r="I511" s="387" t="s">
        <v>2742</v>
      </c>
    </row>
    <row r="512" spans="1:9" hidden="1" x14ac:dyDescent="0.2">
      <c r="A512" s="389" t="s">
        <v>2011</v>
      </c>
      <c r="B512" s="389"/>
      <c r="C512" s="390" t="s">
        <v>2558</v>
      </c>
      <c r="D512" s="389" t="s">
        <v>36</v>
      </c>
      <c r="E512" s="389" t="s">
        <v>2559</v>
      </c>
      <c r="F512" s="391" t="s">
        <v>2018</v>
      </c>
      <c r="G512" s="390" t="s">
        <v>2205</v>
      </c>
      <c r="H512" s="390" t="s">
        <v>2560</v>
      </c>
      <c r="I512" s="392">
        <v>0.85</v>
      </c>
    </row>
    <row r="513" spans="1:9" hidden="1" x14ac:dyDescent="0.2">
      <c r="A513" s="389" t="s">
        <v>2011</v>
      </c>
      <c r="B513" s="389"/>
      <c r="C513" s="390" t="s">
        <v>2106</v>
      </c>
      <c r="D513" s="389" t="s">
        <v>36</v>
      </c>
      <c r="E513" s="389" t="s">
        <v>2107</v>
      </c>
      <c r="F513" s="391" t="s">
        <v>2018</v>
      </c>
      <c r="G513" s="390" t="s">
        <v>2205</v>
      </c>
      <c r="H513" s="390" t="s">
        <v>2108</v>
      </c>
      <c r="I513" s="392">
        <v>1.0900000000000001</v>
      </c>
    </row>
    <row r="514" spans="1:9" x14ac:dyDescent="0.2">
      <c r="A514" s="393" t="s">
        <v>2024</v>
      </c>
      <c r="B514" s="393"/>
      <c r="C514" s="394" t="s">
        <v>2743</v>
      </c>
      <c r="D514" s="393" t="s">
        <v>10</v>
      </c>
      <c r="E514" s="393" t="s">
        <v>2744</v>
      </c>
      <c r="F514" s="395" t="s">
        <v>12</v>
      </c>
      <c r="G514" s="394" t="s">
        <v>2026</v>
      </c>
      <c r="H514" s="394" t="s">
        <v>2745</v>
      </c>
      <c r="I514" s="396">
        <v>1.8</v>
      </c>
    </row>
    <row r="515" spans="1:9" ht="15" hidden="1" thickTop="1" x14ac:dyDescent="0.2">
      <c r="A515" s="188"/>
      <c r="B515" s="188"/>
      <c r="C515" s="188"/>
      <c r="D515" s="188"/>
      <c r="E515" s="188"/>
      <c r="F515" s="188"/>
      <c r="G515" s="188"/>
      <c r="H515" s="188"/>
      <c r="I515" s="188"/>
    </row>
    <row r="516" spans="1:9" ht="15" hidden="1" x14ac:dyDescent="0.2">
      <c r="A516" s="121"/>
      <c r="B516" s="121" t="s">
        <v>65</v>
      </c>
      <c r="C516" s="117" t="s">
        <v>46</v>
      </c>
      <c r="D516" s="121" t="s">
        <v>21</v>
      </c>
      <c r="E516" s="121" t="s">
        <v>37</v>
      </c>
      <c r="F516" s="118" t="s">
        <v>26</v>
      </c>
      <c r="G516" s="117" t="s">
        <v>61</v>
      </c>
      <c r="H516" s="117" t="s">
        <v>79</v>
      </c>
      <c r="I516" s="117" t="s">
        <v>50</v>
      </c>
    </row>
    <row r="517" spans="1:9" x14ac:dyDescent="0.2">
      <c r="A517" s="386" t="s">
        <v>2007</v>
      </c>
      <c r="B517" s="386" t="s">
        <v>2746</v>
      </c>
      <c r="C517" s="387" t="s">
        <v>2747</v>
      </c>
      <c r="D517" s="386" t="s">
        <v>10</v>
      </c>
      <c r="E517" s="386" t="s">
        <v>607</v>
      </c>
      <c r="F517" s="388" t="s">
        <v>48</v>
      </c>
      <c r="G517" s="387">
        <v>1</v>
      </c>
      <c r="H517" s="387" t="s">
        <v>2748</v>
      </c>
      <c r="I517" s="387" t="s">
        <v>2748</v>
      </c>
    </row>
    <row r="518" spans="1:9" hidden="1" x14ac:dyDescent="0.2">
      <c r="A518" s="389" t="s">
        <v>2011</v>
      </c>
      <c r="B518" s="389"/>
      <c r="C518" s="390" t="s">
        <v>2558</v>
      </c>
      <c r="D518" s="389" t="s">
        <v>36</v>
      </c>
      <c r="E518" s="389" t="s">
        <v>2559</v>
      </c>
      <c r="F518" s="391" t="s">
        <v>2018</v>
      </c>
      <c r="G518" s="390" t="s">
        <v>2115</v>
      </c>
      <c r="H518" s="390" t="s">
        <v>2560</v>
      </c>
      <c r="I518" s="392">
        <v>28.38</v>
      </c>
    </row>
    <row r="519" spans="1:9" hidden="1" x14ac:dyDescent="0.2">
      <c r="A519" s="389" t="s">
        <v>2011</v>
      </c>
      <c r="B519" s="389"/>
      <c r="C519" s="390" t="s">
        <v>2106</v>
      </c>
      <c r="D519" s="389" t="s">
        <v>36</v>
      </c>
      <c r="E519" s="389" t="s">
        <v>2107</v>
      </c>
      <c r="F519" s="391" t="s">
        <v>2018</v>
      </c>
      <c r="G519" s="390" t="s">
        <v>2065</v>
      </c>
      <c r="H519" s="390" t="s">
        <v>2108</v>
      </c>
      <c r="I519" s="392">
        <v>72.88</v>
      </c>
    </row>
    <row r="520" spans="1:9" x14ac:dyDescent="0.2">
      <c r="A520" s="393" t="s">
        <v>2024</v>
      </c>
      <c r="B520" s="393"/>
      <c r="C520" s="394" t="s">
        <v>2749</v>
      </c>
      <c r="D520" s="393" t="s">
        <v>10</v>
      </c>
      <c r="E520" s="393" t="s">
        <v>607</v>
      </c>
      <c r="F520" s="395" t="s">
        <v>48</v>
      </c>
      <c r="G520" s="394" t="s">
        <v>2026</v>
      </c>
      <c r="H520" s="394" t="s">
        <v>2750</v>
      </c>
      <c r="I520" s="396">
        <v>2922</v>
      </c>
    </row>
    <row r="521" spans="1:9" ht="15" hidden="1" thickTop="1" x14ac:dyDescent="0.2">
      <c r="A521" s="188"/>
      <c r="B521" s="188"/>
      <c r="C521" s="188"/>
      <c r="D521" s="188"/>
      <c r="E521" s="188"/>
      <c r="F521" s="188"/>
      <c r="G521" s="188"/>
      <c r="H521" s="188"/>
      <c r="I521" s="188"/>
    </row>
    <row r="522" spans="1:9" ht="15" hidden="1" x14ac:dyDescent="0.2">
      <c r="A522" s="121"/>
      <c r="B522" s="121" t="s">
        <v>65</v>
      </c>
      <c r="C522" s="117" t="s">
        <v>46</v>
      </c>
      <c r="D522" s="121" t="s">
        <v>21</v>
      </c>
      <c r="E522" s="121" t="s">
        <v>37</v>
      </c>
      <c r="F522" s="118" t="s">
        <v>26</v>
      </c>
      <c r="G522" s="117" t="s">
        <v>61</v>
      </c>
      <c r="H522" s="117" t="s">
        <v>79</v>
      </c>
      <c r="I522" s="117" t="s">
        <v>50</v>
      </c>
    </row>
    <row r="523" spans="1:9" x14ac:dyDescent="0.2">
      <c r="A523" s="386" t="s">
        <v>2007</v>
      </c>
      <c r="B523" s="386" t="s">
        <v>2751</v>
      </c>
      <c r="C523" s="387" t="s">
        <v>2752</v>
      </c>
      <c r="D523" s="386" t="s">
        <v>10</v>
      </c>
      <c r="E523" s="386" t="s">
        <v>609</v>
      </c>
      <c r="F523" s="388" t="s">
        <v>168</v>
      </c>
      <c r="G523" s="387">
        <v>1</v>
      </c>
      <c r="H523" s="387" t="s">
        <v>2753</v>
      </c>
      <c r="I523" s="387" t="s">
        <v>2753</v>
      </c>
    </row>
    <row r="524" spans="1:9" hidden="1" x14ac:dyDescent="0.2">
      <c r="A524" s="389" t="s">
        <v>2011</v>
      </c>
      <c r="B524" s="389"/>
      <c r="C524" s="390" t="s">
        <v>2034</v>
      </c>
      <c r="D524" s="389" t="s">
        <v>36</v>
      </c>
      <c r="E524" s="389" t="s">
        <v>2035</v>
      </c>
      <c r="F524" s="391" t="s">
        <v>2018</v>
      </c>
      <c r="G524" s="390" t="s">
        <v>2436</v>
      </c>
      <c r="H524" s="390" t="s">
        <v>2037</v>
      </c>
      <c r="I524" s="392">
        <v>7.15</v>
      </c>
    </row>
    <row r="525" spans="1:9" hidden="1" x14ac:dyDescent="0.2">
      <c r="A525" s="389" t="s">
        <v>2011</v>
      </c>
      <c r="B525" s="389"/>
      <c r="C525" s="390" t="s">
        <v>2106</v>
      </c>
      <c r="D525" s="389" t="s">
        <v>36</v>
      </c>
      <c r="E525" s="389" t="s">
        <v>2107</v>
      </c>
      <c r="F525" s="391" t="s">
        <v>2018</v>
      </c>
      <c r="G525" s="390" t="s">
        <v>2436</v>
      </c>
      <c r="H525" s="390" t="s">
        <v>2108</v>
      </c>
      <c r="I525" s="392">
        <v>9.11</v>
      </c>
    </row>
    <row r="526" spans="1:9" x14ac:dyDescent="0.2">
      <c r="A526" s="393" t="s">
        <v>2024</v>
      </c>
      <c r="B526" s="393"/>
      <c r="C526" s="394" t="s">
        <v>2754</v>
      </c>
      <c r="D526" s="393" t="s">
        <v>10</v>
      </c>
      <c r="E526" s="393" t="s">
        <v>2755</v>
      </c>
      <c r="F526" s="395" t="s">
        <v>14</v>
      </c>
      <c r="G526" s="394" t="s">
        <v>2026</v>
      </c>
      <c r="H526" s="394" t="s">
        <v>2756</v>
      </c>
      <c r="I526" s="396">
        <v>458.45</v>
      </c>
    </row>
    <row r="527" spans="1:9" ht="15" hidden="1" thickTop="1" x14ac:dyDescent="0.2">
      <c r="A527" s="188"/>
      <c r="B527" s="188"/>
      <c r="C527" s="188"/>
      <c r="D527" s="188"/>
      <c r="E527" s="188"/>
      <c r="F527" s="188"/>
      <c r="G527" s="188"/>
      <c r="H527" s="188"/>
      <c r="I527" s="188"/>
    </row>
    <row r="528" spans="1:9" ht="15" hidden="1" x14ac:dyDescent="0.2">
      <c r="A528" s="121"/>
      <c r="B528" s="121" t="s">
        <v>65</v>
      </c>
      <c r="C528" s="117" t="s">
        <v>46</v>
      </c>
      <c r="D528" s="121" t="s">
        <v>21</v>
      </c>
      <c r="E528" s="121" t="s">
        <v>37</v>
      </c>
      <c r="F528" s="118" t="s">
        <v>26</v>
      </c>
      <c r="G528" s="117" t="s">
        <v>61</v>
      </c>
      <c r="H528" s="117" t="s">
        <v>79</v>
      </c>
      <c r="I528" s="117" t="s">
        <v>50</v>
      </c>
    </row>
    <row r="529" spans="1:9" x14ac:dyDescent="0.2">
      <c r="A529" s="386" t="s">
        <v>2007</v>
      </c>
      <c r="B529" s="386" t="s">
        <v>2757</v>
      </c>
      <c r="C529" s="387" t="s">
        <v>2758</v>
      </c>
      <c r="D529" s="386" t="s">
        <v>10</v>
      </c>
      <c r="E529" s="386" t="s">
        <v>1158</v>
      </c>
      <c r="F529" s="388" t="s">
        <v>48</v>
      </c>
      <c r="G529" s="387">
        <v>1</v>
      </c>
      <c r="H529" s="387" t="s">
        <v>2759</v>
      </c>
      <c r="I529" s="387" t="s">
        <v>2759</v>
      </c>
    </row>
    <row r="530" spans="1:9" hidden="1" x14ac:dyDescent="0.2">
      <c r="A530" s="389" t="s">
        <v>2011</v>
      </c>
      <c r="B530" s="389"/>
      <c r="C530" s="390" t="s">
        <v>2558</v>
      </c>
      <c r="D530" s="389" t="s">
        <v>36</v>
      </c>
      <c r="E530" s="389" t="s">
        <v>2559</v>
      </c>
      <c r="F530" s="391" t="s">
        <v>2018</v>
      </c>
      <c r="G530" s="390" t="s">
        <v>2760</v>
      </c>
      <c r="H530" s="390" t="s">
        <v>2560</v>
      </c>
      <c r="I530" s="392">
        <v>2.92</v>
      </c>
    </row>
    <row r="531" spans="1:9" x14ac:dyDescent="0.2">
      <c r="A531" s="393" t="s">
        <v>2024</v>
      </c>
      <c r="B531" s="393"/>
      <c r="C531" s="394" t="s">
        <v>2761</v>
      </c>
      <c r="D531" s="393" t="s">
        <v>10</v>
      </c>
      <c r="E531" s="393" t="s">
        <v>1158</v>
      </c>
      <c r="F531" s="395" t="s">
        <v>48</v>
      </c>
      <c r="G531" s="394" t="s">
        <v>2026</v>
      </c>
      <c r="H531" s="394" t="s">
        <v>2762</v>
      </c>
      <c r="I531" s="396">
        <v>84.73</v>
      </c>
    </row>
    <row r="532" spans="1:9" ht="15" hidden="1" thickTop="1" x14ac:dyDescent="0.2">
      <c r="A532" s="188"/>
      <c r="B532" s="188"/>
      <c r="C532" s="188"/>
      <c r="D532" s="188"/>
      <c r="E532" s="188"/>
      <c r="F532" s="188"/>
      <c r="G532" s="188"/>
      <c r="H532" s="188"/>
      <c r="I532" s="188"/>
    </row>
    <row r="533" spans="1:9" ht="15" hidden="1" x14ac:dyDescent="0.2">
      <c r="A533" s="121"/>
      <c r="B533" s="121" t="s">
        <v>65</v>
      </c>
      <c r="C533" s="117" t="s">
        <v>46</v>
      </c>
      <c r="D533" s="121" t="s">
        <v>21</v>
      </c>
      <c r="E533" s="121" t="s">
        <v>37</v>
      </c>
      <c r="F533" s="118" t="s">
        <v>26</v>
      </c>
      <c r="G533" s="117" t="s">
        <v>61</v>
      </c>
      <c r="H533" s="117" t="s">
        <v>79</v>
      </c>
      <c r="I533" s="117" t="s">
        <v>50</v>
      </c>
    </row>
    <row r="534" spans="1:9" ht="22.5" x14ac:dyDescent="0.2">
      <c r="A534" s="386" t="s">
        <v>2007</v>
      </c>
      <c r="B534" s="386" t="s">
        <v>2763</v>
      </c>
      <c r="C534" s="387" t="s">
        <v>2764</v>
      </c>
      <c r="D534" s="386" t="s">
        <v>10</v>
      </c>
      <c r="E534" s="386" t="s">
        <v>605</v>
      </c>
      <c r="F534" s="388" t="s">
        <v>266</v>
      </c>
      <c r="G534" s="387">
        <v>1</v>
      </c>
      <c r="H534" s="387" t="s">
        <v>2765</v>
      </c>
      <c r="I534" s="387" t="s">
        <v>2765</v>
      </c>
    </row>
    <row r="535" spans="1:9" hidden="1" x14ac:dyDescent="0.2">
      <c r="A535" s="389" t="s">
        <v>2011</v>
      </c>
      <c r="B535" s="389"/>
      <c r="C535" s="390" t="s">
        <v>2106</v>
      </c>
      <c r="D535" s="389" t="s">
        <v>36</v>
      </c>
      <c r="E535" s="389" t="s">
        <v>2107</v>
      </c>
      <c r="F535" s="391" t="s">
        <v>2018</v>
      </c>
      <c r="G535" s="390" t="s">
        <v>2616</v>
      </c>
      <c r="H535" s="390" t="s">
        <v>2108</v>
      </c>
      <c r="I535" s="392">
        <v>3.64</v>
      </c>
    </row>
    <row r="536" spans="1:9" x14ac:dyDescent="0.2">
      <c r="A536" s="393" t="s">
        <v>2024</v>
      </c>
      <c r="B536" s="393"/>
      <c r="C536" s="394" t="s">
        <v>2766</v>
      </c>
      <c r="D536" s="393" t="s">
        <v>10</v>
      </c>
      <c r="E536" s="393" t="s">
        <v>2767</v>
      </c>
      <c r="F536" s="395" t="s">
        <v>168</v>
      </c>
      <c r="G536" s="394" t="s">
        <v>2026</v>
      </c>
      <c r="H536" s="394" t="s">
        <v>2701</v>
      </c>
      <c r="I536" s="396">
        <v>18.73</v>
      </c>
    </row>
    <row r="537" spans="1:9" ht="15" hidden="1" thickTop="1" x14ac:dyDescent="0.2">
      <c r="A537" s="188"/>
      <c r="B537" s="188"/>
      <c r="C537" s="188"/>
      <c r="D537" s="188"/>
      <c r="E537" s="188"/>
      <c r="F537" s="188"/>
      <c r="G537" s="188"/>
      <c r="H537" s="188"/>
      <c r="I537" s="188"/>
    </row>
    <row r="538" spans="1:9" ht="15" hidden="1" x14ac:dyDescent="0.2">
      <c r="A538" s="121"/>
      <c r="B538" s="121" t="s">
        <v>65</v>
      </c>
      <c r="C538" s="117" t="s">
        <v>46</v>
      </c>
      <c r="D538" s="121" t="s">
        <v>21</v>
      </c>
      <c r="E538" s="121" t="s">
        <v>37</v>
      </c>
      <c r="F538" s="118" t="s">
        <v>26</v>
      </c>
      <c r="G538" s="117" t="s">
        <v>61</v>
      </c>
      <c r="H538" s="117" t="s">
        <v>79</v>
      </c>
      <c r="I538" s="117" t="s">
        <v>50</v>
      </c>
    </row>
    <row r="539" spans="1:9" x14ac:dyDescent="0.2">
      <c r="A539" s="386" t="s">
        <v>2007</v>
      </c>
      <c r="B539" s="386" t="s">
        <v>2768</v>
      </c>
      <c r="C539" s="387" t="s">
        <v>2769</v>
      </c>
      <c r="D539" s="386" t="s">
        <v>10</v>
      </c>
      <c r="E539" s="386" t="s">
        <v>611</v>
      </c>
      <c r="F539" s="388" t="s">
        <v>48</v>
      </c>
      <c r="G539" s="387">
        <v>1</v>
      </c>
      <c r="H539" s="387" t="s">
        <v>2770</v>
      </c>
      <c r="I539" s="387" t="s">
        <v>2770</v>
      </c>
    </row>
    <row r="540" spans="1:9" hidden="1" x14ac:dyDescent="0.2">
      <c r="A540" s="389" t="s">
        <v>2011</v>
      </c>
      <c r="B540" s="389"/>
      <c r="C540" s="390" t="s">
        <v>2558</v>
      </c>
      <c r="D540" s="389" t="s">
        <v>36</v>
      </c>
      <c r="E540" s="389" t="s">
        <v>2559</v>
      </c>
      <c r="F540" s="391" t="s">
        <v>2018</v>
      </c>
      <c r="G540" s="390" t="s">
        <v>2771</v>
      </c>
      <c r="H540" s="390" t="s">
        <v>2560</v>
      </c>
      <c r="I540" s="392">
        <v>8.7799999999999994</v>
      </c>
    </row>
    <row r="541" spans="1:9" x14ac:dyDescent="0.2">
      <c r="A541" s="393" t="s">
        <v>2024</v>
      </c>
      <c r="B541" s="393"/>
      <c r="C541" s="394" t="s">
        <v>2772</v>
      </c>
      <c r="D541" s="393" t="s">
        <v>10</v>
      </c>
      <c r="E541" s="393" t="s">
        <v>611</v>
      </c>
      <c r="F541" s="395" t="s">
        <v>48</v>
      </c>
      <c r="G541" s="394" t="s">
        <v>2026</v>
      </c>
      <c r="H541" s="394" t="s">
        <v>2773</v>
      </c>
      <c r="I541" s="396">
        <v>23.03</v>
      </c>
    </row>
    <row r="542" spans="1:9" ht="15" hidden="1" thickTop="1" x14ac:dyDescent="0.2">
      <c r="A542" s="188"/>
      <c r="B542" s="188"/>
      <c r="C542" s="188"/>
      <c r="D542" s="188"/>
      <c r="E542" s="188"/>
      <c r="F542" s="188"/>
      <c r="G542" s="188"/>
      <c r="H542" s="188"/>
      <c r="I542" s="188"/>
    </row>
    <row r="543" spans="1:9" ht="15" hidden="1" x14ac:dyDescent="0.2">
      <c r="A543" s="121"/>
      <c r="B543" s="121" t="s">
        <v>65</v>
      </c>
      <c r="C543" s="117" t="s">
        <v>46</v>
      </c>
      <c r="D543" s="121" t="s">
        <v>21</v>
      </c>
      <c r="E543" s="121" t="s">
        <v>37</v>
      </c>
      <c r="F543" s="118" t="s">
        <v>26</v>
      </c>
      <c r="G543" s="117" t="s">
        <v>61</v>
      </c>
      <c r="H543" s="117" t="s">
        <v>79</v>
      </c>
      <c r="I543" s="117" t="s">
        <v>50</v>
      </c>
    </row>
    <row r="544" spans="1:9" x14ac:dyDescent="0.2">
      <c r="A544" s="386" t="s">
        <v>2007</v>
      </c>
      <c r="B544" s="386" t="s">
        <v>2774</v>
      </c>
      <c r="C544" s="387" t="s">
        <v>2775</v>
      </c>
      <c r="D544" s="386" t="s">
        <v>10</v>
      </c>
      <c r="E544" s="386" t="s">
        <v>613</v>
      </c>
      <c r="F544" s="388" t="s">
        <v>48</v>
      </c>
      <c r="G544" s="387">
        <v>1</v>
      </c>
      <c r="H544" s="387" t="s">
        <v>2776</v>
      </c>
      <c r="I544" s="387" t="s">
        <v>2776</v>
      </c>
    </row>
    <row r="545" spans="1:9" hidden="1" x14ac:dyDescent="0.2">
      <c r="A545" s="389" t="s">
        <v>2011</v>
      </c>
      <c r="B545" s="389"/>
      <c r="C545" s="390" t="s">
        <v>2558</v>
      </c>
      <c r="D545" s="389" t="s">
        <v>36</v>
      </c>
      <c r="E545" s="389" t="s">
        <v>2559</v>
      </c>
      <c r="F545" s="391" t="s">
        <v>2018</v>
      </c>
      <c r="G545" s="390" t="s">
        <v>2777</v>
      </c>
      <c r="H545" s="390" t="s">
        <v>2560</v>
      </c>
      <c r="I545" s="392">
        <v>3.66</v>
      </c>
    </row>
    <row r="546" spans="1:9" x14ac:dyDescent="0.2">
      <c r="A546" s="393" t="s">
        <v>2024</v>
      </c>
      <c r="B546" s="393"/>
      <c r="C546" s="394" t="s">
        <v>2778</v>
      </c>
      <c r="D546" s="393" t="s">
        <v>10</v>
      </c>
      <c r="E546" s="393" t="s">
        <v>613</v>
      </c>
      <c r="F546" s="395" t="s">
        <v>48</v>
      </c>
      <c r="G546" s="394" t="s">
        <v>2026</v>
      </c>
      <c r="H546" s="394" t="s">
        <v>2531</v>
      </c>
      <c r="I546" s="396">
        <v>24.8</v>
      </c>
    </row>
    <row r="547" spans="1:9" ht="15" hidden="1" thickTop="1" x14ac:dyDescent="0.2">
      <c r="A547" s="188"/>
      <c r="B547" s="188"/>
      <c r="C547" s="188"/>
      <c r="D547" s="188"/>
      <c r="E547" s="188"/>
      <c r="F547" s="188"/>
      <c r="G547" s="188"/>
      <c r="H547" s="188"/>
      <c r="I547" s="188"/>
    </row>
    <row r="548" spans="1:9" ht="15" hidden="1" x14ac:dyDescent="0.2">
      <c r="A548" s="121"/>
      <c r="B548" s="121" t="s">
        <v>65</v>
      </c>
      <c r="C548" s="117" t="s">
        <v>46</v>
      </c>
      <c r="D548" s="121" t="s">
        <v>21</v>
      </c>
      <c r="E548" s="121" t="s">
        <v>37</v>
      </c>
      <c r="F548" s="118" t="s">
        <v>26</v>
      </c>
      <c r="G548" s="117" t="s">
        <v>61</v>
      </c>
      <c r="H548" s="117" t="s">
        <v>79</v>
      </c>
      <c r="I548" s="117" t="s">
        <v>50</v>
      </c>
    </row>
    <row r="549" spans="1:9" x14ac:dyDescent="0.2">
      <c r="A549" s="386" t="s">
        <v>2007</v>
      </c>
      <c r="B549" s="386" t="s">
        <v>2779</v>
      </c>
      <c r="C549" s="387" t="s">
        <v>2780</v>
      </c>
      <c r="D549" s="386" t="s">
        <v>10</v>
      </c>
      <c r="E549" s="386" t="s">
        <v>615</v>
      </c>
      <c r="F549" s="388" t="s">
        <v>48</v>
      </c>
      <c r="G549" s="387">
        <v>1</v>
      </c>
      <c r="H549" s="387" t="s">
        <v>2781</v>
      </c>
      <c r="I549" s="387" t="s">
        <v>2781</v>
      </c>
    </row>
    <row r="550" spans="1:9" hidden="1" x14ac:dyDescent="0.2">
      <c r="A550" s="389" t="s">
        <v>2011</v>
      </c>
      <c r="B550" s="389"/>
      <c r="C550" s="390" t="s">
        <v>2034</v>
      </c>
      <c r="D550" s="389" t="s">
        <v>36</v>
      </c>
      <c r="E550" s="389" t="s">
        <v>2035</v>
      </c>
      <c r="F550" s="391" t="s">
        <v>2018</v>
      </c>
      <c r="G550" s="390" t="s">
        <v>2782</v>
      </c>
      <c r="H550" s="390" t="s">
        <v>2037</v>
      </c>
      <c r="I550" s="392">
        <v>21.46</v>
      </c>
    </row>
    <row r="551" spans="1:9" hidden="1" x14ac:dyDescent="0.2">
      <c r="A551" s="389" t="s">
        <v>2011</v>
      </c>
      <c r="B551" s="389"/>
      <c r="C551" s="390" t="s">
        <v>2726</v>
      </c>
      <c r="D551" s="389" t="s">
        <v>36</v>
      </c>
      <c r="E551" s="389" t="s">
        <v>2727</v>
      </c>
      <c r="F551" s="391" t="s">
        <v>2018</v>
      </c>
      <c r="G551" s="390" t="s">
        <v>2782</v>
      </c>
      <c r="H551" s="390" t="s">
        <v>2728</v>
      </c>
      <c r="I551" s="392">
        <v>27.42</v>
      </c>
    </row>
    <row r="552" spans="1:9" hidden="1" x14ac:dyDescent="0.2">
      <c r="A552" s="393" t="s">
        <v>2024</v>
      </c>
      <c r="B552" s="393"/>
      <c r="C552" s="394" t="s">
        <v>2783</v>
      </c>
      <c r="D552" s="393" t="s">
        <v>36</v>
      </c>
      <c r="E552" s="393" t="s">
        <v>2784</v>
      </c>
      <c r="F552" s="395" t="s">
        <v>12</v>
      </c>
      <c r="G552" s="394" t="s">
        <v>2026</v>
      </c>
      <c r="H552" s="394" t="s">
        <v>2785</v>
      </c>
      <c r="I552" s="396">
        <v>1.41</v>
      </c>
    </row>
    <row r="553" spans="1:9" x14ac:dyDescent="0.2">
      <c r="A553" s="393" t="s">
        <v>2024</v>
      </c>
      <c r="B553" s="393"/>
      <c r="C553" s="394" t="s">
        <v>2786</v>
      </c>
      <c r="D553" s="393" t="s">
        <v>10</v>
      </c>
      <c r="E553" s="393" t="s">
        <v>2787</v>
      </c>
      <c r="F553" s="395" t="s">
        <v>168</v>
      </c>
      <c r="G553" s="394" t="s">
        <v>2026</v>
      </c>
      <c r="H553" s="394" t="s">
        <v>2788</v>
      </c>
      <c r="I553" s="396">
        <v>1175.8900000000001</v>
      </c>
    </row>
    <row r="554" spans="1:9" ht="15" hidden="1" thickTop="1" x14ac:dyDescent="0.2">
      <c r="A554" s="188"/>
      <c r="B554" s="188"/>
      <c r="C554" s="188"/>
      <c r="D554" s="188"/>
      <c r="E554" s="188"/>
      <c r="F554" s="188"/>
      <c r="G554" s="188"/>
      <c r="H554" s="188"/>
      <c r="I554" s="188"/>
    </row>
    <row r="555" spans="1:9" ht="15" hidden="1" x14ac:dyDescent="0.2">
      <c r="A555" s="121"/>
      <c r="B555" s="121" t="s">
        <v>65</v>
      </c>
      <c r="C555" s="117" t="s">
        <v>46</v>
      </c>
      <c r="D555" s="121" t="s">
        <v>21</v>
      </c>
      <c r="E555" s="121" t="s">
        <v>37</v>
      </c>
      <c r="F555" s="118" t="s">
        <v>26</v>
      </c>
      <c r="G555" s="117" t="s">
        <v>61</v>
      </c>
      <c r="H555" s="117" t="s">
        <v>79</v>
      </c>
      <c r="I555" s="117" t="s">
        <v>50</v>
      </c>
    </row>
    <row r="556" spans="1:9" x14ac:dyDescent="0.2">
      <c r="A556" s="386" t="s">
        <v>2007</v>
      </c>
      <c r="B556" s="386" t="s">
        <v>2789</v>
      </c>
      <c r="C556" s="387" t="s">
        <v>2790</v>
      </c>
      <c r="D556" s="386" t="s">
        <v>10</v>
      </c>
      <c r="E556" s="386" t="s">
        <v>617</v>
      </c>
      <c r="F556" s="388" t="s">
        <v>26</v>
      </c>
      <c r="G556" s="387">
        <v>1</v>
      </c>
      <c r="H556" s="387" t="s">
        <v>2791</v>
      </c>
      <c r="I556" s="387" t="s">
        <v>2791</v>
      </c>
    </row>
    <row r="557" spans="1:9" x14ac:dyDescent="0.2">
      <c r="A557" s="393" t="s">
        <v>2024</v>
      </c>
      <c r="B557" s="393"/>
      <c r="C557" s="394" t="s">
        <v>2792</v>
      </c>
      <c r="D557" s="393" t="s">
        <v>10</v>
      </c>
      <c r="E557" s="393" t="s">
        <v>2793</v>
      </c>
      <c r="F557" s="395" t="s">
        <v>26</v>
      </c>
      <c r="G557" s="394" t="s">
        <v>2026</v>
      </c>
      <c r="H557" s="394" t="s">
        <v>2791</v>
      </c>
      <c r="I557" s="396">
        <v>46</v>
      </c>
    </row>
    <row r="558" spans="1:9" ht="15" hidden="1" thickTop="1" x14ac:dyDescent="0.2">
      <c r="A558" s="188"/>
      <c r="B558" s="188"/>
      <c r="C558" s="188"/>
      <c r="D558" s="188"/>
      <c r="E558" s="188"/>
      <c r="F558" s="188"/>
      <c r="G558" s="188"/>
      <c r="H558" s="188"/>
      <c r="I558" s="188"/>
    </row>
    <row r="559" spans="1:9" ht="15" hidden="1" x14ac:dyDescent="0.2">
      <c r="A559" s="121"/>
      <c r="B559" s="121" t="s">
        <v>65</v>
      </c>
      <c r="C559" s="117" t="s">
        <v>46</v>
      </c>
      <c r="D559" s="121" t="s">
        <v>21</v>
      </c>
      <c r="E559" s="121" t="s">
        <v>37</v>
      </c>
      <c r="F559" s="118" t="s">
        <v>26</v>
      </c>
      <c r="G559" s="117" t="s">
        <v>61</v>
      </c>
      <c r="H559" s="117" t="s">
        <v>79</v>
      </c>
      <c r="I559" s="117" t="s">
        <v>50</v>
      </c>
    </row>
    <row r="560" spans="1:9" x14ac:dyDescent="0.2">
      <c r="A560" s="386" t="s">
        <v>2007</v>
      </c>
      <c r="B560" s="386" t="s">
        <v>2794</v>
      </c>
      <c r="C560" s="387" t="s">
        <v>2795</v>
      </c>
      <c r="D560" s="386" t="s">
        <v>10</v>
      </c>
      <c r="E560" s="386" t="s">
        <v>619</v>
      </c>
      <c r="F560" s="388" t="s">
        <v>26</v>
      </c>
      <c r="G560" s="387">
        <v>1</v>
      </c>
      <c r="H560" s="387" t="s">
        <v>2796</v>
      </c>
      <c r="I560" s="387" t="s">
        <v>2796</v>
      </c>
    </row>
    <row r="561" spans="1:9" x14ac:dyDescent="0.2">
      <c r="A561" s="393" t="s">
        <v>2024</v>
      </c>
      <c r="B561" s="393"/>
      <c r="C561" s="394" t="s">
        <v>2797</v>
      </c>
      <c r="D561" s="393" t="s">
        <v>10</v>
      </c>
      <c r="E561" s="393" t="s">
        <v>2798</v>
      </c>
      <c r="F561" s="395" t="s">
        <v>26</v>
      </c>
      <c r="G561" s="394" t="s">
        <v>2026</v>
      </c>
      <c r="H561" s="394" t="s">
        <v>2796</v>
      </c>
      <c r="I561" s="396">
        <v>40</v>
      </c>
    </row>
    <row r="562" spans="1:9" ht="15" hidden="1" thickTop="1" x14ac:dyDescent="0.2">
      <c r="A562" s="188"/>
      <c r="B562" s="188"/>
      <c r="C562" s="188"/>
      <c r="D562" s="188"/>
      <c r="E562" s="188"/>
      <c r="F562" s="188"/>
      <c r="G562" s="188"/>
      <c r="H562" s="188"/>
      <c r="I562" s="188"/>
    </row>
    <row r="563" spans="1:9" ht="15" hidden="1" x14ac:dyDescent="0.2">
      <c r="A563" s="121"/>
      <c r="B563" s="121" t="s">
        <v>65</v>
      </c>
      <c r="C563" s="117" t="s">
        <v>46</v>
      </c>
      <c r="D563" s="121" t="s">
        <v>21</v>
      </c>
      <c r="E563" s="121" t="s">
        <v>37</v>
      </c>
      <c r="F563" s="118" t="s">
        <v>26</v>
      </c>
      <c r="G563" s="117" t="s">
        <v>61</v>
      </c>
      <c r="H563" s="117" t="s">
        <v>79</v>
      </c>
      <c r="I563" s="117" t="s">
        <v>50</v>
      </c>
    </row>
    <row r="564" spans="1:9" x14ac:dyDescent="0.2">
      <c r="A564" s="386" t="s">
        <v>2007</v>
      </c>
      <c r="B564" s="386" t="s">
        <v>2799</v>
      </c>
      <c r="C564" s="387" t="s">
        <v>2800</v>
      </c>
      <c r="D564" s="386" t="s">
        <v>10</v>
      </c>
      <c r="E564" s="386" t="s">
        <v>601</v>
      </c>
      <c r="F564" s="388" t="s">
        <v>12</v>
      </c>
      <c r="G564" s="387">
        <v>1</v>
      </c>
      <c r="H564" s="387" t="s">
        <v>2801</v>
      </c>
      <c r="I564" s="387" t="s">
        <v>2801</v>
      </c>
    </row>
    <row r="565" spans="1:9" hidden="1" x14ac:dyDescent="0.2">
      <c r="A565" s="389" t="s">
        <v>2011</v>
      </c>
      <c r="B565" s="389"/>
      <c r="C565" s="390" t="s">
        <v>2034</v>
      </c>
      <c r="D565" s="389" t="s">
        <v>36</v>
      </c>
      <c r="E565" s="389" t="s">
        <v>2035</v>
      </c>
      <c r="F565" s="391" t="s">
        <v>2018</v>
      </c>
      <c r="G565" s="390" t="s">
        <v>2041</v>
      </c>
      <c r="H565" s="390" t="s">
        <v>2037</v>
      </c>
      <c r="I565" s="392">
        <v>2</v>
      </c>
    </row>
    <row r="566" spans="1:9" hidden="1" x14ac:dyDescent="0.2">
      <c r="A566" s="389" t="s">
        <v>2011</v>
      </c>
      <c r="B566" s="389"/>
      <c r="C566" s="390" t="s">
        <v>2106</v>
      </c>
      <c r="D566" s="389" t="s">
        <v>36</v>
      </c>
      <c r="E566" s="389" t="s">
        <v>2107</v>
      </c>
      <c r="F566" s="391" t="s">
        <v>2018</v>
      </c>
      <c r="G566" s="390" t="s">
        <v>2041</v>
      </c>
      <c r="H566" s="390" t="s">
        <v>2108</v>
      </c>
      <c r="I566" s="392">
        <v>2.5499999999999998</v>
      </c>
    </row>
    <row r="567" spans="1:9" x14ac:dyDescent="0.2">
      <c r="A567" s="393" t="s">
        <v>2024</v>
      </c>
      <c r="B567" s="393"/>
      <c r="C567" s="394" t="s">
        <v>2802</v>
      </c>
      <c r="D567" s="393" t="s">
        <v>10</v>
      </c>
      <c r="E567" s="393" t="s">
        <v>2803</v>
      </c>
      <c r="F567" s="395" t="s">
        <v>14</v>
      </c>
      <c r="G567" s="394" t="s">
        <v>2026</v>
      </c>
      <c r="H567" s="394" t="s">
        <v>2804</v>
      </c>
      <c r="I567" s="396">
        <v>5.12</v>
      </c>
    </row>
    <row r="568" spans="1:9" ht="15" hidden="1" thickTop="1" x14ac:dyDescent="0.2">
      <c r="A568" s="188"/>
      <c r="B568" s="188"/>
      <c r="C568" s="188"/>
      <c r="D568" s="188"/>
      <c r="E568" s="188"/>
      <c r="F568" s="188"/>
      <c r="G568" s="188"/>
      <c r="H568" s="188"/>
      <c r="I568" s="188"/>
    </row>
    <row r="569" spans="1:9" ht="15" hidden="1" x14ac:dyDescent="0.2">
      <c r="A569" s="121"/>
      <c r="B569" s="121" t="s">
        <v>65</v>
      </c>
      <c r="C569" s="117" t="s">
        <v>46</v>
      </c>
      <c r="D569" s="121" t="s">
        <v>21</v>
      </c>
      <c r="E569" s="121" t="s">
        <v>37</v>
      </c>
      <c r="F569" s="118" t="s">
        <v>26</v>
      </c>
      <c r="G569" s="117" t="s">
        <v>61</v>
      </c>
      <c r="H569" s="117" t="s">
        <v>79</v>
      </c>
      <c r="I569" s="117" t="s">
        <v>50</v>
      </c>
    </row>
    <row r="570" spans="1:9" x14ac:dyDescent="0.2">
      <c r="A570" s="386" t="s">
        <v>2007</v>
      </c>
      <c r="B570" s="386" t="s">
        <v>2805</v>
      </c>
      <c r="C570" s="387" t="s">
        <v>2806</v>
      </c>
      <c r="D570" s="386" t="s">
        <v>10</v>
      </c>
      <c r="E570" s="386" t="s">
        <v>595</v>
      </c>
      <c r="F570" s="388" t="s">
        <v>14</v>
      </c>
      <c r="G570" s="387">
        <v>1</v>
      </c>
      <c r="H570" s="387" t="s">
        <v>2807</v>
      </c>
      <c r="I570" s="387" t="s">
        <v>2807</v>
      </c>
    </row>
    <row r="571" spans="1:9" hidden="1" x14ac:dyDescent="0.2">
      <c r="A571" s="389" t="s">
        <v>2011</v>
      </c>
      <c r="B571" s="389"/>
      <c r="C571" s="390" t="s">
        <v>2726</v>
      </c>
      <c r="D571" s="389" t="s">
        <v>36</v>
      </c>
      <c r="E571" s="389" t="s">
        <v>2727</v>
      </c>
      <c r="F571" s="391" t="s">
        <v>2018</v>
      </c>
      <c r="G571" s="390" t="s">
        <v>2808</v>
      </c>
      <c r="H571" s="390" t="s">
        <v>2728</v>
      </c>
      <c r="I571" s="392">
        <v>137.1</v>
      </c>
    </row>
    <row r="572" spans="1:9" x14ac:dyDescent="0.2">
      <c r="A572" s="393" t="s">
        <v>2024</v>
      </c>
      <c r="B572" s="393"/>
      <c r="C572" s="394" t="s">
        <v>2809</v>
      </c>
      <c r="D572" s="393" t="s">
        <v>10</v>
      </c>
      <c r="E572" s="393" t="s">
        <v>2810</v>
      </c>
      <c r="F572" s="395" t="s">
        <v>168</v>
      </c>
      <c r="G572" s="394" t="s">
        <v>2026</v>
      </c>
      <c r="H572" s="394" t="s">
        <v>2811</v>
      </c>
      <c r="I572" s="396">
        <v>2986.91</v>
      </c>
    </row>
    <row r="573" spans="1:9" ht="15" hidden="1" thickTop="1" x14ac:dyDescent="0.2">
      <c r="A573" s="188"/>
      <c r="B573" s="188"/>
      <c r="C573" s="188"/>
      <c r="D573" s="188"/>
      <c r="E573" s="188"/>
      <c r="F573" s="188"/>
      <c r="G573" s="188"/>
      <c r="H573" s="188"/>
      <c r="I573" s="188"/>
    </row>
    <row r="574" spans="1:9" ht="15" hidden="1" x14ac:dyDescent="0.2">
      <c r="A574" s="121"/>
      <c r="B574" s="121" t="s">
        <v>65</v>
      </c>
      <c r="C574" s="117" t="s">
        <v>46</v>
      </c>
      <c r="D574" s="121" t="s">
        <v>21</v>
      </c>
      <c r="E574" s="121" t="s">
        <v>37</v>
      </c>
      <c r="F574" s="118" t="s">
        <v>26</v>
      </c>
      <c r="G574" s="117" t="s">
        <v>61</v>
      </c>
      <c r="H574" s="117" t="s">
        <v>79</v>
      </c>
      <c r="I574" s="117" t="s">
        <v>50</v>
      </c>
    </row>
    <row r="575" spans="1:9" x14ac:dyDescent="0.2">
      <c r="A575" s="386" t="s">
        <v>2007</v>
      </c>
      <c r="B575" s="386" t="s">
        <v>2812</v>
      </c>
      <c r="C575" s="387" t="s">
        <v>2813</v>
      </c>
      <c r="D575" s="386" t="s">
        <v>10</v>
      </c>
      <c r="E575" s="386" t="s">
        <v>597</v>
      </c>
      <c r="F575" s="388" t="s">
        <v>168</v>
      </c>
      <c r="G575" s="387">
        <v>1</v>
      </c>
      <c r="H575" s="387" t="s">
        <v>2814</v>
      </c>
      <c r="I575" s="387" t="s">
        <v>2814</v>
      </c>
    </row>
    <row r="576" spans="1:9" hidden="1" x14ac:dyDescent="0.2">
      <c r="A576" s="389" t="s">
        <v>2011</v>
      </c>
      <c r="B576" s="389"/>
      <c r="C576" s="390" t="s">
        <v>2726</v>
      </c>
      <c r="D576" s="389" t="s">
        <v>36</v>
      </c>
      <c r="E576" s="389" t="s">
        <v>2727</v>
      </c>
      <c r="F576" s="391" t="s">
        <v>2018</v>
      </c>
      <c r="G576" s="390" t="s">
        <v>2588</v>
      </c>
      <c r="H576" s="390" t="s">
        <v>2728</v>
      </c>
      <c r="I576" s="392">
        <v>1.82</v>
      </c>
    </row>
    <row r="577" spans="1:9" x14ac:dyDescent="0.2">
      <c r="A577" s="393" t="s">
        <v>2024</v>
      </c>
      <c r="B577" s="393"/>
      <c r="C577" s="394" t="s">
        <v>2815</v>
      </c>
      <c r="D577" s="393" t="s">
        <v>10</v>
      </c>
      <c r="E577" s="393" t="s">
        <v>2816</v>
      </c>
      <c r="F577" s="395" t="s">
        <v>168</v>
      </c>
      <c r="G577" s="394" t="s">
        <v>2026</v>
      </c>
      <c r="H577" s="394" t="s">
        <v>2817</v>
      </c>
      <c r="I577" s="396">
        <v>2063.19</v>
      </c>
    </row>
    <row r="578" spans="1:9" ht="15" hidden="1" thickTop="1" x14ac:dyDescent="0.2">
      <c r="A578" s="188"/>
      <c r="B578" s="188"/>
      <c r="C578" s="188"/>
      <c r="D578" s="188"/>
      <c r="E578" s="188"/>
      <c r="F578" s="188"/>
      <c r="G578" s="188"/>
      <c r="H578" s="188"/>
      <c r="I578" s="188"/>
    </row>
    <row r="579" spans="1:9" ht="15" hidden="1" x14ac:dyDescent="0.2">
      <c r="A579" s="121"/>
      <c r="B579" s="121" t="s">
        <v>65</v>
      </c>
      <c r="C579" s="117" t="s">
        <v>46</v>
      </c>
      <c r="D579" s="121" t="s">
        <v>21</v>
      </c>
      <c r="E579" s="121" t="s">
        <v>37</v>
      </c>
      <c r="F579" s="118" t="s">
        <v>26</v>
      </c>
      <c r="G579" s="117" t="s">
        <v>61</v>
      </c>
      <c r="H579" s="117" t="s">
        <v>79</v>
      </c>
      <c r="I579" s="117" t="s">
        <v>50</v>
      </c>
    </row>
    <row r="580" spans="1:9" x14ac:dyDescent="0.2">
      <c r="A580" s="386" t="s">
        <v>2007</v>
      </c>
      <c r="B580" s="386" t="s">
        <v>2818</v>
      </c>
      <c r="C580" s="387" t="s">
        <v>2819</v>
      </c>
      <c r="D580" s="386" t="s">
        <v>10</v>
      </c>
      <c r="E580" s="386" t="s">
        <v>1174</v>
      </c>
      <c r="F580" s="388" t="s">
        <v>12</v>
      </c>
      <c r="G580" s="387">
        <v>1</v>
      </c>
      <c r="H580" s="387" t="s">
        <v>2820</v>
      </c>
      <c r="I580" s="387" t="s">
        <v>2820</v>
      </c>
    </row>
    <row r="581" spans="1:9" hidden="1" x14ac:dyDescent="0.2">
      <c r="A581" s="389" t="s">
        <v>2011</v>
      </c>
      <c r="B581" s="389"/>
      <c r="C581" s="390" t="s">
        <v>2558</v>
      </c>
      <c r="D581" s="389" t="s">
        <v>36</v>
      </c>
      <c r="E581" s="389" t="s">
        <v>2559</v>
      </c>
      <c r="F581" s="391" t="s">
        <v>2018</v>
      </c>
      <c r="G581" s="390" t="s">
        <v>2821</v>
      </c>
      <c r="H581" s="390" t="s">
        <v>2560</v>
      </c>
      <c r="I581" s="392">
        <v>10.64</v>
      </c>
    </row>
    <row r="582" spans="1:9" hidden="1" x14ac:dyDescent="0.2">
      <c r="A582" s="389" t="s">
        <v>2011</v>
      </c>
      <c r="B582" s="389"/>
      <c r="C582" s="390" t="s">
        <v>2106</v>
      </c>
      <c r="D582" s="389" t="s">
        <v>36</v>
      </c>
      <c r="E582" s="389" t="s">
        <v>2107</v>
      </c>
      <c r="F582" s="391" t="s">
        <v>2018</v>
      </c>
      <c r="G582" s="390" t="s">
        <v>2821</v>
      </c>
      <c r="H582" s="390" t="s">
        <v>2108</v>
      </c>
      <c r="I582" s="392">
        <v>13.66</v>
      </c>
    </row>
    <row r="583" spans="1:9" x14ac:dyDescent="0.2">
      <c r="A583" s="393" t="s">
        <v>2024</v>
      </c>
      <c r="B583" s="393"/>
      <c r="C583" s="394" t="s">
        <v>2822</v>
      </c>
      <c r="D583" s="393" t="s">
        <v>10</v>
      </c>
      <c r="E583" s="393" t="s">
        <v>2823</v>
      </c>
      <c r="F583" s="395" t="s">
        <v>2824</v>
      </c>
      <c r="G583" s="394" t="s">
        <v>2825</v>
      </c>
      <c r="H583" s="394" t="s">
        <v>2826</v>
      </c>
      <c r="I583" s="396">
        <v>18.829999999999998</v>
      </c>
    </row>
    <row r="584" spans="1:9" ht="15" hidden="1" thickTop="1" x14ac:dyDescent="0.2">
      <c r="A584" s="188"/>
      <c r="B584" s="188"/>
      <c r="C584" s="188"/>
      <c r="D584" s="188"/>
      <c r="E584" s="188"/>
      <c r="F584" s="188"/>
      <c r="G584" s="188"/>
      <c r="H584" s="188"/>
      <c r="I584" s="188"/>
    </row>
    <row r="585" spans="1:9" ht="15" hidden="1" x14ac:dyDescent="0.2">
      <c r="A585" s="121"/>
      <c r="B585" s="121" t="s">
        <v>65</v>
      </c>
      <c r="C585" s="117" t="s">
        <v>46</v>
      </c>
      <c r="D585" s="121" t="s">
        <v>21</v>
      </c>
      <c r="E585" s="121" t="s">
        <v>37</v>
      </c>
      <c r="F585" s="118" t="s">
        <v>26</v>
      </c>
      <c r="G585" s="117" t="s">
        <v>61</v>
      </c>
      <c r="H585" s="117" t="s">
        <v>79</v>
      </c>
      <c r="I585" s="117" t="s">
        <v>50</v>
      </c>
    </row>
    <row r="586" spans="1:9" x14ac:dyDescent="0.2">
      <c r="A586" s="386" t="s">
        <v>2007</v>
      </c>
      <c r="B586" s="386" t="s">
        <v>2827</v>
      </c>
      <c r="C586" s="387" t="s">
        <v>2828</v>
      </c>
      <c r="D586" s="386" t="s">
        <v>10</v>
      </c>
      <c r="E586" s="386" t="s">
        <v>1177</v>
      </c>
      <c r="F586" s="388" t="s">
        <v>48</v>
      </c>
      <c r="G586" s="387">
        <v>1</v>
      </c>
      <c r="H586" s="387" t="s">
        <v>2829</v>
      </c>
      <c r="I586" s="387" t="s">
        <v>2829</v>
      </c>
    </row>
    <row r="587" spans="1:9" hidden="1" x14ac:dyDescent="0.2">
      <c r="A587" s="389" t="s">
        <v>2011</v>
      </c>
      <c r="B587" s="389"/>
      <c r="C587" s="390" t="s">
        <v>2558</v>
      </c>
      <c r="D587" s="389" t="s">
        <v>36</v>
      </c>
      <c r="E587" s="389" t="s">
        <v>2559</v>
      </c>
      <c r="F587" s="391" t="s">
        <v>2018</v>
      </c>
      <c r="G587" s="390" t="s">
        <v>2046</v>
      </c>
      <c r="H587" s="390" t="s">
        <v>2560</v>
      </c>
      <c r="I587" s="392">
        <v>5.67</v>
      </c>
    </row>
    <row r="588" spans="1:9" hidden="1" x14ac:dyDescent="0.2">
      <c r="A588" s="389" t="s">
        <v>2011</v>
      </c>
      <c r="B588" s="389"/>
      <c r="C588" s="390" t="s">
        <v>2106</v>
      </c>
      <c r="D588" s="389" t="s">
        <v>36</v>
      </c>
      <c r="E588" s="389" t="s">
        <v>2107</v>
      </c>
      <c r="F588" s="391" t="s">
        <v>2018</v>
      </c>
      <c r="G588" s="390" t="s">
        <v>2046</v>
      </c>
      <c r="H588" s="390" t="s">
        <v>2108</v>
      </c>
      <c r="I588" s="392">
        <v>7.28</v>
      </c>
    </row>
    <row r="589" spans="1:9" x14ac:dyDescent="0.2">
      <c r="A589" s="393" t="s">
        <v>2024</v>
      </c>
      <c r="B589" s="393"/>
      <c r="C589" s="394" t="s">
        <v>2830</v>
      </c>
      <c r="D589" s="393" t="s">
        <v>10</v>
      </c>
      <c r="E589" s="393" t="s">
        <v>2831</v>
      </c>
      <c r="F589" s="395" t="s">
        <v>14</v>
      </c>
      <c r="G589" s="394" t="s">
        <v>2026</v>
      </c>
      <c r="H589" s="394" t="s">
        <v>2832</v>
      </c>
      <c r="I589" s="396">
        <v>20.53</v>
      </c>
    </row>
    <row r="590" spans="1:9" ht="15" hidden="1" thickTop="1" x14ac:dyDescent="0.2">
      <c r="A590" s="188"/>
      <c r="B590" s="188"/>
      <c r="C590" s="188"/>
      <c r="D590" s="188"/>
      <c r="E590" s="188"/>
      <c r="F590" s="188"/>
      <c r="G590" s="188"/>
      <c r="H590" s="188"/>
      <c r="I590" s="188"/>
    </row>
    <row r="591" spans="1:9" ht="15" hidden="1" x14ac:dyDescent="0.2">
      <c r="A591" s="121"/>
      <c r="B591" s="121" t="s">
        <v>65</v>
      </c>
      <c r="C591" s="117" t="s">
        <v>46</v>
      </c>
      <c r="D591" s="121" t="s">
        <v>21</v>
      </c>
      <c r="E591" s="121" t="s">
        <v>37</v>
      </c>
      <c r="F591" s="118" t="s">
        <v>26</v>
      </c>
      <c r="G591" s="117" t="s">
        <v>61</v>
      </c>
      <c r="H591" s="117" t="s">
        <v>79</v>
      </c>
      <c r="I591" s="117" t="s">
        <v>50</v>
      </c>
    </row>
    <row r="592" spans="1:9" x14ac:dyDescent="0.2">
      <c r="A592" s="386" t="s">
        <v>2007</v>
      </c>
      <c r="B592" s="386" t="s">
        <v>2833</v>
      </c>
      <c r="C592" s="387" t="s">
        <v>2834</v>
      </c>
      <c r="D592" s="386" t="s">
        <v>10</v>
      </c>
      <c r="E592" s="386" t="s">
        <v>1180</v>
      </c>
      <c r="F592" s="388" t="s">
        <v>48</v>
      </c>
      <c r="G592" s="387">
        <v>1</v>
      </c>
      <c r="H592" s="387" t="s">
        <v>2835</v>
      </c>
      <c r="I592" s="387" t="s">
        <v>2835</v>
      </c>
    </row>
    <row r="593" spans="1:9" hidden="1" x14ac:dyDescent="0.2">
      <c r="A593" s="389" t="s">
        <v>2011</v>
      </c>
      <c r="B593" s="389"/>
      <c r="C593" s="390" t="s">
        <v>2558</v>
      </c>
      <c r="D593" s="389" t="s">
        <v>36</v>
      </c>
      <c r="E593" s="389" t="s">
        <v>2559</v>
      </c>
      <c r="F593" s="391" t="s">
        <v>2018</v>
      </c>
      <c r="G593" s="390" t="s">
        <v>2616</v>
      </c>
      <c r="H593" s="390" t="s">
        <v>2560</v>
      </c>
      <c r="I593" s="392">
        <v>2.83</v>
      </c>
    </row>
    <row r="594" spans="1:9" hidden="1" x14ac:dyDescent="0.2">
      <c r="A594" s="389" t="s">
        <v>2011</v>
      </c>
      <c r="B594" s="389"/>
      <c r="C594" s="390" t="s">
        <v>2106</v>
      </c>
      <c r="D594" s="389" t="s">
        <v>36</v>
      </c>
      <c r="E594" s="389" t="s">
        <v>2107</v>
      </c>
      <c r="F594" s="391" t="s">
        <v>2018</v>
      </c>
      <c r="G594" s="390" t="s">
        <v>2616</v>
      </c>
      <c r="H594" s="390" t="s">
        <v>2108</v>
      </c>
      <c r="I594" s="392">
        <v>3.64</v>
      </c>
    </row>
    <row r="595" spans="1:9" x14ac:dyDescent="0.2">
      <c r="A595" s="393" t="s">
        <v>2024</v>
      </c>
      <c r="B595" s="393"/>
      <c r="C595" s="394" t="s">
        <v>2836</v>
      </c>
      <c r="D595" s="393" t="s">
        <v>10</v>
      </c>
      <c r="E595" s="393" t="s">
        <v>2837</v>
      </c>
      <c r="F595" s="395" t="s">
        <v>14</v>
      </c>
      <c r="G595" s="394" t="s">
        <v>2026</v>
      </c>
      <c r="H595" s="394" t="s">
        <v>2838</v>
      </c>
      <c r="I595" s="396">
        <v>27.53</v>
      </c>
    </row>
    <row r="596" spans="1:9" ht="15" hidden="1" thickTop="1" x14ac:dyDescent="0.2">
      <c r="A596" s="188"/>
      <c r="B596" s="188"/>
      <c r="C596" s="188"/>
      <c r="D596" s="188"/>
      <c r="E596" s="188"/>
      <c r="F596" s="188"/>
      <c r="G596" s="188"/>
      <c r="H596" s="188"/>
      <c r="I596" s="188"/>
    </row>
    <row r="597" spans="1:9" ht="15" hidden="1" x14ac:dyDescent="0.2">
      <c r="A597" s="121"/>
      <c r="B597" s="121" t="s">
        <v>65</v>
      </c>
      <c r="C597" s="117" t="s">
        <v>46</v>
      </c>
      <c r="D597" s="121" t="s">
        <v>21</v>
      </c>
      <c r="E597" s="121" t="s">
        <v>37</v>
      </c>
      <c r="F597" s="118" t="s">
        <v>26</v>
      </c>
      <c r="G597" s="117" t="s">
        <v>61</v>
      </c>
      <c r="H597" s="117" t="s">
        <v>79</v>
      </c>
      <c r="I597" s="117" t="s">
        <v>50</v>
      </c>
    </row>
    <row r="598" spans="1:9" x14ac:dyDescent="0.2">
      <c r="A598" s="386" t="s">
        <v>2007</v>
      </c>
      <c r="B598" s="386" t="s">
        <v>2839</v>
      </c>
      <c r="C598" s="387" t="s">
        <v>2840</v>
      </c>
      <c r="D598" s="386" t="s">
        <v>10</v>
      </c>
      <c r="E598" s="386" t="s">
        <v>1183</v>
      </c>
      <c r="F598" s="388" t="s">
        <v>12</v>
      </c>
      <c r="G598" s="387">
        <v>1</v>
      </c>
      <c r="H598" s="387" t="s">
        <v>2841</v>
      </c>
      <c r="I598" s="387" t="s">
        <v>2841</v>
      </c>
    </row>
    <row r="599" spans="1:9" hidden="1" x14ac:dyDescent="0.2">
      <c r="A599" s="389" t="s">
        <v>2011</v>
      </c>
      <c r="B599" s="389"/>
      <c r="C599" s="390" t="s">
        <v>2106</v>
      </c>
      <c r="D599" s="389" t="s">
        <v>36</v>
      </c>
      <c r="E599" s="389" t="s">
        <v>2107</v>
      </c>
      <c r="F599" s="391" t="s">
        <v>2018</v>
      </c>
      <c r="G599" s="390" t="s">
        <v>2436</v>
      </c>
      <c r="H599" s="390" t="s">
        <v>2108</v>
      </c>
      <c r="I599" s="392">
        <v>9.11</v>
      </c>
    </row>
    <row r="600" spans="1:9" hidden="1" x14ac:dyDescent="0.2">
      <c r="A600" s="389" t="s">
        <v>2011</v>
      </c>
      <c r="B600" s="389"/>
      <c r="C600" s="390" t="s">
        <v>2034</v>
      </c>
      <c r="D600" s="389" t="s">
        <v>36</v>
      </c>
      <c r="E600" s="389" t="s">
        <v>2035</v>
      </c>
      <c r="F600" s="391" t="s">
        <v>2018</v>
      </c>
      <c r="G600" s="390" t="s">
        <v>2436</v>
      </c>
      <c r="H600" s="390" t="s">
        <v>2037</v>
      </c>
      <c r="I600" s="392">
        <v>7.15</v>
      </c>
    </row>
    <row r="601" spans="1:9" hidden="1" x14ac:dyDescent="0.2">
      <c r="A601" s="393" t="s">
        <v>2024</v>
      </c>
      <c r="B601" s="393"/>
      <c r="C601" s="394" t="s">
        <v>2842</v>
      </c>
      <c r="D601" s="393" t="s">
        <v>36</v>
      </c>
      <c r="E601" s="393" t="s">
        <v>2843</v>
      </c>
      <c r="F601" s="395" t="s">
        <v>12</v>
      </c>
      <c r="G601" s="394" t="s">
        <v>2026</v>
      </c>
      <c r="H601" s="394" t="s">
        <v>2844</v>
      </c>
      <c r="I601" s="396">
        <v>6.69</v>
      </c>
    </row>
    <row r="602" spans="1:9" ht="15" hidden="1" thickTop="1" x14ac:dyDescent="0.2">
      <c r="A602" s="188"/>
      <c r="B602" s="188"/>
      <c r="C602" s="188"/>
      <c r="D602" s="188"/>
      <c r="E602" s="188"/>
      <c r="F602" s="188"/>
      <c r="G602" s="188"/>
      <c r="H602" s="188"/>
      <c r="I602" s="188"/>
    </row>
    <row r="603" spans="1:9" ht="15" hidden="1" x14ac:dyDescent="0.2">
      <c r="A603" s="121"/>
      <c r="B603" s="121" t="s">
        <v>65</v>
      </c>
      <c r="C603" s="117" t="s">
        <v>46</v>
      </c>
      <c r="D603" s="121" t="s">
        <v>21</v>
      </c>
      <c r="E603" s="121" t="s">
        <v>37</v>
      </c>
      <c r="F603" s="118" t="s">
        <v>26</v>
      </c>
      <c r="G603" s="117" t="s">
        <v>61</v>
      </c>
      <c r="H603" s="117" t="s">
        <v>79</v>
      </c>
      <c r="I603" s="117" t="s">
        <v>50</v>
      </c>
    </row>
    <row r="604" spans="1:9" x14ac:dyDescent="0.2">
      <c r="A604" s="386" t="s">
        <v>2007</v>
      </c>
      <c r="B604" s="386" t="s">
        <v>2845</v>
      </c>
      <c r="C604" s="387" t="s">
        <v>2846</v>
      </c>
      <c r="D604" s="386" t="s">
        <v>10</v>
      </c>
      <c r="E604" s="386" t="s">
        <v>603</v>
      </c>
      <c r="F604" s="388" t="s">
        <v>48</v>
      </c>
      <c r="G604" s="387">
        <v>1</v>
      </c>
      <c r="H604" s="387" t="s">
        <v>2847</v>
      </c>
      <c r="I604" s="387" t="s">
        <v>2847</v>
      </c>
    </row>
    <row r="605" spans="1:9" hidden="1" x14ac:dyDescent="0.2">
      <c r="A605" s="389" t="s">
        <v>2011</v>
      </c>
      <c r="B605" s="389"/>
      <c r="C605" s="390" t="s">
        <v>2848</v>
      </c>
      <c r="D605" s="389" t="s">
        <v>36</v>
      </c>
      <c r="E605" s="389" t="s">
        <v>2849</v>
      </c>
      <c r="F605" s="391" t="s">
        <v>2018</v>
      </c>
      <c r="G605" s="390" t="s">
        <v>2850</v>
      </c>
      <c r="H605" s="390" t="s">
        <v>2851</v>
      </c>
      <c r="I605" s="392">
        <v>19.93</v>
      </c>
    </row>
    <row r="606" spans="1:9" x14ac:dyDescent="0.2">
      <c r="A606" s="393" t="s">
        <v>2024</v>
      </c>
      <c r="B606" s="393"/>
      <c r="C606" s="394" t="s">
        <v>2852</v>
      </c>
      <c r="D606" s="393" t="s">
        <v>10</v>
      </c>
      <c r="E606" s="393" t="s">
        <v>2853</v>
      </c>
      <c r="F606" s="395" t="s">
        <v>48</v>
      </c>
      <c r="G606" s="394" t="s">
        <v>2026</v>
      </c>
      <c r="H606" s="394" t="s">
        <v>2854</v>
      </c>
      <c r="I606" s="396">
        <v>480</v>
      </c>
    </row>
    <row r="607" spans="1:9" ht="15" hidden="1" thickTop="1" x14ac:dyDescent="0.2">
      <c r="A607" s="188"/>
      <c r="B607" s="188"/>
      <c r="C607" s="188"/>
      <c r="D607" s="188"/>
      <c r="E607" s="188"/>
      <c r="F607" s="188"/>
      <c r="G607" s="188"/>
      <c r="H607" s="188"/>
      <c r="I607" s="188"/>
    </row>
    <row r="608" spans="1:9" ht="15" hidden="1" x14ac:dyDescent="0.2">
      <c r="A608" s="121"/>
      <c r="B608" s="121" t="s">
        <v>65</v>
      </c>
      <c r="C608" s="117" t="s">
        <v>46</v>
      </c>
      <c r="D608" s="121" t="s">
        <v>21</v>
      </c>
      <c r="E608" s="121" t="s">
        <v>37</v>
      </c>
      <c r="F608" s="118" t="s">
        <v>26</v>
      </c>
      <c r="G608" s="117" t="s">
        <v>61</v>
      </c>
      <c r="H608" s="117" t="s">
        <v>79</v>
      </c>
      <c r="I608" s="117" t="s">
        <v>50</v>
      </c>
    </row>
    <row r="609" spans="1:9" x14ac:dyDescent="0.2">
      <c r="A609" s="386" t="s">
        <v>2007</v>
      </c>
      <c r="B609" s="386" t="s">
        <v>2855</v>
      </c>
      <c r="C609" s="387" t="s">
        <v>2856</v>
      </c>
      <c r="D609" s="386" t="s">
        <v>10</v>
      </c>
      <c r="E609" s="386" t="s">
        <v>632</v>
      </c>
      <c r="F609" s="388" t="s">
        <v>48</v>
      </c>
      <c r="G609" s="387">
        <v>1</v>
      </c>
      <c r="H609" s="387" t="s">
        <v>2857</v>
      </c>
      <c r="I609" s="387" t="s">
        <v>2857</v>
      </c>
    </row>
    <row r="610" spans="1:9" hidden="1" x14ac:dyDescent="0.2">
      <c r="A610" s="389" t="s">
        <v>2011</v>
      </c>
      <c r="B610" s="389"/>
      <c r="C610" s="390" t="s">
        <v>2030</v>
      </c>
      <c r="D610" s="389" t="s">
        <v>36</v>
      </c>
      <c r="E610" s="389" t="s">
        <v>2031</v>
      </c>
      <c r="F610" s="391" t="s">
        <v>2018</v>
      </c>
      <c r="G610" s="390" t="s">
        <v>2616</v>
      </c>
      <c r="H610" s="390" t="s">
        <v>2033</v>
      </c>
      <c r="I610" s="392">
        <v>3.52</v>
      </c>
    </row>
    <row r="611" spans="1:9" hidden="1" x14ac:dyDescent="0.2">
      <c r="A611" s="389" t="s">
        <v>2011</v>
      </c>
      <c r="B611" s="389"/>
      <c r="C611" s="390" t="s">
        <v>2034</v>
      </c>
      <c r="D611" s="389" t="s">
        <v>36</v>
      </c>
      <c r="E611" s="389" t="s">
        <v>2035</v>
      </c>
      <c r="F611" s="391" t="s">
        <v>2018</v>
      </c>
      <c r="G611" s="390" t="s">
        <v>2616</v>
      </c>
      <c r="H611" s="390" t="s">
        <v>2037</v>
      </c>
      <c r="I611" s="392">
        <v>2.86</v>
      </c>
    </row>
    <row r="612" spans="1:9" x14ac:dyDescent="0.2">
      <c r="A612" s="393" t="s">
        <v>2024</v>
      </c>
      <c r="B612" s="393"/>
      <c r="C612" s="394" t="s">
        <v>2858</v>
      </c>
      <c r="D612" s="393" t="s">
        <v>10</v>
      </c>
      <c r="E612" s="393" t="s">
        <v>2859</v>
      </c>
      <c r="F612" s="395" t="s">
        <v>48</v>
      </c>
      <c r="G612" s="394" t="s">
        <v>2026</v>
      </c>
      <c r="H612" s="394" t="s">
        <v>2297</v>
      </c>
      <c r="I612" s="396">
        <v>12</v>
      </c>
    </row>
    <row r="613" spans="1:9" ht="15" hidden="1" thickTop="1" x14ac:dyDescent="0.2">
      <c r="A613" s="188"/>
      <c r="B613" s="188"/>
      <c r="C613" s="188"/>
      <c r="D613" s="188"/>
      <c r="E613" s="188"/>
      <c r="F613" s="188"/>
      <c r="G613" s="188"/>
      <c r="H613" s="188"/>
      <c r="I613" s="188"/>
    </row>
    <row r="614" spans="1:9" ht="15" hidden="1" x14ac:dyDescent="0.2">
      <c r="A614" s="121"/>
      <c r="B614" s="121" t="s">
        <v>65</v>
      </c>
      <c r="C614" s="117" t="s">
        <v>46</v>
      </c>
      <c r="D614" s="121" t="s">
        <v>21</v>
      </c>
      <c r="E614" s="121" t="s">
        <v>37</v>
      </c>
      <c r="F614" s="118" t="s">
        <v>26</v>
      </c>
      <c r="G614" s="117" t="s">
        <v>61</v>
      </c>
      <c r="H614" s="117" t="s">
        <v>79</v>
      </c>
      <c r="I614" s="117" t="s">
        <v>50</v>
      </c>
    </row>
    <row r="615" spans="1:9" ht="22.5" x14ac:dyDescent="0.2">
      <c r="A615" s="386" t="s">
        <v>2007</v>
      </c>
      <c r="B615" s="386" t="s">
        <v>2860</v>
      </c>
      <c r="C615" s="387" t="s">
        <v>2861</v>
      </c>
      <c r="D615" s="386" t="s">
        <v>10</v>
      </c>
      <c r="E615" s="386" t="s">
        <v>635</v>
      </c>
      <c r="F615" s="388" t="s">
        <v>48</v>
      </c>
      <c r="G615" s="387">
        <v>1</v>
      </c>
      <c r="H615" s="387" t="s">
        <v>2862</v>
      </c>
      <c r="I615" s="387" t="s">
        <v>2862</v>
      </c>
    </row>
    <row r="616" spans="1:9" hidden="1" x14ac:dyDescent="0.2">
      <c r="A616" s="389" t="s">
        <v>2011</v>
      </c>
      <c r="B616" s="389"/>
      <c r="C616" s="390" t="s">
        <v>2863</v>
      </c>
      <c r="D616" s="389" t="s">
        <v>36</v>
      </c>
      <c r="E616" s="389" t="s">
        <v>2864</v>
      </c>
      <c r="F616" s="391" t="s">
        <v>2018</v>
      </c>
      <c r="G616" s="390" t="s">
        <v>2220</v>
      </c>
      <c r="H616" s="390" t="s">
        <v>2865</v>
      </c>
      <c r="I616" s="392">
        <v>4.2699999999999996</v>
      </c>
    </row>
    <row r="617" spans="1:9" hidden="1" x14ac:dyDescent="0.2">
      <c r="A617" s="389" t="s">
        <v>2011</v>
      </c>
      <c r="B617" s="389"/>
      <c r="C617" s="390" t="s">
        <v>2030</v>
      </c>
      <c r="D617" s="389" t="s">
        <v>36</v>
      </c>
      <c r="E617" s="389" t="s">
        <v>2031</v>
      </c>
      <c r="F617" s="391" t="s">
        <v>2018</v>
      </c>
      <c r="G617" s="390" t="s">
        <v>2220</v>
      </c>
      <c r="H617" s="390" t="s">
        <v>2033</v>
      </c>
      <c r="I617" s="392">
        <v>5.28</v>
      </c>
    </row>
    <row r="618" spans="1:9" ht="22.5" hidden="1" x14ac:dyDescent="0.2">
      <c r="A618" s="393" t="s">
        <v>2024</v>
      </c>
      <c r="B618" s="393"/>
      <c r="C618" s="394" t="s">
        <v>2866</v>
      </c>
      <c r="D618" s="393" t="s">
        <v>36</v>
      </c>
      <c r="E618" s="393" t="s">
        <v>2867</v>
      </c>
      <c r="F618" s="395" t="s">
        <v>48</v>
      </c>
      <c r="G618" s="394" t="s">
        <v>2115</v>
      </c>
      <c r="H618" s="394" t="s">
        <v>2868</v>
      </c>
      <c r="I618" s="396">
        <v>0.4</v>
      </c>
    </row>
    <row r="619" spans="1:9" x14ac:dyDescent="0.2">
      <c r="A619" s="393" t="s">
        <v>2024</v>
      </c>
      <c r="B619" s="393"/>
      <c r="C619" s="394" t="s">
        <v>2869</v>
      </c>
      <c r="D619" s="393" t="s">
        <v>10</v>
      </c>
      <c r="E619" s="393" t="s">
        <v>2870</v>
      </c>
      <c r="F619" s="395" t="s">
        <v>48</v>
      </c>
      <c r="G619" s="394" t="s">
        <v>2026</v>
      </c>
      <c r="H619" s="394" t="s">
        <v>2297</v>
      </c>
      <c r="I619" s="396">
        <v>12</v>
      </c>
    </row>
    <row r="620" spans="1:9" ht="15" hidden="1" thickTop="1" x14ac:dyDescent="0.2">
      <c r="A620" s="188"/>
      <c r="B620" s="188"/>
      <c r="C620" s="188"/>
      <c r="D620" s="188"/>
      <c r="E620" s="188"/>
      <c r="F620" s="188"/>
      <c r="G620" s="188"/>
      <c r="H620" s="188"/>
      <c r="I620" s="188"/>
    </row>
    <row r="621" spans="1:9" ht="15" hidden="1" x14ac:dyDescent="0.2">
      <c r="A621" s="121"/>
      <c r="B621" s="121" t="s">
        <v>65</v>
      </c>
      <c r="C621" s="117" t="s">
        <v>46</v>
      </c>
      <c r="D621" s="121" t="s">
        <v>21</v>
      </c>
      <c r="E621" s="121" t="s">
        <v>37</v>
      </c>
      <c r="F621" s="118" t="s">
        <v>26</v>
      </c>
      <c r="G621" s="117" t="s">
        <v>61</v>
      </c>
      <c r="H621" s="117" t="s">
        <v>79</v>
      </c>
      <c r="I621" s="117" t="s">
        <v>50</v>
      </c>
    </row>
    <row r="622" spans="1:9" x14ac:dyDescent="0.2">
      <c r="A622" s="386" t="s">
        <v>2007</v>
      </c>
      <c r="B622" s="386" t="s">
        <v>2871</v>
      </c>
      <c r="C622" s="387" t="s">
        <v>2872</v>
      </c>
      <c r="D622" s="386" t="s">
        <v>10</v>
      </c>
      <c r="E622" s="386" t="s">
        <v>1190</v>
      </c>
      <c r="F622" s="388" t="s">
        <v>48</v>
      </c>
      <c r="G622" s="387">
        <v>1</v>
      </c>
      <c r="H622" s="387" t="s">
        <v>2873</v>
      </c>
      <c r="I622" s="387" t="s">
        <v>2873</v>
      </c>
    </row>
    <row r="623" spans="1:9" hidden="1" x14ac:dyDescent="0.2">
      <c r="A623" s="389" t="s">
        <v>2011</v>
      </c>
      <c r="B623" s="389"/>
      <c r="C623" s="390" t="s">
        <v>2106</v>
      </c>
      <c r="D623" s="389" t="s">
        <v>36</v>
      </c>
      <c r="E623" s="389" t="s">
        <v>2107</v>
      </c>
      <c r="F623" s="391" t="s">
        <v>2018</v>
      </c>
      <c r="G623" s="390" t="s">
        <v>2436</v>
      </c>
      <c r="H623" s="390" t="s">
        <v>2108</v>
      </c>
      <c r="I623" s="392">
        <v>9.11</v>
      </c>
    </row>
    <row r="624" spans="1:9" hidden="1" x14ac:dyDescent="0.2">
      <c r="A624" s="389" t="s">
        <v>2011</v>
      </c>
      <c r="B624" s="389"/>
      <c r="C624" s="390" t="s">
        <v>2034</v>
      </c>
      <c r="D624" s="389" t="s">
        <v>36</v>
      </c>
      <c r="E624" s="389" t="s">
        <v>2035</v>
      </c>
      <c r="F624" s="391" t="s">
        <v>2018</v>
      </c>
      <c r="G624" s="390" t="s">
        <v>2436</v>
      </c>
      <c r="H624" s="390" t="s">
        <v>2037</v>
      </c>
      <c r="I624" s="392">
        <v>7.15</v>
      </c>
    </row>
    <row r="625" spans="1:9" x14ac:dyDescent="0.2">
      <c r="A625" s="393" t="s">
        <v>2024</v>
      </c>
      <c r="B625" s="393"/>
      <c r="C625" s="394" t="s">
        <v>2874</v>
      </c>
      <c r="D625" s="393" t="s">
        <v>10</v>
      </c>
      <c r="E625" s="393" t="s">
        <v>2875</v>
      </c>
      <c r="F625" s="395" t="s">
        <v>48</v>
      </c>
      <c r="G625" s="394" t="s">
        <v>2026</v>
      </c>
      <c r="H625" s="394" t="s">
        <v>2876</v>
      </c>
      <c r="I625" s="396">
        <v>55.71</v>
      </c>
    </row>
    <row r="626" spans="1:9" ht="15" hidden="1" thickTop="1" x14ac:dyDescent="0.2">
      <c r="A626" s="188"/>
      <c r="B626" s="188"/>
      <c r="C626" s="188"/>
      <c r="D626" s="188"/>
      <c r="E626" s="188"/>
      <c r="F626" s="188"/>
      <c r="G626" s="188"/>
      <c r="H626" s="188"/>
      <c r="I626" s="188"/>
    </row>
    <row r="627" spans="1:9" ht="15" hidden="1" x14ac:dyDescent="0.2">
      <c r="A627" s="121"/>
      <c r="B627" s="121" t="s">
        <v>65</v>
      </c>
      <c r="C627" s="117" t="s">
        <v>46</v>
      </c>
      <c r="D627" s="121" t="s">
        <v>21</v>
      </c>
      <c r="E627" s="121" t="s">
        <v>37</v>
      </c>
      <c r="F627" s="118" t="s">
        <v>26</v>
      </c>
      <c r="G627" s="117" t="s">
        <v>61</v>
      </c>
      <c r="H627" s="117" t="s">
        <v>79</v>
      </c>
      <c r="I627" s="117" t="s">
        <v>50</v>
      </c>
    </row>
    <row r="628" spans="1:9" x14ac:dyDescent="0.2">
      <c r="A628" s="386" t="s">
        <v>2007</v>
      </c>
      <c r="B628" s="386" t="s">
        <v>2877</v>
      </c>
      <c r="C628" s="387" t="s">
        <v>2878</v>
      </c>
      <c r="D628" s="386" t="s">
        <v>10</v>
      </c>
      <c r="E628" s="386" t="s">
        <v>1192</v>
      </c>
      <c r="F628" s="388" t="s">
        <v>48</v>
      </c>
      <c r="G628" s="387">
        <v>1</v>
      </c>
      <c r="H628" s="387" t="s">
        <v>2879</v>
      </c>
      <c r="I628" s="387" t="s">
        <v>2879</v>
      </c>
    </row>
    <row r="629" spans="1:9" hidden="1" x14ac:dyDescent="0.2">
      <c r="A629" s="389" t="s">
        <v>2011</v>
      </c>
      <c r="B629" s="389"/>
      <c r="C629" s="390" t="s">
        <v>2106</v>
      </c>
      <c r="D629" s="389" t="s">
        <v>36</v>
      </c>
      <c r="E629" s="389" t="s">
        <v>2107</v>
      </c>
      <c r="F629" s="391" t="s">
        <v>2018</v>
      </c>
      <c r="G629" s="390" t="s">
        <v>2235</v>
      </c>
      <c r="H629" s="390" t="s">
        <v>2108</v>
      </c>
      <c r="I629" s="392">
        <v>12.75</v>
      </c>
    </row>
    <row r="630" spans="1:9" hidden="1" x14ac:dyDescent="0.2">
      <c r="A630" s="389" t="s">
        <v>2011</v>
      </c>
      <c r="B630" s="389"/>
      <c r="C630" s="390" t="s">
        <v>2034</v>
      </c>
      <c r="D630" s="389" t="s">
        <v>36</v>
      </c>
      <c r="E630" s="389" t="s">
        <v>2035</v>
      </c>
      <c r="F630" s="391" t="s">
        <v>2018</v>
      </c>
      <c r="G630" s="390" t="s">
        <v>2235</v>
      </c>
      <c r="H630" s="390" t="s">
        <v>2037</v>
      </c>
      <c r="I630" s="392">
        <v>10.01</v>
      </c>
    </row>
    <row r="631" spans="1:9" x14ac:dyDescent="0.2">
      <c r="A631" s="393" t="s">
        <v>2024</v>
      </c>
      <c r="B631" s="393"/>
      <c r="C631" s="394" t="s">
        <v>2880</v>
      </c>
      <c r="D631" s="393" t="s">
        <v>10</v>
      </c>
      <c r="E631" s="393" t="s">
        <v>2881</v>
      </c>
      <c r="F631" s="395" t="s">
        <v>48</v>
      </c>
      <c r="G631" s="394" t="s">
        <v>2026</v>
      </c>
      <c r="H631" s="394" t="s">
        <v>2882</v>
      </c>
      <c r="I631" s="396">
        <v>39.840000000000003</v>
      </c>
    </row>
    <row r="632" spans="1:9" ht="15" hidden="1" thickTop="1" x14ac:dyDescent="0.2">
      <c r="A632" s="188"/>
      <c r="B632" s="188"/>
      <c r="C632" s="188"/>
      <c r="D632" s="188"/>
      <c r="E632" s="188"/>
      <c r="F632" s="188"/>
      <c r="G632" s="188"/>
      <c r="H632" s="188"/>
      <c r="I632" s="188"/>
    </row>
    <row r="633" spans="1:9" ht="15" hidden="1" x14ac:dyDescent="0.2">
      <c r="A633" s="121"/>
      <c r="B633" s="121" t="s">
        <v>65</v>
      </c>
      <c r="C633" s="117" t="s">
        <v>46</v>
      </c>
      <c r="D633" s="121" t="s">
        <v>21</v>
      </c>
      <c r="E633" s="121" t="s">
        <v>37</v>
      </c>
      <c r="F633" s="118" t="s">
        <v>26</v>
      </c>
      <c r="G633" s="117" t="s">
        <v>61</v>
      </c>
      <c r="H633" s="117" t="s">
        <v>79</v>
      </c>
      <c r="I633" s="117" t="s">
        <v>50</v>
      </c>
    </row>
    <row r="634" spans="1:9" x14ac:dyDescent="0.2">
      <c r="A634" s="386" t="s">
        <v>2007</v>
      </c>
      <c r="B634" s="386" t="s">
        <v>2883</v>
      </c>
      <c r="C634" s="387" t="s">
        <v>2884</v>
      </c>
      <c r="D634" s="386" t="s">
        <v>10</v>
      </c>
      <c r="E634" s="386" t="s">
        <v>1194</v>
      </c>
      <c r="F634" s="388" t="s">
        <v>48</v>
      </c>
      <c r="G634" s="387">
        <v>1</v>
      </c>
      <c r="H634" s="387" t="s">
        <v>2885</v>
      </c>
      <c r="I634" s="387" t="s">
        <v>2885</v>
      </c>
    </row>
    <row r="635" spans="1:9" hidden="1" x14ac:dyDescent="0.2">
      <c r="A635" s="389" t="s">
        <v>2011</v>
      </c>
      <c r="B635" s="389"/>
      <c r="C635" s="390" t="s">
        <v>2106</v>
      </c>
      <c r="D635" s="389" t="s">
        <v>36</v>
      </c>
      <c r="E635" s="389" t="s">
        <v>2107</v>
      </c>
      <c r="F635" s="391" t="s">
        <v>2018</v>
      </c>
      <c r="G635" s="390" t="s">
        <v>2026</v>
      </c>
      <c r="H635" s="390" t="s">
        <v>2108</v>
      </c>
      <c r="I635" s="392">
        <v>18.22</v>
      </c>
    </row>
    <row r="636" spans="1:9" x14ac:dyDescent="0.2">
      <c r="A636" s="393" t="s">
        <v>2024</v>
      </c>
      <c r="B636" s="393"/>
      <c r="C636" s="394" t="s">
        <v>2886</v>
      </c>
      <c r="D636" s="393" t="s">
        <v>10</v>
      </c>
      <c r="E636" s="393" t="s">
        <v>2887</v>
      </c>
      <c r="F636" s="395" t="s">
        <v>48</v>
      </c>
      <c r="G636" s="394" t="s">
        <v>2026</v>
      </c>
      <c r="H636" s="394" t="s">
        <v>2888</v>
      </c>
      <c r="I636" s="396">
        <v>577.29999999999995</v>
      </c>
    </row>
    <row r="637" spans="1:9" ht="15" hidden="1" thickTop="1" x14ac:dyDescent="0.2">
      <c r="A637" s="188"/>
      <c r="B637" s="188"/>
      <c r="C637" s="188"/>
      <c r="D637" s="188"/>
      <c r="E637" s="188"/>
      <c r="F637" s="188"/>
      <c r="G637" s="188"/>
      <c r="H637" s="188"/>
      <c r="I637" s="188"/>
    </row>
    <row r="638" spans="1:9" ht="15" hidden="1" x14ac:dyDescent="0.2">
      <c r="A638" s="121"/>
      <c r="B638" s="121" t="s">
        <v>65</v>
      </c>
      <c r="C638" s="117" t="s">
        <v>46</v>
      </c>
      <c r="D638" s="121" t="s">
        <v>21</v>
      </c>
      <c r="E638" s="121" t="s">
        <v>37</v>
      </c>
      <c r="F638" s="118" t="s">
        <v>26</v>
      </c>
      <c r="G638" s="117" t="s">
        <v>61</v>
      </c>
      <c r="H638" s="117" t="s">
        <v>79</v>
      </c>
      <c r="I638" s="117" t="s">
        <v>50</v>
      </c>
    </row>
    <row r="639" spans="1:9" x14ac:dyDescent="0.2">
      <c r="A639" s="386" t="s">
        <v>2007</v>
      </c>
      <c r="B639" s="386" t="s">
        <v>2889</v>
      </c>
      <c r="C639" s="387" t="s">
        <v>2890</v>
      </c>
      <c r="D639" s="386" t="s">
        <v>10</v>
      </c>
      <c r="E639" s="386" t="s">
        <v>1196</v>
      </c>
      <c r="F639" s="388" t="s">
        <v>48</v>
      </c>
      <c r="G639" s="387">
        <v>1</v>
      </c>
      <c r="H639" s="387" t="s">
        <v>2891</v>
      </c>
      <c r="I639" s="387" t="s">
        <v>2891</v>
      </c>
    </row>
    <row r="640" spans="1:9" hidden="1" x14ac:dyDescent="0.2">
      <c r="A640" s="389" t="s">
        <v>2011</v>
      </c>
      <c r="B640" s="389"/>
      <c r="C640" s="390" t="s">
        <v>2106</v>
      </c>
      <c r="D640" s="389" t="s">
        <v>36</v>
      </c>
      <c r="E640" s="389" t="s">
        <v>2107</v>
      </c>
      <c r="F640" s="391" t="s">
        <v>2018</v>
      </c>
      <c r="G640" s="390" t="s">
        <v>2892</v>
      </c>
      <c r="H640" s="390" t="s">
        <v>2108</v>
      </c>
      <c r="I640" s="392">
        <v>109.32</v>
      </c>
    </row>
    <row r="641" spans="1:9" x14ac:dyDescent="0.2">
      <c r="A641" s="393" t="s">
        <v>2024</v>
      </c>
      <c r="B641" s="393"/>
      <c r="C641" s="394" t="s">
        <v>2893</v>
      </c>
      <c r="D641" s="393" t="s">
        <v>10</v>
      </c>
      <c r="E641" s="393" t="s">
        <v>2894</v>
      </c>
      <c r="F641" s="395" t="s">
        <v>48</v>
      </c>
      <c r="G641" s="394" t="s">
        <v>2026</v>
      </c>
      <c r="H641" s="394" t="s">
        <v>2895</v>
      </c>
      <c r="I641" s="396">
        <v>108.21</v>
      </c>
    </row>
    <row r="642" spans="1:9" ht="15" hidden="1" thickTop="1" x14ac:dyDescent="0.2">
      <c r="A642" s="188"/>
      <c r="B642" s="188"/>
      <c r="C642" s="188"/>
      <c r="D642" s="188"/>
      <c r="E642" s="188"/>
      <c r="F642" s="188"/>
      <c r="G642" s="188"/>
      <c r="H642" s="188"/>
      <c r="I642" s="188"/>
    </row>
    <row r="643" spans="1:9" ht="15" hidden="1" x14ac:dyDescent="0.2">
      <c r="A643" s="121"/>
      <c r="B643" s="121" t="s">
        <v>65</v>
      </c>
      <c r="C643" s="117" t="s">
        <v>46</v>
      </c>
      <c r="D643" s="121" t="s">
        <v>21</v>
      </c>
      <c r="E643" s="121" t="s">
        <v>37</v>
      </c>
      <c r="F643" s="118" t="s">
        <v>26</v>
      </c>
      <c r="G643" s="117" t="s">
        <v>61</v>
      </c>
      <c r="H643" s="117" t="s">
        <v>79</v>
      </c>
      <c r="I643" s="117" t="s">
        <v>50</v>
      </c>
    </row>
    <row r="644" spans="1:9" ht="22.5" x14ac:dyDescent="0.2">
      <c r="A644" s="386" t="s">
        <v>2007</v>
      </c>
      <c r="B644" s="386" t="s">
        <v>2896</v>
      </c>
      <c r="C644" s="387" t="s">
        <v>2897</v>
      </c>
      <c r="D644" s="386" t="s">
        <v>10</v>
      </c>
      <c r="E644" s="386" t="s">
        <v>1200</v>
      </c>
      <c r="F644" s="388" t="s">
        <v>48</v>
      </c>
      <c r="G644" s="387">
        <v>1</v>
      </c>
      <c r="H644" s="387" t="s">
        <v>2898</v>
      </c>
      <c r="I644" s="387" t="s">
        <v>2898</v>
      </c>
    </row>
    <row r="645" spans="1:9" hidden="1" x14ac:dyDescent="0.2">
      <c r="A645" s="389" t="s">
        <v>2011</v>
      </c>
      <c r="B645" s="389"/>
      <c r="C645" s="390" t="s">
        <v>2030</v>
      </c>
      <c r="D645" s="389" t="s">
        <v>36</v>
      </c>
      <c r="E645" s="389" t="s">
        <v>2031</v>
      </c>
      <c r="F645" s="391" t="s">
        <v>2018</v>
      </c>
      <c r="G645" s="390" t="s">
        <v>2616</v>
      </c>
      <c r="H645" s="390" t="s">
        <v>2033</v>
      </c>
      <c r="I645" s="392">
        <v>3.52</v>
      </c>
    </row>
    <row r="646" spans="1:9" hidden="1" x14ac:dyDescent="0.2">
      <c r="A646" s="389" t="s">
        <v>2011</v>
      </c>
      <c r="B646" s="389"/>
      <c r="C646" s="390" t="s">
        <v>2034</v>
      </c>
      <c r="D646" s="389" t="s">
        <v>36</v>
      </c>
      <c r="E646" s="389" t="s">
        <v>2035</v>
      </c>
      <c r="F646" s="391" t="s">
        <v>2018</v>
      </c>
      <c r="G646" s="390" t="s">
        <v>2616</v>
      </c>
      <c r="H646" s="390" t="s">
        <v>2037</v>
      </c>
      <c r="I646" s="392">
        <v>2.86</v>
      </c>
    </row>
    <row r="647" spans="1:9" ht="22.5" hidden="1" x14ac:dyDescent="0.2">
      <c r="A647" s="393" t="s">
        <v>2024</v>
      </c>
      <c r="B647" s="393"/>
      <c r="C647" s="394" t="s">
        <v>2899</v>
      </c>
      <c r="D647" s="393" t="s">
        <v>36</v>
      </c>
      <c r="E647" s="393" t="s">
        <v>1200</v>
      </c>
      <c r="F647" s="395" t="s">
        <v>48</v>
      </c>
      <c r="G647" s="394" t="s">
        <v>2026</v>
      </c>
      <c r="H647" s="394" t="s">
        <v>2900</v>
      </c>
      <c r="I647" s="396">
        <v>17.940000000000001</v>
      </c>
    </row>
    <row r="648" spans="1:9" ht="15" hidden="1" thickTop="1" x14ac:dyDescent="0.2">
      <c r="A648" s="188"/>
      <c r="B648" s="188"/>
      <c r="C648" s="188"/>
      <c r="D648" s="188"/>
      <c r="E648" s="188"/>
      <c r="F648" s="188"/>
      <c r="G648" s="188"/>
      <c r="H648" s="188"/>
      <c r="I648" s="188"/>
    </row>
    <row r="649" spans="1:9" ht="15" hidden="1" x14ac:dyDescent="0.2">
      <c r="A649" s="121"/>
      <c r="B649" s="121" t="s">
        <v>65</v>
      </c>
      <c r="C649" s="117" t="s">
        <v>46</v>
      </c>
      <c r="D649" s="121" t="s">
        <v>21</v>
      </c>
      <c r="E649" s="121" t="s">
        <v>37</v>
      </c>
      <c r="F649" s="118" t="s">
        <v>26</v>
      </c>
      <c r="G649" s="117" t="s">
        <v>61</v>
      </c>
      <c r="H649" s="117" t="s">
        <v>79</v>
      </c>
      <c r="I649" s="117" t="s">
        <v>50</v>
      </c>
    </row>
    <row r="650" spans="1:9" x14ac:dyDescent="0.2">
      <c r="A650" s="386" t="s">
        <v>2007</v>
      </c>
      <c r="B650" s="386" t="s">
        <v>2901</v>
      </c>
      <c r="C650" s="387" t="s">
        <v>2902</v>
      </c>
      <c r="D650" s="386" t="s">
        <v>10</v>
      </c>
      <c r="E650" s="386" t="s">
        <v>1202</v>
      </c>
      <c r="F650" s="388" t="s">
        <v>48</v>
      </c>
      <c r="G650" s="387">
        <v>1</v>
      </c>
      <c r="H650" s="387" t="s">
        <v>2903</v>
      </c>
      <c r="I650" s="387" t="s">
        <v>2903</v>
      </c>
    </row>
    <row r="651" spans="1:9" hidden="1" x14ac:dyDescent="0.2">
      <c r="A651" s="389" t="s">
        <v>2011</v>
      </c>
      <c r="B651" s="389"/>
      <c r="C651" s="390" t="s">
        <v>2558</v>
      </c>
      <c r="D651" s="389" t="s">
        <v>36</v>
      </c>
      <c r="E651" s="389" t="s">
        <v>2559</v>
      </c>
      <c r="F651" s="391" t="s">
        <v>2018</v>
      </c>
      <c r="G651" s="390" t="s">
        <v>2364</v>
      </c>
      <c r="H651" s="390" t="s">
        <v>2560</v>
      </c>
      <c r="I651" s="392">
        <v>3.54</v>
      </c>
    </row>
    <row r="652" spans="1:9" hidden="1" x14ac:dyDescent="0.2">
      <c r="A652" s="393" t="s">
        <v>2024</v>
      </c>
      <c r="B652" s="393"/>
      <c r="C652" s="394" t="s">
        <v>2904</v>
      </c>
      <c r="D652" s="393" t="s">
        <v>36</v>
      </c>
      <c r="E652" s="393" t="s">
        <v>1202</v>
      </c>
      <c r="F652" s="395" t="s">
        <v>48</v>
      </c>
      <c r="G652" s="394" t="s">
        <v>2026</v>
      </c>
      <c r="H652" s="394" t="s">
        <v>2905</v>
      </c>
      <c r="I652" s="396">
        <v>1.1100000000000001</v>
      </c>
    </row>
    <row r="653" spans="1:9" ht="15" hidden="1" thickTop="1" x14ac:dyDescent="0.2">
      <c r="A653" s="188"/>
      <c r="B653" s="188"/>
      <c r="C653" s="188"/>
      <c r="D653" s="188"/>
      <c r="E653" s="188"/>
      <c r="F653" s="188"/>
      <c r="G653" s="188"/>
      <c r="H653" s="188"/>
      <c r="I653" s="188"/>
    </row>
    <row r="654" spans="1:9" ht="15" hidden="1" x14ac:dyDescent="0.2">
      <c r="A654" s="121"/>
      <c r="B654" s="121" t="s">
        <v>65</v>
      </c>
      <c r="C654" s="117" t="s">
        <v>46</v>
      </c>
      <c r="D654" s="121" t="s">
        <v>21</v>
      </c>
      <c r="E654" s="121" t="s">
        <v>37</v>
      </c>
      <c r="F654" s="118" t="s">
        <v>26</v>
      </c>
      <c r="G654" s="117" t="s">
        <v>61</v>
      </c>
      <c r="H654" s="117" t="s">
        <v>79</v>
      </c>
      <c r="I654" s="117" t="s">
        <v>50</v>
      </c>
    </row>
    <row r="655" spans="1:9" x14ac:dyDescent="0.2">
      <c r="A655" s="386" t="s">
        <v>2007</v>
      </c>
      <c r="B655" s="386" t="s">
        <v>2906</v>
      </c>
      <c r="C655" s="387" t="s">
        <v>2907</v>
      </c>
      <c r="D655" s="386" t="s">
        <v>10</v>
      </c>
      <c r="E655" s="386" t="s">
        <v>1204</v>
      </c>
      <c r="F655" s="388" t="s">
        <v>48</v>
      </c>
      <c r="G655" s="387">
        <v>1</v>
      </c>
      <c r="H655" s="387" t="s">
        <v>2908</v>
      </c>
      <c r="I655" s="387" t="s">
        <v>2908</v>
      </c>
    </row>
    <row r="656" spans="1:9" hidden="1" x14ac:dyDescent="0.2">
      <c r="A656" s="389" t="s">
        <v>2011</v>
      </c>
      <c r="B656" s="389"/>
      <c r="C656" s="390" t="s">
        <v>2558</v>
      </c>
      <c r="D656" s="389" t="s">
        <v>36</v>
      </c>
      <c r="E656" s="389" t="s">
        <v>2559</v>
      </c>
      <c r="F656" s="391" t="s">
        <v>2018</v>
      </c>
      <c r="G656" s="390" t="s">
        <v>2909</v>
      </c>
      <c r="H656" s="390" t="s">
        <v>2560</v>
      </c>
      <c r="I656" s="392">
        <v>2.25</v>
      </c>
    </row>
    <row r="657" spans="1:9" hidden="1" x14ac:dyDescent="0.2">
      <c r="A657" s="389" t="s">
        <v>2011</v>
      </c>
      <c r="B657" s="389"/>
      <c r="C657" s="390" t="s">
        <v>2106</v>
      </c>
      <c r="D657" s="389" t="s">
        <v>36</v>
      </c>
      <c r="E657" s="389" t="s">
        <v>2107</v>
      </c>
      <c r="F657" s="391" t="s">
        <v>2018</v>
      </c>
      <c r="G657" s="390" t="s">
        <v>2909</v>
      </c>
      <c r="H657" s="390" t="s">
        <v>2108</v>
      </c>
      <c r="I657" s="392">
        <v>2.89</v>
      </c>
    </row>
    <row r="658" spans="1:9" x14ac:dyDescent="0.2">
      <c r="A658" s="393" t="s">
        <v>2024</v>
      </c>
      <c r="B658" s="393"/>
      <c r="C658" s="394" t="s">
        <v>2910</v>
      </c>
      <c r="D658" s="393" t="s">
        <v>10</v>
      </c>
      <c r="E658" s="393" t="s">
        <v>2911</v>
      </c>
      <c r="F658" s="395" t="s">
        <v>48</v>
      </c>
      <c r="G658" s="394" t="s">
        <v>2026</v>
      </c>
      <c r="H658" s="394" t="s">
        <v>2912</v>
      </c>
      <c r="I658" s="396">
        <v>1.56</v>
      </c>
    </row>
    <row r="659" spans="1:9" ht="15" hidden="1" thickTop="1" x14ac:dyDescent="0.2">
      <c r="A659" s="188"/>
      <c r="B659" s="188"/>
      <c r="C659" s="188"/>
      <c r="D659" s="188"/>
      <c r="E659" s="188"/>
      <c r="F659" s="188"/>
      <c r="G659" s="188"/>
      <c r="H659" s="188"/>
      <c r="I659" s="188"/>
    </row>
    <row r="660" spans="1:9" ht="15" hidden="1" x14ac:dyDescent="0.2">
      <c r="A660" s="121"/>
      <c r="B660" s="121" t="s">
        <v>65</v>
      </c>
      <c r="C660" s="117" t="s">
        <v>46</v>
      </c>
      <c r="D660" s="121" t="s">
        <v>21</v>
      </c>
      <c r="E660" s="121" t="s">
        <v>37</v>
      </c>
      <c r="F660" s="118" t="s">
        <v>26</v>
      </c>
      <c r="G660" s="117" t="s">
        <v>61</v>
      </c>
      <c r="H660" s="117" t="s">
        <v>79</v>
      </c>
      <c r="I660" s="117" t="s">
        <v>50</v>
      </c>
    </row>
    <row r="661" spans="1:9" x14ac:dyDescent="0.2">
      <c r="A661" s="386" t="s">
        <v>2007</v>
      </c>
      <c r="B661" s="386" t="s">
        <v>2913</v>
      </c>
      <c r="C661" s="387" t="s">
        <v>2914</v>
      </c>
      <c r="D661" s="386" t="s">
        <v>10</v>
      </c>
      <c r="E661" s="386" t="s">
        <v>1206</v>
      </c>
      <c r="F661" s="388" t="s">
        <v>48</v>
      </c>
      <c r="G661" s="387">
        <v>1</v>
      </c>
      <c r="H661" s="387" t="s">
        <v>2915</v>
      </c>
      <c r="I661" s="387" t="s">
        <v>2915</v>
      </c>
    </row>
    <row r="662" spans="1:9" hidden="1" x14ac:dyDescent="0.2">
      <c r="A662" s="389" t="s">
        <v>2011</v>
      </c>
      <c r="B662" s="389"/>
      <c r="C662" s="390" t="s">
        <v>2558</v>
      </c>
      <c r="D662" s="389" t="s">
        <v>36</v>
      </c>
      <c r="E662" s="389" t="s">
        <v>2559</v>
      </c>
      <c r="F662" s="391" t="s">
        <v>2018</v>
      </c>
      <c r="G662" s="390" t="s">
        <v>2916</v>
      </c>
      <c r="H662" s="390" t="s">
        <v>2560</v>
      </c>
      <c r="I662" s="392">
        <v>1.35</v>
      </c>
    </row>
    <row r="663" spans="1:9" hidden="1" x14ac:dyDescent="0.2">
      <c r="A663" s="389" t="s">
        <v>2011</v>
      </c>
      <c r="B663" s="389"/>
      <c r="C663" s="390" t="s">
        <v>2106</v>
      </c>
      <c r="D663" s="389" t="s">
        <v>36</v>
      </c>
      <c r="E663" s="389" t="s">
        <v>2107</v>
      </c>
      <c r="F663" s="391" t="s">
        <v>2018</v>
      </c>
      <c r="G663" s="390" t="s">
        <v>2916</v>
      </c>
      <c r="H663" s="390" t="s">
        <v>2108</v>
      </c>
      <c r="I663" s="392">
        <v>1.73</v>
      </c>
    </row>
    <row r="664" spans="1:9" x14ac:dyDescent="0.2">
      <c r="A664" s="393" t="s">
        <v>2024</v>
      </c>
      <c r="B664" s="393"/>
      <c r="C664" s="394" t="s">
        <v>2917</v>
      </c>
      <c r="D664" s="393" t="s">
        <v>10</v>
      </c>
      <c r="E664" s="393" t="s">
        <v>2918</v>
      </c>
      <c r="F664" s="395" t="s">
        <v>48</v>
      </c>
      <c r="G664" s="394" t="s">
        <v>2026</v>
      </c>
      <c r="H664" s="394" t="s">
        <v>2919</v>
      </c>
      <c r="I664" s="396">
        <v>4.1900000000000004</v>
      </c>
    </row>
    <row r="665" spans="1:9" x14ac:dyDescent="0.2">
      <c r="A665" s="393" t="s">
        <v>2024</v>
      </c>
      <c r="B665" s="393"/>
      <c r="C665" s="394" t="s">
        <v>2920</v>
      </c>
      <c r="D665" s="393" t="s">
        <v>10</v>
      </c>
      <c r="E665" s="393" t="s">
        <v>2921</v>
      </c>
      <c r="F665" s="395" t="s">
        <v>48</v>
      </c>
      <c r="G665" s="394" t="s">
        <v>2026</v>
      </c>
      <c r="H665" s="394" t="s">
        <v>2922</v>
      </c>
      <c r="I665" s="396">
        <v>2.02</v>
      </c>
    </row>
    <row r="666" spans="1:9" ht="15" hidden="1" thickTop="1" x14ac:dyDescent="0.2">
      <c r="A666" s="188"/>
      <c r="B666" s="188"/>
      <c r="C666" s="188"/>
      <c r="D666" s="188"/>
      <c r="E666" s="188"/>
      <c r="F666" s="188"/>
      <c r="G666" s="188"/>
      <c r="H666" s="188"/>
      <c r="I666" s="188"/>
    </row>
    <row r="667" spans="1:9" ht="15" hidden="1" x14ac:dyDescent="0.2">
      <c r="A667" s="121"/>
      <c r="B667" s="121" t="s">
        <v>65</v>
      </c>
      <c r="C667" s="117" t="s">
        <v>46</v>
      </c>
      <c r="D667" s="121" t="s">
        <v>21</v>
      </c>
      <c r="E667" s="121" t="s">
        <v>37</v>
      </c>
      <c r="F667" s="118" t="s">
        <v>26</v>
      </c>
      <c r="G667" s="117" t="s">
        <v>61</v>
      </c>
      <c r="H667" s="117" t="s">
        <v>79</v>
      </c>
      <c r="I667" s="117" t="s">
        <v>50</v>
      </c>
    </row>
    <row r="668" spans="1:9" x14ac:dyDescent="0.2">
      <c r="A668" s="386" t="s">
        <v>2007</v>
      </c>
      <c r="B668" s="386" t="s">
        <v>2923</v>
      </c>
      <c r="C668" s="387" t="s">
        <v>2924</v>
      </c>
      <c r="D668" s="386" t="s">
        <v>10</v>
      </c>
      <c r="E668" s="386" t="s">
        <v>1208</v>
      </c>
      <c r="F668" s="388" t="s">
        <v>12</v>
      </c>
      <c r="G668" s="387">
        <v>1</v>
      </c>
      <c r="H668" s="387" t="s">
        <v>2925</v>
      </c>
      <c r="I668" s="387" t="s">
        <v>2925</v>
      </c>
    </row>
    <row r="669" spans="1:9" hidden="1" x14ac:dyDescent="0.2">
      <c r="A669" s="389" t="s">
        <v>2011</v>
      </c>
      <c r="B669" s="389"/>
      <c r="C669" s="390" t="s">
        <v>2106</v>
      </c>
      <c r="D669" s="389" t="s">
        <v>36</v>
      </c>
      <c r="E669" s="389" t="s">
        <v>2107</v>
      </c>
      <c r="F669" s="391" t="s">
        <v>2018</v>
      </c>
      <c r="G669" s="390" t="s">
        <v>2220</v>
      </c>
      <c r="H669" s="390" t="s">
        <v>2108</v>
      </c>
      <c r="I669" s="392">
        <v>5.46</v>
      </c>
    </row>
    <row r="670" spans="1:9" hidden="1" x14ac:dyDescent="0.2">
      <c r="A670" s="389" t="s">
        <v>2011</v>
      </c>
      <c r="B670" s="389"/>
      <c r="C670" s="390" t="s">
        <v>2558</v>
      </c>
      <c r="D670" s="389" t="s">
        <v>36</v>
      </c>
      <c r="E670" s="389" t="s">
        <v>2559</v>
      </c>
      <c r="F670" s="391" t="s">
        <v>2018</v>
      </c>
      <c r="G670" s="390" t="s">
        <v>2220</v>
      </c>
      <c r="H670" s="390" t="s">
        <v>2560</v>
      </c>
      <c r="I670" s="392">
        <v>4.25</v>
      </c>
    </row>
    <row r="671" spans="1:9" x14ac:dyDescent="0.2">
      <c r="A671" s="393" t="s">
        <v>2024</v>
      </c>
      <c r="B671" s="393"/>
      <c r="C671" s="394" t="s">
        <v>2926</v>
      </c>
      <c r="D671" s="393" t="s">
        <v>10</v>
      </c>
      <c r="E671" s="393" t="s">
        <v>2927</v>
      </c>
      <c r="F671" s="395" t="s">
        <v>48</v>
      </c>
      <c r="G671" s="394" t="s">
        <v>2203</v>
      </c>
      <c r="H671" s="394" t="s">
        <v>2928</v>
      </c>
      <c r="I671" s="396">
        <v>4.2300000000000004</v>
      </c>
    </row>
    <row r="672" spans="1:9" ht="15" hidden="1" thickTop="1" x14ac:dyDescent="0.2">
      <c r="A672" s="188"/>
      <c r="B672" s="188"/>
      <c r="C672" s="188"/>
      <c r="D672" s="188"/>
      <c r="E672" s="188"/>
      <c r="F672" s="188"/>
      <c r="G672" s="188"/>
      <c r="H672" s="188"/>
      <c r="I672" s="188"/>
    </row>
    <row r="673" spans="1:9" ht="15" hidden="1" x14ac:dyDescent="0.2">
      <c r="A673" s="121"/>
      <c r="B673" s="121" t="s">
        <v>65</v>
      </c>
      <c r="C673" s="117" t="s">
        <v>46</v>
      </c>
      <c r="D673" s="121" t="s">
        <v>21</v>
      </c>
      <c r="E673" s="121" t="s">
        <v>37</v>
      </c>
      <c r="F673" s="118" t="s">
        <v>26</v>
      </c>
      <c r="G673" s="117" t="s">
        <v>61</v>
      </c>
      <c r="H673" s="117" t="s">
        <v>79</v>
      </c>
      <c r="I673" s="117" t="s">
        <v>50</v>
      </c>
    </row>
    <row r="674" spans="1:9" x14ac:dyDescent="0.2">
      <c r="A674" s="386" t="s">
        <v>2007</v>
      </c>
      <c r="B674" s="386" t="s">
        <v>2929</v>
      </c>
      <c r="C674" s="387" t="s">
        <v>2930</v>
      </c>
      <c r="D674" s="386" t="s">
        <v>10</v>
      </c>
      <c r="E674" s="386" t="s">
        <v>1210</v>
      </c>
      <c r="F674" s="388" t="s">
        <v>48</v>
      </c>
      <c r="G674" s="387">
        <v>1</v>
      </c>
      <c r="H674" s="387" t="s">
        <v>2931</v>
      </c>
      <c r="I674" s="387" t="s">
        <v>2931</v>
      </c>
    </row>
    <row r="675" spans="1:9" hidden="1" x14ac:dyDescent="0.2">
      <c r="A675" s="389" t="s">
        <v>2011</v>
      </c>
      <c r="B675" s="389"/>
      <c r="C675" s="390" t="s">
        <v>2106</v>
      </c>
      <c r="D675" s="389" t="s">
        <v>36</v>
      </c>
      <c r="E675" s="389" t="s">
        <v>2107</v>
      </c>
      <c r="F675" s="391" t="s">
        <v>2018</v>
      </c>
      <c r="G675" s="390" t="s">
        <v>2588</v>
      </c>
      <c r="H675" s="390" t="s">
        <v>2108</v>
      </c>
      <c r="I675" s="392">
        <v>1.82</v>
      </c>
    </row>
    <row r="676" spans="1:9" x14ac:dyDescent="0.2">
      <c r="A676" s="393" t="s">
        <v>2024</v>
      </c>
      <c r="B676" s="393"/>
      <c r="C676" s="394" t="s">
        <v>2932</v>
      </c>
      <c r="D676" s="393" t="s">
        <v>10</v>
      </c>
      <c r="E676" s="393" t="s">
        <v>2933</v>
      </c>
      <c r="F676" s="395" t="s">
        <v>48</v>
      </c>
      <c r="G676" s="394" t="s">
        <v>2026</v>
      </c>
      <c r="H676" s="394" t="s">
        <v>2934</v>
      </c>
      <c r="I676" s="396">
        <v>0.93</v>
      </c>
    </row>
    <row r="677" spans="1:9" ht="15" hidden="1" thickTop="1" x14ac:dyDescent="0.2">
      <c r="A677" s="188"/>
      <c r="B677" s="188"/>
      <c r="C677" s="188"/>
      <c r="D677" s="188"/>
      <c r="E677" s="188"/>
      <c r="F677" s="188"/>
      <c r="G677" s="188"/>
      <c r="H677" s="188"/>
      <c r="I677" s="188"/>
    </row>
    <row r="678" spans="1:9" ht="15" hidden="1" x14ac:dyDescent="0.2">
      <c r="A678" s="121"/>
      <c r="B678" s="121" t="s">
        <v>65</v>
      </c>
      <c r="C678" s="117" t="s">
        <v>46</v>
      </c>
      <c r="D678" s="121" t="s">
        <v>21</v>
      </c>
      <c r="E678" s="121" t="s">
        <v>37</v>
      </c>
      <c r="F678" s="118" t="s">
        <v>26</v>
      </c>
      <c r="G678" s="117" t="s">
        <v>61</v>
      </c>
      <c r="H678" s="117" t="s">
        <v>79</v>
      </c>
      <c r="I678" s="117" t="s">
        <v>50</v>
      </c>
    </row>
    <row r="679" spans="1:9" ht="22.5" x14ac:dyDescent="0.2">
      <c r="A679" s="386" t="s">
        <v>2007</v>
      </c>
      <c r="B679" s="386" t="s">
        <v>2935</v>
      </c>
      <c r="C679" s="387" t="s">
        <v>2936</v>
      </c>
      <c r="D679" s="386" t="s">
        <v>10</v>
      </c>
      <c r="E679" s="386" t="s">
        <v>1212</v>
      </c>
      <c r="F679" s="388" t="s">
        <v>48</v>
      </c>
      <c r="G679" s="387">
        <v>1</v>
      </c>
      <c r="H679" s="387" t="s">
        <v>2937</v>
      </c>
      <c r="I679" s="387" t="s">
        <v>2937</v>
      </c>
    </row>
    <row r="680" spans="1:9" hidden="1" x14ac:dyDescent="0.2">
      <c r="A680" s="389" t="s">
        <v>2011</v>
      </c>
      <c r="B680" s="389"/>
      <c r="C680" s="390" t="s">
        <v>2067</v>
      </c>
      <c r="D680" s="389" t="s">
        <v>36</v>
      </c>
      <c r="E680" s="389" t="s">
        <v>2068</v>
      </c>
      <c r="F680" s="391" t="s">
        <v>2018</v>
      </c>
      <c r="G680" s="390" t="s">
        <v>2065</v>
      </c>
      <c r="H680" s="390" t="s">
        <v>2070</v>
      </c>
      <c r="I680" s="392">
        <v>72.08</v>
      </c>
    </row>
    <row r="681" spans="1:9" hidden="1" x14ac:dyDescent="0.2">
      <c r="A681" s="389" t="s">
        <v>2011</v>
      </c>
      <c r="B681" s="389"/>
      <c r="C681" s="390" t="s">
        <v>2034</v>
      </c>
      <c r="D681" s="389" t="s">
        <v>36</v>
      </c>
      <c r="E681" s="389" t="s">
        <v>2035</v>
      </c>
      <c r="F681" s="391" t="s">
        <v>2018</v>
      </c>
      <c r="G681" s="390" t="s">
        <v>2065</v>
      </c>
      <c r="H681" s="390" t="s">
        <v>2037</v>
      </c>
      <c r="I681" s="392">
        <v>57.24</v>
      </c>
    </row>
    <row r="682" spans="1:9" ht="33.75" hidden="1" x14ac:dyDescent="0.2">
      <c r="A682" s="393" t="s">
        <v>2024</v>
      </c>
      <c r="B682" s="393"/>
      <c r="C682" s="394" t="s">
        <v>2938</v>
      </c>
      <c r="D682" s="393" t="s">
        <v>36</v>
      </c>
      <c r="E682" s="393" t="s">
        <v>2939</v>
      </c>
      <c r="F682" s="395" t="s">
        <v>48</v>
      </c>
      <c r="G682" s="394" t="s">
        <v>2026</v>
      </c>
      <c r="H682" s="394" t="s">
        <v>2940</v>
      </c>
      <c r="I682" s="396">
        <v>272.19</v>
      </c>
    </row>
    <row r="683" spans="1:9" ht="22.5" hidden="1" x14ac:dyDescent="0.2">
      <c r="A683" s="393" t="s">
        <v>2024</v>
      </c>
      <c r="B683" s="393"/>
      <c r="C683" s="394" t="s">
        <v>2941</v>
      </c>
      <c r="D683" s="393" t="s">
        <v>36</v>
      </c>
      <c r="E683" s="393" t="s">
        <v>2942</v>
      </c>
      <c r="F683" s="395" t="s">
        <v>48</v>
      </c>
      <c r="G683" s="394" t="s">
        <v>2026</v>
      </c>
      <c r="H683" s="394" t="s">
        <v>2943</v>
      </c>
      <c r="I683" s="396">
        <v>62.86</v>
      </c>
    </row>
    <row r="684" spans="1:9" ht="22.5" hidden="1" x14ac:dyDescent="0.2">
      <c r="A684" s="393" t="s">
        <v>2024</v>
      </c>
      <c r="B684" s="393"/>
      <c r="C684" s="394" t="s">
        <v>2944</v>
      </c>
      <c r="D684" s="393" t="s">
        <v>36</v>
      </c>
      <c r="E684" s="393" t="s">
        <v>2945</v>
      </c>
      <c r="F684" s="395" t="s">
        <v>48</v>
      </c>
      <c r="G684" s="394" t="s">
        <v>2026</v>
      </c>
      <c r="H684" s="394" t="s">
        <v>2946</v>
      </c>
      <c r="I684" s="396">
        <v>51.44</v>
      </c>
    </row>
    <row r="685" spans="1:9" ht="22.5" hidden="1" x14ac:dyDescent="0.2">
      <c r="A685" s="393" t="s">
        <v>2024</v>
      </c>
      <c r="B685" s="393"/>
      <c r="C685" s="394" t="s">
        <v>2947</v>
      </c>
      <c r="D685" s="393" t="s">
        <v>36</v>
      </c>
      <c r="E685" s="393" t="s">
        <v>2948</v>
      </c>
      <c r="F685" s="395" t="s">
        <v>48</v>
      </c>
      <c r="G685" s="394" t="s">
        <v>2026</v>
      </c>
      <c r="H685" s="394" t="s">
        <v>2949</v>
      </c>
      <c r="I685" s="396">
        <v>143.5</v>
      </c>
    </row>
    <row r="686" spans="1:9" ht="22.5" hidden="1" x14ac:dyDescent="0.2">
      <c r="A686" s="393" t="s">
        <v>2024</v>
      </c>
      <c r="B686" s="393"/>
      <c r="C686" s="394" t="s">
        <v>2950</v>
      </c>
      <c r="D686" s="393" t="s">
        <v>36</v>
      </c>
      <c r="E686" s="393" t="s">
        <v>2951</v>
      </c>
      <c r="F686" s="395" t="s">
        <v>48</v>
      </c>
      <c r="G686" s="394" t="s">
        <v>2026</v>
      </c>
      <c r="H686" s="394" t="s">
        <v>2952</v>
      </c>
      <c r="I686" s="396">
        <v>102.49</v>
      </c>
    </row>
    <row r="687" spans="1:9" ht="22.5" hidden="1" x14ac:dyDescent="0.2">
      <c r="A687" s="393" t="s">
        <v>2024</v>
      </c>
      <c r="B687" s="393"/>
      <c r="C687" s="394" t="s">
        <v>2953</v>
      </c>
      <c r="D687" s="393" t="s">
        <v>36</v>
      </c>
      <c r="E687" s="393" t="s">
        <v>2954</v>
      </c>
      <c r="F687" s="395" t="s">
        <v>48</v>
      </c>
      <c r="G687" s="394" t="s">
        <v>2026</v>
      </c>
      <c r="H687" s="394" t="s">
        <v>2955</v>
      </c>
      <c r="I687" s="396">
        <v>451.96</v>
      </c>
    </row>
    <row r="688" spans="1:9" ht="15" hidden="1" thickTop="1" x14ac:dyDescent="0.2">
      <c r="A688" s="188"/>
      <c r="B688" s="188"/>
      <c r="C688" s="188"/>
      <c r="D688" s="188"/>
      <c r="E688" s="188"/>
      <c r="F688" s="188"/>
      <c r="G688" s="188"/>
      <c r="H688" s="188"/>
      <c r="I688" s="188"/>
    </row>
    <row r="689" spans="1:9" ht="15" hidden="1" x14ac:dyDescent="0.2">
      <c r="A689" s="121"/>
      <c r="B689" s="121" t="s">
        <v>65</v>
      </c>
      <c r="C689" s="117" t="s">
        <v>46</v>
      </c>
      <c r="D689" s="121" t="s">
        <v>21</v>
      </c>
      <c r="E689" s="121" t="s">
        <v>37</v>
      </c>
      <c r="F689" s="118" t="s">
        <v>26</v>
      </c>
      <c r="G689" s="117" t="s">
        <v>61</v>
      </c>
      <c r="H689" s="117" t="s">
        <v>79</v>
      </c>
      <c r="I689" s="117" t="s">
        <v>50</v>
      </c>
    </row>
    <row r="690" spans="1:9" x14ac:dyDescent="0.2">
      <c r="A690" s="386" t="s">
        <v>2007</v>
      </c>
      <c r="B690" s="386" t="s">
        <v>2956</v>
      </c>
      <c r="C690" s="387" t="s">
        <v>2957</v>
      </c>
      <c r="D690" s="386" t="s">
        <v>10</v>
      </c>
      <c r="E690" s="386" t="s">
        <v>1214</v>
      </c>
      <c r="F690" s="388" t="s">
        <v>48</v>
      </c>
      <c r="G690" s="387">
        <v>1</v>
      </c>
      <c r="H690" s="387" t="s">
        <v>2958</v>
      </c>
      <c r="I690" s="387" t="s">
        <v>2958</v>
      </c>
    </row>
    <row r="691" spans="1:9" hidden="1" x14ac:dyDescent="0.2">
      <c r="A691" s="389" t="s">
        <v>2011</v>
      </c>
      <c r="B691" s="389"/>
      <c r="C691" s="390" t="s">
        <v>2034</v>
      </c>
      <c r="D691" s="389" t="s">
        <v>36</v>
      </c>
      <c r="E691" s="389" t="s">
        <v>2035</v>
      </c>
      <c r="F691" s="391" t="s">
        <v>2018</v>
      </c>
      <c r="G691" s="390" t="s">
        <v>2115</v>
      </c>
      <c r="H691" s="390" t="s">
        <v>2037</v>
      </c>
      <c r="I691" s="392">
        <v>28.62</v>
      </c>
    </row>
    <row r="692" spans="1:9" hidden="1" x14ac:dyDescent="0.2">
      <c r="A692" s="389" t="s">
        <v>2011</v>
      </c>
      <c r="B692" s="389"/>
      <c r="C692" s="390" t="s">
        <v>2030</v>
      </c>
      <c r="D692" s="389" t="s">
        <v>36</v>
      </c>
      <c r="E692" s="389" t="s">
        <v>2031</v>
      </c>
      <c r="F692" s="391" t="s">
        <v>2018</v>
      </c>
      <c r="G692" s="390" t="s">
        <v>2115</v>
      </c>
      <c r="H692" s="390" t="s">
        <v>2033</v>
      </c>
      <c r="I692" s="392">
        <v>35.200000000000003</v>
      </c>
    </row>
    <row r="693" spans="1:9" hidden="1" x14ac:dyDescent="0.2">
      <c r="A693" s="393" t="s">
        <v>2024</v>
      </c>
      <c r="B693" s="393"/>
      <c r="C693" s="394" t="s">
        <v>2079</v>
      </c>
      <c r="D693" s="393" t="s">
        <v>36</v>
      </c>
      <c r="E693" s="393" t="s">
        <v>2080</v>
      </c>
      <c r="F693" s="395" t="s">
        <v>25</v>
      </c>
      <c r="G693" s="394" t="s">
        <v>2049</v>
      </c>
      <c r="H693" s="394" t="s">
        <v>2082</v>
      </c>
      <c r="I693" s="396">
        <v>2.5099999999999998</v>
      </c>
    </row>
    <row r="694" spans="1:9" hidden="1" x14ac:dyDescent="0.2">
      <c r="A694" s="393" t="s">
        <v>2024</v>
      </c>
      <c r="B694" s="393"/>
      <c r="C694" s="394" t="s">
        <v>2326</v>
      </c>
      <c r="D694" s="393" t="s">
        <v>36</v>
      </c>
      <c r="E694" s="393" t="s">
        <v>2327</v>
      </c>
      <c r="F694" s="395" t="s">
        <v>22</v>
      </c>
      <c r="G694" s="394" t="s">
        <v>2959</v>
      </c>
      <c r="H694" s="394" t="s">
        <v>2328</v>
      </c>
      <c r="I694" s="396">
        <v>7.14</v>
      </c>
    </row>
    <row r="695" spans="1:9" hidden="1" x14ac:dyDescent="0.2">
      <c r="A695" s="393" t="s">
        <v>2024</v>
      </c>
      <c r="B695" s="393"/>
      <c r="C695" s="394" t="s">
        <v>2960</v>
      </c>
      <c r="D695" s="393" t="s">
        <v>36</v>
      </c>
      <c r="E695" s="393" t="s">
        <v>2961</v>
      </c>
      <c r="F695" s="395" t="s">
        <v>48</v>
      </c>
      <c r="G695" s="394" t="s">
        <v>2026</v>
      </c>
      <c r="H695" s="394" t="s">
        <v>2962</v>
      </c>
      <c r="I695" s="396">
        <v>361.43</v>
      </c>
    </row>
    <row r="696" spans="1:9" ht="15" hidden="1" thickTop="1" x14ac:dyDescent="0.2">
      <c r="A696" s="188"/>
      <c r="B696" s="188"/>
      <c r="C696" s="188"/>
      <c r="D696" s="188"/>
      <c r="E696" s="188"/>
      <c r="F696" s="188"/>
      <c r="G696" s="188"/>
      <c r="H696" s="188"/>
      <c r="I696" s="188"/>
    </row>
    <row r="697" spans="1:9" ht="15" hidden="1" x14ac:dyDescent="0.2">
      <c r="A697" s="121"/>
      <c r="B697" s="121" t="s">
        <v>65</v>
      </c>
      <c r="C697" s="117" t="s">
        <v>46</v>
      </c>
      <c r="D697" s="121" t="s">
        <v>21</v>
      </c>
      <c r="E697" s="121" t="s">
        <v>37</v>
      </c>
      <c r="F697" s="118" t="s">
        <v>26</v>
      </c>
      <c r="G697" s="117" t="s">
        <v>61</v>
      </c>
      <c r="H697" s="117" t="s">
        <v>79</v>
      </c>
      <c r="I697" s="117" t="s">
        <v>50</v>
      </c>
    </row>
    <row r="698" spans="1:9" x14ac:dyDescent="0.2">
      <c r="A698" s="386" t="s">
        <v>2007</v>
      </c>
      <c r="B698" s="386" t="s">
        <v>2963</v>
      </c>
      <c r="C698" s="387" t="s">
        <v>2964</v>
      </c>
      <c r="D698" s="386" t="s">
        <v>10</v>
      </c>
      <c r="E698" s="386" t="s">
        <v>1222</v>
      </c>
      <c r="F698" s="388" t="s">
        <v>48</v>
      </c>
      <c r="G698" s="387">
        <v>1</v>
      </c>
      <c r="H698" s="387" t="s">
        <v>2965</v>
      </c>
      <c r="I698" s="387" t="s">
        <v>2965</v>
      </c>
    </row>
    <row r="699" spans="1:9" hidden="1" x14ac:dyDescent="0.2">
      <c r="A699" s="389" t="s">
        <v>2011</v>
      </c>
      <c r="B699" s="389"/>
      <c r="C699" s="390" t="s">
        <v>2067</v>
      </c>
      <c r="D699" s="389" t="s">
        <v>36</v>
      </c>
      <c r="E699" s="389" t="s">
        <v>2068</v>
      </c>
      <c r="F699" s="391" t="s">
        <v>2018</v>
      </c>
      <c r="G699" s="390" t="s">
        <v>2191</v>
      </c>
      <c r="H699" s="390" t="s">
        <v>2070</v>
      </c>
      <c r="I699" s="392">
        <v>20.72</v>
      </c>
    </row>
    <row r="700" spans="1:9" hidden="1" x14ac:dyDescent="0.2">
      <c r="A700" s="389" t="s">
        <v>2011</v>
      </c>
      <c r="B700" s="389"/>
      <c r="C700" s="390" t="s">
        <v>2034</v>
      </c>
      <c r="D700" s="389" t="s">
        <v>36</v>
      </c>
      <c r="E700" s="389" t="s">
        <v>2035</v>
      </c>
      <c r="F700" s="391" t="s">
        <v>2018</v>
      </c>
      <c r="G700" s="390" t="s">
        <v>2191</v>
      </c>
      <c r="H700" s="390" t="s">
        <v>2037</v>
      </c>
      <c r="I700" s="392">
        <v>16.45</v>
      </c>
    </row>
    <row r="701" spans="1:9" hidden="1" x14ac:dyDescent="0.2">
      <c r="A701" s="393" t="s">
        <v>2024</v>
      </c>
      <c r="B701" s="393"/>
      <c r="C701" s="394" t="s">
        <v>2966</v>
      </c>
      <c r="D701" s="393" t="s">
        <v>36</v>
      </c>
      <c r="E701" s="393" t="s">
        <v>2967</v>
      </c>
      <c r="F701" s="395" t="s">
        <v>48</v>
      </c>
      <c r="G701" s="394" t="s">
        <v>2968</v>
      </c>
      <c r="H701" s="394" t="s">
        <v>2969</v>
      </c>
      <c r="I701" s="396">
        <v>0.84</v>
      </c>
    </row>
    <row r="702" spans="1:9" hidden="1" x14ac:dyDescent="0.2">
      <c r="A702" s="393" t="s">
        <v>2024</v>
      </c>
      <c r="B702" s="393"/>
      <c r="C702" s="394" t="s">
        <v>2970</v>
      </c>
      <c r="D702" s="393" t="s">
        <v>36</v>
      </c>
      <c r="E702" s="393" t="s">
        <v>2971</v>
      </c>
      <c r="F702" s="395" t="s">
        <v>48</v>
      </c>
      <c r="G702" s="394" t="s">
        <v>2026</v>
      </c>
      <c r="H702" s="394" t="s">
        <v>2972</v>
      </c>
      <c r="I702" s="396">
        <v>75.16</v>
      </c>
    </row>
    <row r="703" spans="1:9" ht="22.5" hidden="1" x14ac:dyDescent="0.2">
      <c r="A703" s="393" t="s">
        <v>2024</v>
      </c>
      <c r="B703" s="393"/>
      <c r="C703" s="394" t="s">
        <v>2973</v>
      </c>
      <c r="D703" s="393" t="s">
        <v>36</v>
      </c>
      <c r="E703" s="393" t="s">
        <v>2974</v>
      </c>
      <c r="F703" s="395" t="s">
        <v>48</v>
      </c>
      <c r="G703" s="394" t="s">
        <v>2026</v>
      </c>
      <c r="H703" s="394" t="s">
        <v>2975</v>
      </c>
      <c r="I703" s="396">
        <v>125.73</v>
      </c>
    </row>
    <row r="704" spans="1:9" ht="15" hidden="1" thickTop="1" x14ac:dyDescent="0.2">
      <c r="A704" s="188"/>
      <c r="B704" s="188"/>
      <c r="C704" s="188"/>
      <c r="D704" s="188"/>
      <c r="E704" s="188"/>
      <c r="F704" s="188"/>
      <c r="G704" s="188"/>
      <c r="H704" s="188"/>
      <c r="I704" s="188"/>
    </row>
    <row r="705" spans="1:9" ht="15" hidden="1" x14ac:dyDescent="0.2">
      <c r="A705" s="121"/>
      <c r="B705" s="121" t="s">
        <v>65</v>
      </c>
      <c r="C705" s="117" t="s">
        <v>46</v>
      </c>
      <c r="D705" s="121" t="s">
        <v>21</v>
      </c>
      <c r="E705" s="121" t="s">
        <v>37</v>
      </c>
      <c r="F705" s="118" t="s">
        <v>26</v>
      </c>
      <c r="G705" s="117" t="s">
        <v>61</v>
      </c>
      <c r="H705" s="117" t="s">
        <v>79</v>
      </c>
      <c r="I705" s="117" t="s">
        <v>50</v>
      </c>
    </row>
    <row r="706" spans="1:9" ht="22.5" x14ac:dyDescent="0.2">
      <c r="A706" s="386" t="s">
        <v>2007</v>
      </c>
      <c r="B706" s="386" t="s">
        <v>2976</v>
      </c>
      <c r="C706" s="387" t="s">
        <v>2977</v>
      </c>
      <c r="D706" s="386" t="s">
        <v>10</v>
      </c>
      <c r="E706" s="386" t="s">
        <v>1224</v>
      </c>
      <c r="F706" s="388" t="s">
        <v>12</v>
      </c>
      <c r="G706" s="387">
        <v>1</v>
      </c>
      <c r="H706" s="387" t="s">
        <v>2978</v>
      </c>
      <c r="I706" s="387" t="s">
        <v>2978</v>
      </c>
    </row>
    <row r="707" spans="1:9" hidden="1" x14ac:dyDescent="0.2">
      <c r="A707" s="389" t="s">
        <v>2011</v>
      </c>
      <c r="B707" s="389"/>
      <c r="C707" s="390" t="s">
        <v>2063</v>
      </c>
      <c r="D707" s="389" t="s">
        <v>36</v>
      </c>
      <c r="E707" s="389" t="s">
        <v>2064</v>
      </c>
      <c r="F707" s="391" t="s">
        <v>2018</v>
      </c>
      <c r="G707" s="390" t="s">
        <v>2235</v>
      </c>
      <c r="H707" s="390" t="s">
        <v>2066</v>
      </c>
      <c r="I707" s="392">
        <v>9.8800000000000008</v>
      </c>
    </row>
    <row r="708" spans="1:9" hidden="1" x14ac:dyDescent="0.2">
      <c r="A708" s="389" t="s">
        <v>2011</v>
      </c>
      <c r="B708" s="389"/>
      <c r="C708" s="390" t="s">
        <v>2067</v>
      </c>
      <c r="D708" s="389" t="s">
        <v>36</v>
      </c>
      <c r="E708" s="389" t="s">
        <v>2068</v>
      </c>
      <c r="F708" s="391" t="s">
        <v>2018</v>
      </c>
      <c r="G708" s="390" t="s">
        <v>2235</v>
      </c>
      <c r="H708" s="390" t="s">
        <v>2070</v>
      </c>
      <c r="I708" s="392">
        <v>12.61</v>
      </c>
    </row>
    <row r="709" spans="1:9" hidden="1" x14ac:dyDescent="0.2">
      <c r="A709" s="393" t="s">
        <v>2024</v>
      </c>
      <c r="B709" s="393"/>
      <c r="C709" s="394" t="s">
        <v>2979</v>
      </c>
      <c r="D709" s="393" t="s">
        <v>36</v>
      </c>
      <c r="E709" s="393" t="s">
        <v>2980</v>
      </c>
      <c r="F709" s="395" t="s">
        <v>12</v>
      </c>
      <c r="G709" s="394" t="s">
        <v>2981</v>
      </c>
      <c r="H709" s="394" t="s">
        <v>2982</v>
      </c>
      <c r="I709" s="396">
        <v>92.23</v>
      </c>
    </row>
    <row r="710" spans="1:9" hidden="1" x14ac:dyDescent="0.2">
      <c r="A710" s="393" t="s">
        <v>2024</v>
      </c>
      <c r="B710" s="393"/>
      <c r="C710" s="394" t="s">
        <v>2966</v>
      </c>
      <c r="D710" s="393" t="s">
        <v>36</v>
      </c>
      <c r="E710" s="393" t="s">
        <v>2967</v>
      </c>
      <c r="F710" s="395" t="s">
        <v>48</v>
      </c>
      <c r="G710" s="394" t="s">
        <v>2983</v>
      </c>
      <c r="H710" s="394" t="s">
        <v>2969</v>
      </c>
      <c r="I710" s="396">
        <v>6.21</v>
      </c>
    </row>
    <row r="711" spans="1:9" ht="15" hidden="1" thickTop="1" x14ac:dyDescent="0.2">
      <c r="A711" s="188"/>
      <c r="B711" s="188"/>
      <c r="C711" s="188"/>
      <c r="D711" s="188"/>
      <c r="E711" s="188"/>
      <c r="F711" s="188"/>
      <c r="G711" s="188"/>
      <c r="H711" s="188"/>
      <c r="I711" s="188"/>
    </row>
    <row r="712" spans="1:9" ht="15" hidden="1" x14ac:dyDescent="0.2">
      <c r="A712" s="121"/>
      <c r="B712" s="121" t="s">
        <v>65</v>
      </c>
      <c r="C712" s="117" t="s">
        <v>46</v>
      </c>
      <c r="D712" s="121" t="s">
        <v>21</v>
      </c>
      <c r="E712" s="121" t="s">
        <v>37</v>
      </c>
      <c r="F712" s="118" t="s">
        <v>26</v>
      </c>
      <c r="G712" s="117" t="s">
        <v>61</v>
      </c>
      <c r="H712" s="117" t="s">
        <v>79</v>
      </c>
      <c r="I712" s="117" t="s">
        <v>50</v>
      </c>
    </row>
    <row r="713" spans="1:9" x14ac:dyDescent="0.2">
      <c r="A713" s="386" t="s">
        <v>2007</v>
      </c>
      <c r="B713" s="386" t="s">
        <v>2984</v>
      </c>
      <c r="C713" s="387" t="s">
        <v>2985</v>
      </c>
      <c r="D713" s="386" t="s">
        <v>10</v>
      </c>
      <c r="E713" s="386" t="s">
        <v>1244</v>
      </c>
      <c r="F713" s="388" t="s">
        <v>48</v>
      </c>
      <c r="G713" s="387">
        <v>1</v>
      </c>
      <c r="H713" s="387" t="s">
        <v>2986</v>
      </c>
      <c r="I713" s="387" t="s">
        <v>2986</v>
      </c>
    </row>
    <row r="714" spans="1:9" hidden="1" x14ac:dyDescent="0.2">
      <c r="A714" s="389" t="s">
        <v>2011</v>
      </c>
      <c r="B714" s="389"/>
      <c r="C714" s="390" t="s">
        <v>2063</v>
      </c>
      <c r="D714" s="389" t="s">
        <v>36</v>
      </c>
      <c r="E714" s="389" t="s">
        <v>2064</v>
      </c>
      <c r="F714" s="391" t="s">
        <v>2018</v>
      </c>
      <c r="G714" s="390" t="s">
        <v>2987</v>
      </c>
      <c r="H714" s="390" t="s">
        <v>2066</v>
      </c>
      <c r="I714" s="392">
        <v>11.69</v>
      </c>
    </row>
    <row r="715" spans="1:9" hidden="1" x14ac:dyDescent="0.2">
      <c r="A715" s="389" t="s">
        <v>2011</v>
      </c>
      <c r="B715" s="389"/>
      <c r="C715" s="390" t="s">
        <v>2067</v>
      </c>
      <c r="D715" s="389" t="s">
        <v>36</v>
      </c>
      <c r="E715" s="389" t="s">
        <v>2068</v>
      </c>
      <c r="F715" s="391" t="s">
        <v>2018</v>
      </c>
      <c r="G715" s="390" t="s">
        <v>2987</v>
      </c>
      <c r="H715" s="390" t="s">
        <v>2070</v>
      </c>
      <c r="I715" s="392">
        <v>14.92</v>
      </c>
    </row>
    <row r="716" spans="1:9" hidden="1" x14ac:dyDescent="0.2">
      <c r="A716" s="393" t="s">
        <v>2024</v>
      </c>
      <c r="B716" s="393"/>
      <c r="C716" s="394" t="s">
        <v>2693</v>
      </c>
      <c r="D716" s="393" t="s">
        <v>36</v>
      </c>
      <c r="E716" s="393" t="s">
        <v>2694</v>
      </c>
      <c r="F716" s="395" t="s">
        <v>48</v>
      </c>
      <c r="G716" s="394" t="s">
        <v>2988</v>
      </c>
      <c r="H716" s="394" t="s">
        <v>2695</v>
      </c>
      <c r="I716" s="396">
        <v>0.38</v>
      </c>
    </row>
    <row r="717" spans="1:9" hidden="1" x14ac:dyDescent="0.2">
      <c r="A717" s="393" t="s">
        <v>2024</v>
      </c>
      <c r="B717" s="393"/>
      <c r="C717" s="394" t="s">
        <v>2289</v>
      </c>
      <c r="D717" s="393" t="s">
        <v>36</v>
      </c>
      <c r="E717" s="393" t="s">
        <v>2290</v>
      </c>
      <c r="F717" s="395" t="s">
        <v>2291</v>
      </c>
      <c r="G717" s="394" t="s">
        <v>2406</v>
      </c>
      <c r="H717" s="394" t="s">
        <v>2293</v>
      </c>
      <c r="I717" s="396">
        <v>0.16</v>
      </c>
    </row>
    <row r="718" spans="1:9" hidden="1" x14ac:dyDescent="0.2">
      <c r="A718" s="393" t="s">
        <v>2024</v>
      </c>
      <c r="B718" s="393"/>
      <c r="C718" s="394" t="s">
        <v>2989</v>
      </c>
      <c r="D718" s="393" t="s">
        <v>36</v>
      </c>
      <c r="E718" s="393" t="s">
        <v>2990</v>
      </c>
      <c r="F718" s="395" t="s">
        <v>48</v>
      </c>
      <c r="G718" s="394" t="s">
        <v>2026</v>
      </c>
      <c r="H718" s="394" t="s">
        <v>2991</v>
      </c>
      <c r="I718" s="396">
        <v>91.02</v>
      </c>
    </row>
    <row r="719" spans="1:9" ht="15" hidden="1" thickTop="1" x14ac:dyDescent="0.2">
      <c r="A719" s="188"/>
      <c r="B719" s="188"/>
      <c r="C719" s="188"/>
      <c r="D719" s="188"/>
      <c r="E719" s="188"/>
      <c r="F719" s="188"/>
      <c r="G719" s="188"/>
      <c r="H719" s="188"/>
      <c r="I719" s="188"/>
    </row>
    <row r="720" spans="1:9" ht="15" hidden="1" x14ac:dyDescent="0.2">
      <c r="A720" s="121"/>
      <c r="B720" s="121" t="s">
        <v>65</v>
      </c>
      <c r="C720" s="117" t="s">
        <v>46</v>
      </c>
      <c r="D720" s="121" t="s">
        <v>21</v>
      </c>
      <c r="E720" s="121" t="s">
        <v>37</v>
      </c>
      <c r="F720" s="118" t="s">
        <v>26</v>
      </c>
      <c r="G720" s="117" t="s">
        <v>61</v>
      </c>
      <c r="H720" s="117" t="s">
        <v>79</v>
      </c>
      <c r="I720" s="117" t="s">
        <v>50</v>
      </c>
    </row>
    <row r="721" spans="1:9" x14ac:dyDescent="0.2">
      <c r="A721" s="386" t="s">
        <v>2007</v>
      </c>
      <c r="B721" s="386" t="s">
        <v>2992</v>
      </c>
      <c r="C721" s="387" t="s">
        <v>2993</v>
      </c>
      <c r="D721" s="386" t="s">
        <v>10</v>
      </c>
      <c r="E721" s="386" t="s">
        <v>1250</v>
      </c>
      <c r="F721" s="388" t="s">
        <v>48</v>
      </c>
      <c r="G721" s="387">
        <v>1</v>
      </c>
      <c r="H721" s="387" t="s">
        <v>2994</v>
      </c>
      <c r="I721" s="387" t="s">
        <v>2994</v>
      </c>
    </row>
    <row r="722" spans="1:9" hidden="1" x14ac:dyDescent="0.2">
      <c r="A722" s="389" t="s">
        <v>2011</v>
      </c>
      <c r="B722" s="389"/>
      <c r="C722" s="390" t="s">
        <v>2106</v>
      </c>
      <c r="D722" s="389" t="s">
        <v>36</v>
      </c>
      <c r="E722" s="389" t="s">
        <v>2107</v>
      </c>
      <c r="F722" s="391" t="s">
        <v>2018</v>
      </c>
      <c r="G722" s="390" t="s">
        <v>2995</v>
      </c>
      <c r="H722" s="390" t="s">
        <v>2108</v>
      </c>
      <c r="I722" s="392">
        <v>45.55</v>
      </c>
    </row>
    <row r="723" spans="1:9" hidden="1" x14ac:dyDescent="0.2">
      <c r="A723" s="389" t="s">
        <v>2011</v>
      </c>
      <c r="B723" s="389"/>
      <c r="C723" s="390" t="s">
        <v>2034</v>
      </c>
      <c r="D723" s="389" t="s">
        <v>36</v>
      </c>
      <c r="E723" s="389" t="s">
        <v>2035</v>
      </c>
      <c r="F723" s="391" t="s">
        <v>2018</v>
      </c>
      <c r="G723" s="390" t="s">
        <v>2995</v>
      </c>
      <c r="H723" s="390" t="s">
        <v>2037</v>
      </c>
      <c r="I723" s="392">
        <v>35.770000000000003</v>
      </c>
    </row>
    <row r="724" spans="1:9" x14ac:dyDescent="0.2">
      <c r="A724" s="393" t="s">
        <v>2024</v>
      </c>
      <c r="B724" s="393"/>
      <c r="C724" s="394" t="s">
        <v>2996</v>
      </c>
      <c r="D724" s="393" t="s">
        <v>10</v>
      </c>
      <c r="E724" s="393" t="s">
        <v>2997</v>
      </c>
      <c r="F724" s="395" t="s">
        <v>48</v>
      </c>
      <c r="G724" s="394" t="s">
        <v>2026</v>
      </c>
      <c r="H724" s="394" t="s">
        <v>2998</v>
      </c>
      <c r="I724" s="396">
        <v>4966.0200000000004</v>
      </c>
    </row>
    <row r="725" spans="1:9" ht="15" hidden="1" thickTop="1" x14ac:dyDescent="0.2">
      <c r="A725" s="188"/>
      <c r="B725" s="188"/>
      <c r="C725" s="188"/>
      <c r="D725" s="188"/>
      <c r="E725" s="188"/>
      <c r="F725" s="188"/>
      <c r="G725" s="188"/>
      <c r="H725" s="188"/>
      <c r="I725" s="188"/>
    </row>
    <row r="726" spans="1:9" ht="15" hidden="1" x14ac:dyDescent="0.2">
      <c r="A726" s="121"/>
      <c r="B726" s="121" t="s">
        <v>65</v>
      </c>
      <c r="C726" s="117" t="s">
        <v>46</v>
      </c>
      <c r="D726" s="121" t="s">
        <v>21</v>
      </c>
      <c r="E726" s="121" t="s">
        <v>37</v>
      </c>
      <c r="F726" s="118" t="s">
        <v>26</v>
      </c>
      <c r="G726" s="117" t="s">
        <v>61</v>
      </c>
      <c r="H726" s="117" t="s">
        <v>79</v>
      </c>
      <c r="I726" s="117" t="s">
        <v>50</v>
      </c>
    </row>
    <row r="727" spans="1:9" x14ac:dyDescent="0.2">
      <c r="A727" s="386" t="s">
        <v>2007</v>
      </c>
      <c r="B727" s="386" t="s">
        <v>2999</v>
      </c>
      <c r="C727" s="387" t="s">
        <v>3000</v>
      </c>
      <c r="D727" s="386" t="s">
        <v>10</v>
      </c>
      <c r="E727" s="386" t="s">
        <v>1252</v>
      </c>
      <c r="F727" s="388" t="s">
        <v>266</v>
      </c>
      <c r="G727" s="387">
        <v>1</v>
      </c>
      <c r="H727" s="387" t="s">
        <v>3001</v>
      </c>
      <c r="I727" s="387" t="s">
        <v>3001</v>
      </c>
    </row>
    <row r="728" spans="1:9" hidden="1" x14ac:dyDescent="0.2">
      <c r="A728" s="389" t="s">
        <v>2011</v>
      </c>
      <c r="B728" s="389"/>
      <c r="C728" s="390" t="s">
        <v>2034</v>
      </c>
      <c r="D728" s="389" t="s">
        <v>36</v>
      </c>
      <c r="E728" s="389" t="s">
        <v>2035</v>
      </c>
      <c r="F728" s="391" t="s">
        <v>2018</v>
      </c>
      <c r="G728" s="390" t="s">
        <v>2436</v>
      </c>
      <c r="H728" s="390" t="s">
        <v>2037</v>
      </c>
      <c r="I728" s="392">
        <v>7.15</v>
      </c>
    </row>
    <row r="729" spans="1:9" hidden="1" x14ac:dyDescent="0.2">
      <c r="A729" s="389" t="s">
        <v>2011</v>
      </c>
      <c r="B729" s="389"/>
      <c r="C729" s="390" t="s">
        <v>2106</v>
      </c>
      <c r="D729" s="389" t="s">
        <v>36</v>
      </c>
      <c r="E729" s="389" t="s">
        <v>2107</v>
      </c>
      <c r="F729" s="391" t="s">
        <v>2018</v>
      </c>
      <c r="G729" s="390" t="s">
        <v>2436</v>
      </c>
      <c r="H729" s="390" t="s">
        <v>2108</v>
      </c>
      <c r="I729" s="392">
        <v>9.11</v>
      </c>
    </row>
    <row r="730" spans="1:9" x14ac:dyDescent="0.2">
      <c r="A730" s="393" t="s">
        <v>2024</v>
      </c>
      <c r="B730" s="393"/>
      <c r="C730" s="394" t="s">
        <v>3002</v>
      </c>
      <c r="D730" s="393" t="s">
        <v>10</v>
      </c>
      <c r="E730" s="393" t="s">
        <v>1252</v>
      </c>
      <c r="F730" s="395" t="s">
        <v>14</v>
      </c>
      <c r="G730" s="394" t="s">
        <v>2026</v>
      </c>
      <c r="H730" s="394" t="s">
        <v>3003</v>
      </c>
      <c r="I730" s="396">
        <v>68.349999999999994</v>
      </c>
    </row>
    <row r="731" spans="1:9" ht="15" hidden="1" thickTop="1" x14ac:dyDescent="0.2">
      <c r="A731" s="188"/>
      <c r="B731" s="188"/>
      <c r="C731" s="188"/>
      <c r="D731" s="188"/>
      <c r="E731" s="188"/>
      <c r="F731" s="188"/>
      <c r="G731" s="188"/>
      <c r="H731" s="188"/>
      <c r="I731" s="188"/>
    </row>
    <row r="732" spans="1:9" ht="15" hidden="1" x14ac:dyDescent="0.2">
      <c r="A732" s="121"/>
      <c r="B732" s="121" t="s">
        <v>65</v>
      </c>
      <c r="C732" s="117" t="s">
        <v>46</v>
      </c>
      <c r="D732" s="121" t="s">
        <v>21</v>
      </c>
      <c r="E732" s="121" t="s">
        <v>37</v>
      </c>
      <c r="F732" s="118" t="s">
        <v>26</v>
      </c>
      <c r="G732" s="117" t="s">
        <v>61</v>
      </c>
      <c r="H732" s="117" t="s">
        <v>79</v>
      </c>
      <c r="I732" s="117" t="s">
        <v>50</v>
      </c>
    </row>
    <row r="733" spans="1:9" x14ac:dyDescent="0.2">
      <c r="A733" s="386" t="s">
        <v>2007</v>
      </c>
      <c r="B733" s="386" t="s">
        <v>3004</v>
      </c>
      <c r="C733" s="387" t="s">
        <v>3005</v>
      </c>
      <c r="D733" s="386" t="s">
        <v>10</v>
      </c>
      <c r="E733" s="386" t="s">
        <v>646</v>
      </c>
      <c r="F733" s="388" t="s">
        <v>24</v>
      </c>
      <c r="G733" s="387">
        <v>1</v>
      </c>
      <c r="H733" s="387" t="s">
        <v>3006</v>
      </c>
      <c r="I733" s="387" t="s">
        <v>3006</v>
      </c>
    </row>
    <row r="734" spans="1:9" hidden="1" x14ac:dyDescent="0.2">
      <c r="A734" s="389" t="s">
        <v>2011</v>
      </c>
      <c r="B734" s="389"/>
      <c r="C734" s="390" t="s">
        <v>2030</v>
      </c>
      <c r="D734" s="389" t="s">
        <v>36</v>
      </c>
      <c r="E734" s="389" t="s">
        <v>2031</v>
      </c>
      <c r="F734" s="391" t="s">
        <v>2018</v>
      </c>
      <c r="G734" s="390" t="s">
        <v>3007</v>
      </c>
      <c r="H734" s="390" t="s">
        <v>2033</v>
      </c>
      <c r="I734" s="392">
        <v>11.44</v>
      </c>
    </row>
    <row r="735" spans="1:9" hidden="1" x14ac:dyDescent="0.2">
      <c r="A735" s="389" t="s">
        <v>2011</v>
      </c>
      <c r="B735" s="389"/>
      <c r="C735" s="390" t="s">
        <v>2034</v>
      </c>
      <c r="D735" s="389" t="s">
        <v>36</v>
      </c>
      <c r="E735" s="389" t="s">
        <v>2035</v>
      </c>
      <c r="F735" s="391" t="s">
        <v>2018</v>
      </c>
      <c r="G735" s="390" t="s">
        <v>3008</v>
      </c>
      <c r="H735" s="390" t="s">
        <v>2037</v>
      </c>
      <c r="I735" s="392">
        <v>16.309999999999999</v>
      </c>
    </row>
    <row r="736" spans="1:9" hidden="1" x14ac:dyDescent="0.2">
      <c r="A736" s="393" t="s">
        <v>2024</v>
      </c>
      <c r="B736" s="393"/>
      <c r="C736" s="394" t="s">
        <v>3009</v>
      </c>
      <c r="D736" s="393" t="s">
        <v>36</v>
      </c>
      <c r="E736" s="393" t="s">
        <v>3010</v>
      </c>
      <c r="F736" s="395" t="s">
        <v>22</v>
      </c>
      <c r="G736" s="394" t="s">
        <v>3011</v>
      </c>
      <c r="H736" s="394" t="s">
        <v>3012</v>
      </c>
      <c r="I736" s="396">
        <v>4.8899999999999997</v>
      </c>
    </row>
    <row r="737" spans="1:9" ht="22.5" hidden="1" x14ac:dyDescent="0.2">
      <c r="A737" s="393" t="s">
        <v>2024</v>
      </c>
      <c r="B737" s="393"/>
      <c r="C737" s="394" t="s">
        <v>3013</v>
      </c>
      <c r="D737" s="393" t="s">
        <v>36</v>
      </c>
      <c r="E737" s="393" t="s">
        <v>3014</v>
      </c>
      <c r="F737" s="395" t="s">
        <v>24</v>
      </c>
      <c r="G737" s="394" t="s">
        <v>2026</v>
      </c>
      <c r="H737" s="394" t="s">
        <v>3015</v>
      </c>
      <c r="I737" s="396">
        <v>483.01</v>
      </c>
    </row>
    <row r="738" spans="1:9" ht="15" hidden="1" thickTop="1" x14ac:dyDescent="0.2">
      <c r="A738" s="188"/>
      <c r="B738" s="188"/>
      <c r="C738" s="188"/>
      <c r="D738" s="188"/>
      <c r="E738" s="188"/>
      <c r="F738" s="188"/>
      <c r="G738" s="188"/>
      <c r="H738" s="188"/>
      <c r="I738" s="188"/>
    </row>
    <row r="739" spans="1:9" ht="15" hidden="1" x14ac:dyDescent="0.2">
      <c r="A739" s="121"/>
      <c r="B739" s="121" t="s">
        <v>65</v>
      </c>
      <c r="C739" s="117" t="s">
        <v>46</v>
      </c>
      <c r="D739" s="121" t="s">
        <v>21</v>
      </c>
      <c r="E739" s="121" t="s">
        <v>37</v>
      </c>
      <c r="F739" s="118" t="s">
        <v>26</v>
      </c>
      <c r="G739" s="117" t="s">
        <v>61</v>
      </c>
      <c r="H739" s="117" t="s">
        <v>79</v>
      </c>
      <c r="I739" s="117" t="s">
        <v>50</v>
      </c>
    </row>
    <row r="740" spans="1:9" ht="22.5" x14ac:dyDescent="0.2">
      <c r="A740" s="386" t="s">
        <v>2007</v>
      </c>
      <c r="B740" s="386" t="s">
        <v>3016</v>
      </c>
      <c r="C740" s="387" t="s">
        <v>3017</v>
      </c>
      <c r="D740" s="386" t="s">
        <v>10</v>
      </c>
      <c r="E740" s="386" t="s">
        <v>642</v>
      </c>
      <c r="F740" s="388" t="s">
        <v>48</v>
      </c>
      <c r="G740" s="387">
        <v>1</v>
      </c>
      <c r="H740" s="387" t="s">
        <v>3018</v>
      </c>
      <c r="I740" s="387" t="s">
        <v>3018</v>
      </c>
    </row>
    <row r="741" spans="1:9" hidden="1" x14ac:dyDescent="0.2">
      <c r="A741" s="389" t="s">
        <v>2011</v>
      </c>
      <c r="B741" s="389"/>
      <c r="C741" s="390" t="s">
        <v>2030</v>
      </c>
      <c r="D741" s="389" t="s">
        <v>36</v>
      </c>
      <c r="E741" s="389" t="s">
        <v>2031</v>
      </c>
      <c r="F741" s="391" t="s">
        <v>2018</v>
      </c>
      <c r="G741" s="390" t="s">
        <v>2364</v>
      </c>
      <c r="H741" s="390" t="s">
        <v>2033</v>
      </c>
      <c r="I741" s="392">
        <v>4.4000000000000004</v>
      </c>
    </row>
    <row r="742" spans="1:9" ht="22.5" hidden="1" x14ac:dyDescent="0.2">
      <c r="A742" s="393" t="s">
        <v>2024</v>
      </c>
      <c r="B742" s="393"/>
      <c r="C742" s="394" t="s">
        <v>3019</v>
      </c>
      <c r="D742" s="393" t="s">
        <v>36</v>
      </c>
      <c r="E742" s="393" t="s">
        <v>3020</v>
      </c>
      <c r="F742" s="395" t="s">
        <v>48</v>
      </c>
      <c r="G742" s="394" t="s">
        <v>2026</v>
      </c>
      <c r="H742" s="394" t="s">
        <v>3021</v>
      </c>
      <c r="I742" s="396">
        <v>46.45</v>
      </c>
    </row>
    <row r="743" spans="1:9" ht="22.5" hidden="1" x14ac:dyDescent="0.2">
      <c r="A743" s="393" t="s">
        <v>2024</v>
      </c>
      <c r="B743" s="393"/>
      <c r="C743" s="394" t="s">
        <v>3022</v>
      </c>
      <c r="D743" s="393" t="s">
        <v>36</v>
      </c>
      <c r="E743" s="393" t="s">
        <v>3023</v>
      </c>
      <c r="F743" s="395" t="s">
        <v>48</v>
      </c>
      <c r="G743" s="394" t="s">
        <v>2115</v>
      </c>
      <c r="H743" s="394" t="s">
        <v>3024</v>
      </c>
      <c r="I743" s="396">
        <v>2.14</v>
      </c>
    </row>
    <row r="744" spans="1:9" ht="15" hidden="1" thickTop="1" x14ac:dyDescent="0.2">
      <c r="A744" s="188"/>
      <c r="B744" s="188"/>
      <c r="C744" s="188"/>
      <c r="D744" s="188"/>
      <c r="E744" s="188"/>
      <c r="F744" s="188"/>
      <c r="G744" s="188"/>
      <c r="H744" s="188"/>
      <c r="I744" s="188"/>
    </row>
    <row r="745" spans="1:9" ht="15" hidden="1" x14ac:dyDescent="0.2">
      <c r="A745" s="121"/>
      <c r="B745" s="121" t="s">
        <v>65</v>
      </c>
      <c r="C745" s="117" t="s">
        <v>46</v>
      </c>
      <c r="D745" s="121" t="s">
        <v>21</v>
      </c>
      <c r="E745" s="121" t="s">
        <v>37</v>
      </c>
      <c r="F745" s="118" t="s">
        <v>26</v>
      </c>
      <c r="G745" s="117" t="s">
        <v>61</v>
      </c>
      <c r="H745" s="117" t="s">
        <v>79</v>
      </c>
      <c r="I745" s="117" t="s">
        <v>50</v>
      </c>
    </row>
    <row r="746" spans="1:9" x14ac:dyDescent="0.2">
      <c r="A746" s="386" t="s">
        <v>2007</v>
      </c>
      <c r="B746" s="386" t="s">
        <v>3025</v>
      </c>
      <c r="C746" s="387" t="s">
        <v>3026</v>
      </c>
      <c r="D746" s="386" t="s">
        <v>10</v>
      </c>
      <c r="E746" s="386" t="s">
        <v>276</v>
      </c>
      <c r="F746" s="388" t="s">
        <v>48</v>
      </c>
      <c r="G746" s="387">
        <v>1</v>
      </c>
      <c r="H746" s="387" t="s">
        <v>2965</v>
      </c>
      <c r="I746" s="387" t="s">
        <v>2965</v>
      </c>
    </row>
    <row r="747" spans="1:9" hidden="1" x14ac:dyDescent="0.2">
      <c r="A747" s="389" t="s">
        <v>2011</v>
      </c>
      <c r="B747" s="389"/>
      <c r="C747" s="390" t="s">
        <v>2030</v>
      </c>
      <c r="D747" s="389" t="s">
        <v>36</v>
      </c>
      <c r="E747" s="389" t="s">
        <v>2031</v>
      </c>
      <c r="F747" s="391" t="s">
        <v>2018</v>
      </c>
      <c r="G747" s="390" t="s">
        <v>2026</v>
      </c>
      <c r="H747" s="390" t="s">
        <v>2033</v>
      </c>
      <c r="I747" s="392">
        <v>17.600000000000001</v>
      </c>
    </row>
    <row r="748" spans="1:9" hidden="1" x14ac:dyDescent="0.2">
      <c r="A748" s="389" t="s">
        <v>2011</v>
      </c>
      <c r="B748" s="389"/>
      <c r="C748" s="390" t="s">
        <v>2034</v>
      </c>
      <c r="D748" s="389" t="s">
        <v>36</v>
      </c>
      <c r="E748" s="389" t="s">
        <v>2035</v>
      </c>
      <c r="F748" s="391" t="s">
        <v>2018</v>
      </c>
      <c r="G748" s="390" t="s">
        <v>2026</v>
      </c>
      <c r="H748" s="390" t="s">
        <v>2037</v>
      </c>
      <c r="I748" s="392">
        <v>14.31</v>
      </c>
    </row>
    <row r="749" spans="1:9" hidden="1" x14ac:dyDescent="0.2">
      <c r="A749" s="393" t="s">
        <v>2024</v>
      </c>
      <c r="B749" s="393"/>
      <c r="C749" s="394" t="s">
        <v>3027</v>
      </c>
      <c r="D749" s="393" t="s">
        <v>36</v>
      </c>
      <c r="E749" s="393" t="s">
        <v>3028</v>
      </c>
      <c r="F749" s="395" t="s">
        <v>48</v>
      </c>
      <c r="G749" s="394" t="s">
        <v>2026</v>
      </c>
      <c r="H749" s="394" t="s">
        <v>3029</v>
      </c>
      <c r="I749" s="396">
        <v>206.99</v>
      </c>
    </row>
    <row r="750" spans="1:9" ht="15" hidden="1" thickTop="1" x14ac:dyDescent="0.2">
      <c r="A750" s="188"/>
      <c r="B750" s="188"/>
      <c r="C750" s="188"/>
      <c r="D750" s="188"/>
      <c r="E750" s="188"/>
      <c r="F750" s="188"/>
      <c r="G750" s="188"/>
      <c r="H750" s="188"/>
      <c r="I750" s="188"/>
    </row>
    <row r="751" spans="1:9" ht="15" hidden="1" x14ac:dyDescent="0.2">
      <c r="A751" s="121"/>
      <c r="B751" s="121" t="s">
        <v>65</v>
      </c>
      <c r="C751" s="117" t="s">
        <v>46</v>
      </c>
      <c r="D751" s="121" t="s">
        <v>21</v>
      </c>
      <c r="E751" s="121" t="s">
        <v>37</v>
      </c>
      <c r="F751" s="118" t="s">
        <v>26</v>
      </c>
      <c r="G751" s="117" t="s">
        <v>61</v>
      </c>
      <c r="H751" s="117" t="s">
        <v>79</v>
      </c>
      <c r="I751" s="117" t="s">
        <v>50</v>
      </c>
    </row>
    <row r="752" spans="1:9" x14ac:dyDescent="0.2">
      <c r="A752" s="386" t="s">
        <v>2007</v>
      </c>
      <c r="B752" s="386" t="s">
        <v>3030</v>
      </c>
      <c r="C752" s="387" t="s">
        <v>3031</v>
      </c>
      <c r="D752" s="386" t="s">
        <v>10</v>
      </c>
      <c r="E752" s="386" t="s">
        <v>1256</v>
      </c>
      <c r="F752" s="388" t="s">
        <v>48</v>
      </c>
      <c r="G752" s="387">
        <v>1</v>
      </c>
      <c r="H752" s="387" t="s">
        <v>3032</v>
      </c>
      <c r="I752" s="387" t="s">
        <v>3032</v>
      </c>
    </row>
    <row r="753" spans="1:9" hidden="1" x14ac:dyDescent="0.2">
      <c r="A753" s="389" t="s">
        <v>2011</v>
      </c>
      <c r="B753" s="389"/>
      <c r="C753" s="390" t="s">
        <v>2030</v>
      </c>
      <c r="D753" s="389" t="s">
        <v>36</v>
      </c>
      <c r="E753" s="389" t="s">
        <v>2031</v>
      </c>
      <c r="F753" s="391" t="s">
        <v>2018</v>
      </c>
      <c r="G753" s="390" t="s">
        <v>2436</v>
      </c>
      <c r="H753" s="390" t="s">
        <v>2033</v>
      </c>
      <c r="I753" s="392">
        <v>8.8000000000000007</v>
      </c>
    </row>
    <row r="754" spans="1:9" hidden="1" x14ac:dyDescent="0.2">
      <c r="A754" s="389" t="s">
        <v>2011</v>
      </c>
      <c r="B754" s="389"/>
      <c r="C754" s="390" t="s">
        <v>2034</v>
      </c>
      <c r="D754" s="389" t="s">
        <v>36</v>
      </c>
      <c r="E754" s="389" t="s">
        <v>2035</v>
      </c>
      <c r="F754" s="391" t="s">
        <v>2018</v>
      </c>
      <c r="G754" s="390" t="s">
        <v>2436</v>
      </c>
      <c r="H754" s="390" t="s">
        <v>2037</v>
      </c>
      <c r="I754" s="392">
        <v>7.15</v>
      </c>
    </row>
    <row r="755" spans="1:9" x14ac:dyDescent="0.2">
      <c r="A755" s="393" t="s">
        <v>2024</v>
      </c>
      <c r="B755" s="393"/>
      <c r="C755" s="394" t="s">
        <v>3033</v>
      </c>
      <c r="D755" s="393" t="s">
        <v>10</v>
      </c>
      <c r="E755" s="393" t="s">
        <v>3034</v>
      </c>
      <c r="F755" s="395" t="s">
        <v>48</v>
      </c>
      <c r="G755" s="394" t="s">
        <v>2026</v>
      </c>
      <c r="H755" s="394" t="s">
        <v>3035</v>
      </c>
      <c r="I755" s="396">
        <v>129.94999999999999</v>
      </c>
    </row>
    <row r="756" spans="1:9" ht="15" hidden="1" thickTop="1" x14ac:dyDescent="0.2">
      <c r="A756" s="188"/>
      <c r="B756" s="188"/>
      <c r="C756" s="188"/>
      <c r="D756" s="188"/>
      <c r="E756" s="188"/>
      <c r="F756" s="188"/>
      <c r="G756" s="188"/>
      <c r="H756" s="188"/>
      <c r="I756" s="188"/>
    </row>
    <row r="757" spans="1:9" ht="15" hidden="1" x14ac:dyDescent="0.2">
      <c r="A757" s="121"/>
      <c r="B757" s="121" t="s">
        <v>65</v>
      </c>
      <c r="C757" s="117" t="s">
        <v>46</v>
      </c>
      <c r="D757" s="121" t="s">
        <v>21</v>
      </c>
      <c r="E757" s="121" t="s">
        <v>37</v>
      </c>
      <c r="F757" s="118" t="s">
        <v>26</v>
      </c>
      <c r="G757" s="117" t="s">
        <v>61</v>
      </c>
      <c r="H757" s="117" t="s">
        <v>79</v>
      </c>
      <c r="I757" s="117" t="s">
        <v>50</v>
      </c>
    </row>
    <row r="758" spans="1:9" x14ac:dyDescent="0.2">
      <c r="A758" s="386" t="s">
        <v>2007</v>
      </c>
      <c r="B758" s="386" t="s">
        <v>3036</v>
      </c>
      <c r="C758" s="387" t="s">
        <v>3037</v>
      </c>
      <c r="D758" s="386" t="s">
        <v>10</v>
      </c>
      <c r="E758" s="386" t="s">
        <v>280</v>
      </c>
      <c r="F758" s="388" t="s">
        <v>48</v>
      </c>
      <c r="G758" s="387">
        <v>1</v>
      </c>
      <c r="H758" s="387" t="s">
        <v>3038</v>
      </c>
      <c r="I758" s="387" t="s">
        <v>3038</v>
      </c>
    </row>
    <row r="759" spans="1:9" hidden="1" x14ac:dyDescent="0.2">
      <c r="A759" s="389" t="s">
        <v>2011</v>
      </c>
      <c r="B759" s="389"/>
      <c r="C759" s="390" t="s">
        <v>2034</v>
      </c>
      <c r="D759" s="389" t="s">
        <v>36</v>
      </c>
      <c r="E759" s="389" t="s">
        <v>2035</v>
      </c>
      <c r="F759" s="391" t="s">
        <v>2018</v>
      </c>
      <c r="G759" s="390" t="s">
        <v>2588</v>
      </c>
      <c r="H759" s="390" t="s">
        <v>2037</v>
      </c>
      <c r="I759" s="392">
        <v>1.43</v>
      </c>
    </row>
    <row r="760" spans="1:9" ht="22.5" x14ac:dyDescent="0.2">
      <c r="A760" s="393" t="s">
        <v>2024</v>
      </c>
      <c r="B760" s="393"/>
      <c r="C760" s="394" t="s">
        <v>3039</v>
      </c>
      <c r="D760" s="393" t="s">
        <v>10</v>
      </c>
      <c r="E760" s="393" t="s">
        <v>3040</v>
      </c>
      <c r="F760" s="395" t="s">
        <v>48</v>
      </c>
      <c r="G760" s="394" t="s">
        <v>2026</v>
      </c>
      <c r="H760" s="394" t="s">
        <v>3041</v>
      </c>
      <c r="I760" s="396">
        <v>115</v>
      </c>
    </row>
    <row r="761" spans="1:9" ht="22.5" hidden="1" x14ac:dyDescent="0.2">
      <c r="A761" s="393" t="s">
        <v>2024</v>
      </c>
      <c r="B761" s="393"/>
      <c r="C761" s="394" t="s">
        <v>3022</v>
      </c>
      <c r="D761" s="393" t="s">
        <v>36</v>
      </c>
      <c r="E761" s="393" t="s">
        <v>3023</v>
      </c>
      <c r="F761" s="395" t="s">
        <v>48</v>
      </c>
      <c r="G761" s="394" t="s">
        <v>2115</v>
      </c>
      <c r="H761" s="394" t="s">
        <v>3024</v>
      </c>
      <c r="I761" s="396">
        <v>2.14</v>
      </c>
    </row>
    <row r="762" spans="1:9" ht="15" hidden="1" thickTop="1" x14ac:dyDescent="0.2">
      <c r="A762" s="188"/>
      <c r="B762" s="188"/>
      <c r="C762" s="188"/>
      <c r="D762" s="188"/>
      <c r="E762" s="188"/>
      <c r="F762" s="188"/>
      <c r="G762" s="188"/>
      <c r="H762" s="188"/>
      <c r="I762" s="188"/>
    </row>
    <row r="763" spans="1:9" ht="15" hidden="1" x14ac:dyDescent="0.2">
      <c r="A763" s="121"/>
      <c r="B763" s="121" t="s">
        <v>65</v>
      </c>
      <c r="C763" s="117" t="s">
        <v>46</v>
      </c>
      <c r="D763" s="121" t="s">
        <v>21</v>
      </c>
      <c r="E763" s="121" t="s">
        <v>37</v>
      </c>
      <c r="F763" s="118" t="s">
        <v>26</v>
      </c>
      <c r="G763" s="117" t="s">
        <v>61</v>
      </c>
      <c r="H763" s="117" t="s">
        <v>79</v>
      </c>
      <c r="I763" s="117" t="s">
        <v>50</v>
      </c>
    </row>
    <row r="764" spans="1:9" x14ac:dyDescent="0.2">
      <c r="A764" s="386" t="s">
        <v>2007</v>
      </c>
      <c r="B764" s="386" t="s">
        <v>3042</v>
      </c>
      <c r="C764" s="387" t="s">
        <v>3043</v>
      </c>
      <c r="D764" s="386" t="s">
        <v>10</v>
      </c>
      <c r="E764" s="386" t="s">
        <v>278</v>
      </c>
      <c r="F764" s="388" t="s">
        <v>24</v>
      </c>
      <c r="G764" s="387">
        <v>1</v>
      </c>
      <c r="H764" s="387" t="s">
        <v>3044</v>
      </c>
      <c r="I764" s="387" t="s">
        <v>3044</v>
      </c>
    </row>
    <row r="765" spans="1:9" hidden="1" x14ac:dyDescent="0.2">
      <c r="A765" s="389" t="s">
        <v>2011</v>
      </c>
      <c r="B765" s="389"/>
      <c r="C765" s="390" t="s">
        <v>3045</v>
      </c>
      <c r="D765" s="389" t="s">
        <v>36</v>
      </c>
      <c r="E765" s="389" t="s">
        <v>3046</v>
      </c>
      <c r="F765" s="391" t="s">
        <v>2018</v>
      </c>
      <c r="G765" s="390" t="s">
        <v>3047</v>
      </c>
      <c r="H765" s="390" t="s">
        <v>2275</v>
      </c>
      <c r="I765" s="392">
        <v>28.06</v>
      </c>
    </row>
    <row r="766" spans="1:9" hidden="1" x14ac:dyDescent="0.2">
      <c r="A766" s="389" t="s">
        <v>2011</v>
      </c>
      <c r="B766" s="389"/>
      <c r="C766" s="390" t="s">
        <v>2034</v>
      </c>
      <c r="D766" s="389" t="s">
        <v>36</v>
      </c>
      <c r="E766" s="389" t="s">
        <v>2035</v>
      </c>
      <c r="F766" s="391" t="s">
        <v>2018</v>
      </c>
      <c r="G766" s="390" t="s">
        <v>3048</v>
      </c>
      <c r="H766" s="390" t="s">
        <v>2037</v>
      </c>
      <c r="I766" s="392">
        <v>17.88</v>
      </c>
    </row>
    <row r="767" spans="1:9" hidden="1" x14ac:dyDescent="0.2">
      <c r="A767" s="393" t="s">
        <v>2024</v>
      </c>
      <c r="B767" s="393"/>
      <c r="C767" s="394" t="s">
        <v>3049</v>
      </c>
      <c r="D767" s="393" t="s">
        <v>36</v>
      </c>
      <c r="E767" s="393" t="s">
        <v>3050</v>
      </c>
      <c r="F767" s="395" t="s">
        <v>22</v>
      </c>
      <c r="G767" s="394" t="s">
        <v>3051</v>
      </c>
      <c r="H767" s="394" t="s">
        <v>3052</v>
      </c>
      <c r="I767" s="396">
        <v>1.52</v>
      </c>
    </row>
    <row r="768" spans="1:9" hidden="1" x14ac:dyDescent="0.2">
      <c r="A768" s="393" t="s">
        <v>2024</v>
      </c>
      <c r="B768" s="393"/>
      <c r="C768" s="394" t="s">
        <v>2079</v>
      </c>
      <c r="D768" s="393" t="s">
        <v>36</v>
      </c>
      <c r="E768" s="393" t="s">
        <v>2080</v>
      </c>
      <c r="F768" s="395" t="s">
        <v>25</v>
      </c>
      <c r="G768" s="394" t="s">
        <v>3053</v>
      </c>
      <c r="H768" s="394" t="s">
        <v>2082</v>
      </c>
      <c r="I768" s="396">
        <v>1.1399999999999999</v>
      </c>
    </row>
    <row r="769" spans="1:9" hidden="1" x14ac:dyDescent="0.2">
      <c r="A769" s="393" t="s">
        <v>2024</v>
      </c>
      <c r="B769" s="393"/>
      <c r="C769" s="394" t="s">
        <v>2326</v>
      </c>
      <c r="D769" s="393" t="s">
        <v>36</v>
      </c>
      <c r="E769" s="393" t="s">
        <v>2327</v>
      </c>
      <c r="F769" s="395" t="s">
        <v>22</v>
      </c>
      <c r="G769" s="394" t="s">
        <v>3054</v>
      </c>
      <c r="H769" s="394" t="s">
        <v>2328</v>
      </c>
      <c r="I769" s="396">
        <v>1.42</v>
      </c>
    </row>
    <row r="770" spans="1:9" x14ac:dyDescent="0.2">
      <c r="A770" s="393" t="s">
        <v>2024</v>
      </c>
      <c r="B770" s="393"/>
      <c r="C770" s="394" t="s">
        <v>3055</v>
      </c>
      <c r="D770" s="393" t="s">
        <v>10</v>
      </c>
      <c r="E770" s="393" t="s">
        <v>3056</v>
      </c>
      <c r="F770" s="395" t="s">
        <v>48</v>
      </c>
      <c r="G770" s="394" t="s">
        <v>3057</v>
      </c>
      <c r="H770" s="394" t="s">
        <v>3058</v>
      </c>
      <c r="I770" s="396">
        <v>124.96</v>
      </c>
    </row>
  </sheetData>
  <autoFilter ref="D1:D770">
    <filterColumn colId="0">
      <filters>
        <filter val="Próprio"/>
      </filters>
    </filterColumn>
  </autoFilter>
  <mergeCells count="2">
    <mergeCell ref="A1:J1"/>
    <mergeCell ref="A2:J2"/>
  </mergeCells>
  <pageMargins left="0.51181102362204722" right="0.51181102362204722" top="1.299212598425197" bottom="0.98425196850393704" header="0.51181102362204722" footer="0.51181102362204722"/>
  <pageSetup paperSize="9" scale="62" fitToHeight="0" orientation="portrait" r:id="rId1"/>
  <headerFooter>
    <oddHeader>&amp;L&amp;G&amp;R&amp;G</oddHeader>
    <oddFooter>&amp;L&amp;9&amp;K01+048Superintendência Administrativa
Coordenadoria de Obras e Reformas.
Fone: 3613 5474 / 5431 – geobras@ses.mt.gov.br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7"/>
  <sheetViews>
    <sheetView view="pageLayout" topLeftCell="A304" zoomScaleNormal="100" zoomScaleSheetLayoutView="112" workbookViewId="0">
      <selection activeCell="B420" sqref="B420"/>
    </sheetView>
  </sheetViews>
  <sheetFormatPr defaultRowHeight="15" x14ac:dyDescent="0.25"/>
  <cols>
    <col min="1" max="1" width="7.625" style="1" bestFit="1" customWidth="1"/>
    <col min="2" max="2" width="47.5" style="1" customWidth="1"/>
    <col min="3" max="3" width="19.5" style="1" bestFit="1" customWidth="1"/>
  </cols>
  <sheetData>
    <row r="1" spans="1:3" ht="16.5" customHeight="1" thickBot="1" x14ac:dyDescent="0.3">
      <c r="A1" s="612" t="s">
        <v>213</v>
      </c>
      <c r="B1" s="613"/>
      <c r="C1" s="613"/>
    </row>
    <row r="2" spans="1:3" x14ac:dyDescent="0.25">
      <c r="A2" s="400" t="s">
        <v>46</v>
      </c>
      <c r="B2" s="401" t="s">
        <v>3061</v>
      </c>
      <c r="C2" s="402" t="s">
        <v>153</v>
      </c>
    </row>
    <row r="3" spans="1:3" x14ac:dyDescent="0.25">
      <c r="A3" s="403" t="s">
        <v>37</v>
      </c>
      <c r="B3" s="404" t="s">
        <v>455</v>
      </c>
      <c r="C3" s="610" t="s">
        <v>3062</v>
      </c>
    </row>
    <row r="4" spans="1:3" x14ac:dyDescent="0.25">
      <c r="A4" s="403" t="s">
        <v>3063</v>
      </c>
      <c r="B4" s="404" t="s">
        <v>3064</v>
      </c>
      <c r="C4" s="610"/>
    </row>
    <row r="5" spans="1:3" ht="15.75" thickBot="1" x14ac:dyDescent="0.3">
      <c r="A5" s="405" t="s">
        <v>828</v>
      </c>
      <c r="B5" s="406" t="s">
        <v>48</v>
      </c>
      <c r="C5" s="611"/>
    </row>
    <row r="6" spans="1:3" x14ac:dyDescent="0.25">
      <c r="A6" s="400" t="s">
        <v>46</v>
      </c>
      <c r="B6" s="401" t="s">
        <v>2371</v>
      </c>
      <c r="C6" s="402" t="s">
        <v>153</v>
      </c>
    </row>
    <row r="7" spans="1:3" x14ac:dyDescent="0.25">
      <c r="A7" s="403" t="s">
        <v>37</v>
      </c>
      <c r="B7" s="404" t="s">
        <v>954</v>
      </c>
      <c r="C7" s="610" t="s">
        <v>3065</v>
      </c>
    </row>
    <row r="8" spans="1:3" x14ac:dyDescent="0.25">
      <c r="A8" s="403" t="s">
        <v>3063</v>
      </c>
      <c r="B8" s="404" t="s">
        <v>3064</v>
      </c>
      <c r="C8" s="610"/>
    </row>
    <row r="9" spans="1:3" ht="15.75" thickBot="1" x14ac:dyDescent="0.3">
      <c r="A9" s="405" t="s">
        <v>828</v>
      </c>
      <c r="B9" s="406" t="s">
        <v>48</v>
      </c>
      <c r="C9" s="611"/>
    </row>
    <row r="10" spans="1:3" x14ac:dyDescent="0.25">
      <c r="A10" s="400" t="s">
        <v>46</v>
      </c>
      <c r="B10" s="401" t="s">
        <v>2434</v>
      </c>
      <c r="C10" s="402" t="s">
        <v>153</v>
      </c>
    </row>
    <row r="11" spans="1:3" x14ac:dyDescent="0.25">
      <c r="A11" s="403" t="s">
        <v>37</v>
      </c>
      <c r="B11" s="404" t="s">
        <v>321</v>
      </c>
      <c r="C11" s="610" t="s">
        <v>3066</v>
      </c>
    </row>
    <row r="12" spans="1:3" x14ac:dyDescent="0.25">
      <c r="A12" s="403" t="s">
        <v>3063</v>
      </c>
      <c r="B12" s="404" t="s">
        <v>3064</v>
      </c>
      <c r="C12" s="610"/>
    </row>
    <row r="13" spans="1:3" ht="15.75" thickBot="1" x14ac:dyDescent="0.3">
      <c r="A13" s="405" t="s">
        <v>828</v>
      </c>
      <c r="B13" s="406" t="s">
        <v>48</v>
      </c>
      <c r="C13" s="611"/>
    </row>
    <row r="14" spans="1:3" x14ac:dyDescent="0.25">
      <c r="A14" s="400" t="s">
        <v>46</v>
      </c>
      <c r="B14" s="401" t="s">
        <v>2484</v>
      </c>
      <c r="C14" s="402" t="s">
        <v>153</v>
      </c>
    </row>
    <row r="15" spans="1:3" ht="22.5" x14ac:dyDescent="0.25">
      <c r="A15" s="403" t="s">
        <v>37</v>
      </c>
      <c r="B15" s="404" t="s">
        <v>526</v>
      </c>
      <c r="C15" s="610" t="s">
        <v>3067</v>
      </c>
    </row>
    <row r="16" spans="1:3" x14ac:dyDescent="0.25">
      <c r="A16" s="403" t="s">
        <v>3063</v>
      </c>
      <c r="B16" s="404" t="s">
        <v>3064</v>
      </c>
      <c r="C16" s="610"/>
    </row>
    <row r="17" spans="1:3" ht="15.75" thickBot="1" x14ac:dyDescent="0.3">
      <c r="A17" s="405" t="s">
        <v>828</v>
      </c>
      <c r="B17" s="406" t="s">
        <v>48</v>
      </c>
      <c r="C17" s="611"/>
    </row>
    <row r="18" spans="1:3" x14ac:dyDescent="0.25">
      <c r="A18" s="400" t="s">
        <v>46</v>
      </c>
      <c r="B18" s="401" t="s">
        <v>2334</v>
      </c>
      <c r="C18" s="402" t="s">
        <v>153</v>
      </c>
    </row>
    <row r="19" spans="1:3" x14ac:dyDescent="0.25">
      <c r="A19" s="403" t="s">
        <v>37</v>
      </c>
      <c r="B19" s="404" t="s">
        <v>461</v>
      </c>
      <c r="C19" s="610" t="s">
        <v>3068</v>
      </c>
    </row>
    <row r="20" spans="1:3" x14ac:dyDescent="0.25">
      <c r="A20" s="403" t="s">
        <v>3063</v>
      </c>
      <c r="B20" s="404" t="s">
        <v>3064</v>
      </c>
      <c r="C20" s="610"/>
    </row>
    <row r="21" spans="1:3" ht="15.75" thickBot="1" x14ac:dyDescent="0.3">
      <c r="A21" s="405" t="s">
        <v>828</v>
      </c>
      <c r="B21" s="406" t="s">
        <v>48</v>
      </c>
      <c r="C21" s="611"/>
    </row>
    <row r="22" spans="1:3" x14ac:dyDescent="0.25">
      <c r="A22" s="400" t="s">
        <v>46</v>
      </c>
      <c r="B22" s="401" t="s">
        <v>2354</v>
      </c>
      <c r="C22" s="402" t="s">
        <v>153</v>
      </c>
    </row>
    <row r="23" spans="1:3" x14ac:dyDescent="0.25">
      <c r="A23" s="403" t="s">
        <v>37</v>
      </c>
      <c r="B23" s="404" t="s">
        <v>952</v>
      </c>
      <c r="C23" s="610" t="s">
        <v>3069</v>
      </c>
    </row>
    <row r="24" spans="1:3" x14ac:dyDescent="0.25">
      <c r="A24" s="403" t="s">
        <v>3063</v>
      </c>
      <c r="B24" s="404" t="s">
        <v>3064</v>
      </c>
      <c r="C24" s="610"/>
    </row>
    <row r="25" spans="1:3" ht="15.75" thickBot="1" x14ac:dyDescent="0.3">
      <c r="A25" s="405" t="s">
        <v>828</v>
      </c>
      <c r="B25" s="406" t="s">
        <v>48</v>
      </c>
      <c r="C25" s="611"/>
    </row>
    <row r="26" spans="1:3" x14ac:dyDescent="0.25">
      <c r="A26" s="400" t="s">
        <v>46</v>
      </c>
      <c r="B26" s="401" t="s">
        <v>2348</v>
      </c>
      <c r="C26" s="402" t="s">
        <v>153</v>
      </c>
    </row>
    <row r="27" spans="1:3" x14ac:dyDescent="0.25">
      <c r="A27" s="403" t="s">
        <v>37</v>
      </c>
      <c r="B27" s="404" t="s">
        <v>950</v>
      </c>
      <c r="C27" s="610" t="s">
        <v>3070</v>
      </c>
    </row>
    <row r="28" spans="1:3" x14ac:dyDescent="0.25">
      <c r="A28" s="403" t="s">
        <v>3063</v>
      </c>
      <c r="B28" s="404" t="s">
        <v>3064</v>
      </c>
      <c r="C28" s="610"/>
    </row>
    <row r="29" spans="1:3" ht="15.75" thickBot="1" x14ac:dyDescent="0.3">
      <c r="A29" s="405" t="s">
        <v>828</v>
      </c>
      <c r="B29" s="406" t="s">
        <v>48</v>
      </c>
      <c r="C29" s="611"/>
    </row>
    <row r="30" spans="1:3" x14ac:dyDescent="0.25">
      <c r="A30" s="400" t="s">
        <v>46</v>
      </c>
      <c r="B30" s="401" t="s">
        <v>2386</v>
      </c>
      <c r="C30" s="402" t="s">
        <v>153</v>
      </c>
    </row>
    <row r="31" spans="1:3" x14ac:dyDescent="0.25">
      <c r="A31" s="403" t="s">
        <v>37</v>
      </c>
      <c r="B31" s="404" t="s">
        <v>652</v>
      </c>
      <c r="C31" s="610" t="s">
        <v>3071</v>
      </c>
    </row>
    <row r="32" spans="1:3" x14ac:dyDescent="0.25">
      <c r="A32" s="403" t="s">
        <v>3063</v>
      </c>
      <c r="B32" s="404" t="s">
        <v>3064</v>
      </c>
      <c r="C32" s="610"/>
    </row>
    <row r="33" spans="1:3" ht="15.75" thickBot="1" x14ac:dyDescent="0.3">
      <c r="A33" s="405" t="s">
        <v>828</v>
      </c>
      <c r="B33" s="406" t="s">
        <v>48</v>
      </c>
      <c r="C33" s="611"/>
    </row>
    <row r="34" spans="1:3" x14ac:dyDescent="0.25">
      <c r="A34" s="400" t="s">
        <v>46</v>
      </c>
      <c r="B34" s="401" t="s">
        <v>2362</v>
      </c>
      <c r="C34" s="402" t="s">
        <v>153</v>
      </c>
    </row>
    <row r="35" spans="1:3" x14ac:dyDescent="0.25">
      <c r="A35" s="403" t="s">
        <v>37</v>
      </c>
      <c r="B35" s="404" t="s">
        <v>458</v>
      </c>
      <c r="C35" s="610" t="s">
        <v>3072</v>
      </c>
    </row>
    <row r="36" spans="1:3" x14ac:dyDescent="0.25">
      <c r="A36" s="403" t="s">
        <v>3063</v>
      </c>
      <c r="B36" s="404" t="s">
        <v>3064</v>
      </c>
      <c r="C36" s="610"/>
    </row>
    <row r="37" spans="1:3" ht="15.75" thickBot="1" x14ac:dyDescent="0.3">
      <c r="A37" s="405" t="s">
        <v>828</v>
      </c>
      <c r="B37" s="406" t="s">
        <v>48</v>
      </c>
      <c r="C37" s="611"/>
    </row>
    <row r="38" spans="1:3" x14ac:dyDescent="0.25">
      <c r="A38" s="400" t="s">
        <v>46</v>
      </c>
      <c r="B38" s="401" t="s">
        <v>2393</v>
      </c>
      <c r="C38" s="402" t="s">
        <v>153</v>
      </c>
    </row>
    <row r="39" spans="1:3" x14ac:dyDescent="0.25">
      <c r="A39" s="403" t="s">
        <v>37</v>
      </c>
      <c r="B39" s="404" t="s">
        <v>960</v>
      </c>
      <c r="C39" s="610" t="s">
        <v>3073</v>
      </c>
    </row>
    <row r="40" spans="1:3" x14ac:dyDescent="0.25">
      <c r="A40" s="403" t="s">
        <v>3063</v>
      </c>
      <c r="B40" s="404" t="s">
        <v>3064</v>
      </c>
      <c r="C40" s="610"/>
    </row>
    <row r="41" spans="1:3" ht="15.75" thickBot="1" x14ac:dyDescent="0.3">
      <c r="A41" s="405" t="s">
        <v>828</v>
      </c>
      <c r="B41" s="406" t="s">
        <v>48</v>
      </c>
      <c r="C41" s="611"/>
    </row>
    <row r="42" spans="1:3" x14ac:dyDescent="0.25">
      <c r="A42" s="400" t="s">
        <v>46</v>
      </c>
      <c r="B42" s="401" t="s">
        <v>2323</v>
      </c>
      <c r="C42" s="402" t="s">
        <v>153</v>
      </c>
    </row>
    <row r="43" spans="1:3" x14ac:dyDescent="0.25">
      <c r="A43" s="403" t="s">
        <v>37</v>
      </c>
      <c r="B43" s="404" t="s">
        <v>3074</v>
      </c>
      <c r="C43" s="610" t="s">
        <v>3075</v>
      </c>
    </row>
    <row r="44" spans="1:3" x14ac:dyDescent="0.25">
      <c r="A44" s="403" t="s">
        <v>3063</v>
      </c>
      <c r="B44" s="404" t="s">
        <v>3076</v>
      </c>
      <c r="C44" s="610"/>
    </row>
    <row r="45" spans="1:3" ht="15.75" thickBot="1" x14ac:dyDescent="0.3">
      <c r="A45" s="405" t="s">
        <v>828</v>
      </c>
      <c r="B45" s="406" t="s">
        <v>12</v>
      </c>
      <c r="C45" s="611"/>
    </row>
    <row r="46" spans="1:3" x14ac:dyDescent="0.25">
      <c r="A46" s="400" t="s">
        <v>46</v>
      </c>
      <c r="B46" s="401" t="s">
        <v>2200</v>
      </c>
      <c r="C46" s="402" t="s">
        <v>153</v>
      </c>
    </row>
    <row r="47" spans="1:3" ht="33.75" x14ac:dyDescent="0.25">
      <c r="A47" s="403" t="s">
        <v>37</v>
      </c>
      <c r="B47" s="404" t="s">
        <v>877</v>
      </c>
      <c r="C47" s="610" t="s">
        <v>3077</v>
      </c>
    </row>
    <row r="48" spans="1:3" x14ac:dyDescent="0.25">
      <c r="A48" s="403" t="s">
        <v>3063</v>
      </c>
      <c r="B48" s="404" t="s">
        <v>3078</v>
      </c>
      <c r="C48" s="610"/>
    </row>
    <row r="49" spans="1:3" ht="15.75" thickBot="1" x14ac:dyDescent="0.3">
      <c r="A49" s="405" t="s">
        <v>828</v>
      </c>
      <c r="B49" s="406" t="s">
        <v>775</v>
      </c>
      <c r="C49" s="611"/>
    </row>
    <row r="50" spans="1:3" x14ac:dyDescent="0.25">
      <c r="A50" s="400" t="s">
        <v>46</v>
      </c>
      <c r="B50" s="401" t="s">
        <v>2265</v>
      </c>
      <c r="C50" s="402" t="s">
        <v>153</v>
      </c>
    </row>
    <row r="51" spans="1:3" ht="22.5" x14ac:dyDescent="0.25">
      <c r="A51" s="403" t="s">
        <v>37</v>
      </c>
      <c r="B51" s="404" t="s">
        <v>222</v>
      </c>
      <c r="C51" s="610" t="s">
        <v>3079</v>
      </c>
    </row>
    <row r="52" spans="1:3" x14ac:dyDescent="0.25">
      <c r="A52" s="403" t="s">
        <v>3063</v>
      </c>
      <c r="B52" s="404" t="s">
        <v>3078</v>
      </c>
      <c r="C52" s="610"/>
    </row>
    <row r="53" spans="1:3" ht="15.75" thickBot="1" x14ac:dyDescent="0.3">
      <c r="A53" s="405" t="s">
        <v>828</v>
      </c>
      <c r="B53" s="406" t="s">
        <v>22</v>
      </c>
      <c r="C53" s="611"/>
    </row>
    <row r="54" spans="1:3" x14ac:dyDescent="0.25">
      <c r="A54" s="400" t="s">
        <v>46</v>
      </c>
      <c r="B54" s="401" t="s">
        <v>2303</v>
      </c>
      <c r="C54" s="402" t="s">
        <v>153</v>
      </c>
    </row>
    <row r="55" spans="1:3" x14ac:dyDescent="0.25">
      <c r="A55" s="403" t="s">
        <v>37</v>
      </c>
      <c r="B55" s="404" t="s">
        <v>229</v>
      </c>
      <c r="C55" s="610" t="s">
        <v>3080</v>
      </c>
    </row>
    <row r="56" spans="1:3" x14ac:dyDescent="0.25">
      <c r="A56" s="403" t="s">
        <v>3063</v>
      </c>
      <c r="B56" s="404" t="s">
        <v>3078</v>
      </c>
      <c r="C56" s="610"/>
    </row>
    <row r="57" spans="1:3" ht="15.75" thickBot="1" x14ac:dyDescent="0.3">
      <c r="A57" s="405" t="s">
        <v>828</v>
      </c>
      <c r="B57" s="406" t="s">
        <v>22</v>
      </c>
      <c r="C57" s="611"/>
    </row>
    <row r="58" spans="1:3" x14ac:dyDescent="0.25">
      <c r="A58" s="400" t="s">
        <v>46</v>
      </c>
      <c r="B58" s="401" t="s">
        <v>2261</v>
      </c>
      <c r="C58" s="402" t="s">
        <v>153</v>
      </c>
    </row>
    <row r="59" spans="1:3" ht="22.5" x14ac:dyDescent="0.25">
      <c r="A59" s="403" t="s">
        <v>37</v>
      </c>
      <c r="B59" s="404" t="s">
        <v>900</v>
      </c>
      <c r="C59" s="610" t="s">
        <v>3081</v>
      </c>
    </row>
    <row r="60" spans="1:3" x14ac:dyDescent="0.25">
      <c r="A60" s="403" t="s">
        <v>3063</v>
      </c>
      <c r="B60" s="404" t="s">
        <v>3082</v>
      </c>
      <c r="C60" s="610"/>
    </row>
    <row r="61" spans="1:3" ht="15.75" thickBot="1" x14ac:dyDescent="0.3">
      <c r="A61" s="405" t="s">
        <v>828</v>
      </c>
      <c r="B61" s="406" t="s">
        <v>48</v>
      </c>
      <c r="C61" s="611"/>
    </row>
    <row r="62" spans="1:3" x14ac:dyDescent="0.25">
      <c r="A62" s="400" t="s">
        <v>46</v>
      </c>
      <c r="B62" s="401" t="s">
        <v>2902</v>
      </c>
      <c r="C62" s="402" t="s">
        <v>153</v>
      </c>
    </row>
    <row r="63" spans="1:3" ht="22.5" x14ac:dyDescent="0.25">
      <c r="A63" s="403" t="s">
        <v>37</v>
      </c>
      <c r="B63" s="404" t="s">
        <v>1202</v>
      </c>
      <c r="C63" s="610" t="s">
        <v>3083</v>
      </c>
    </row>
    <row r="64" spans="1:3" x14ac:dyDescent="0.25">
      <c r="A64" s="403" t="s">
        <v>3063</v>
      </c>
      <c r="B64" s="404" t="s">
        <v>3084</v>
      </c>
      <c r="C64" s="610"/>
    </row>
    <row r="65" spans="1:3" ht="15.75" thickBot="1" x14ac:dyDescent="0.3">
      <c r="A65" s="405" t="s">
        <v>828</v>
      </c>
      <c r="B65" s="406" t="s">
        <v>48</v>
      </c>
      <c r="C65" s="611"/>
    </row>
    <row r="66" spans="1:3" x14ac:dyDescent="0.25">
      <c r="A66" s="400" t="s">
        <v>46</v>
      </c>
      <c r="B66" s="401" t="s">
        <v>2621</v>
      </c>
      <c r="C66" s="402" t="s">
        <v>153</v>
      </c>
    </row>
    <row r="67" spans="1:3" ht="33.75" x14ac:dyDescent="0.25">
      <c r="A67" s="403" t="s">
        <v>37</v>
      </c>
      <c r="B67" s="404" t="s">
        <v>560</v>
      </c>
      <c r="C67" s="610" t="s">
        <v>3085</v>
      </c>
    </row>
    <row r="68" spans="1:3" x14ac:dyDescent="0.25">
      <c r="A68" s="403" t="s">
        <v>3063</v>
      </c>
      <c r="B68" s="404" t="s">
        <v>3084</v>
      </c>
      <c r="C68" s="610"/>
    </row>
    <row r="69" spans="1:3" ht="15.75" thickBot="1" x14ac:dyDescent="0.3">
      <c r="A69" s="405" t="s">
        <v>828</v>
      </c>
      <c r="B69" s="406" t="s">
        <v>48</v>
      </c>
      <c r="C69" s="611"/>
    </row>
    <row r="70" spans="1:3" x14ac:dyDescent="0.25">
      <c r="A70" s="400" t="s">
        <v>46</v>
      </c>
      <c r="B70" s="401" t="s">
        <v>2565</v>
      </c>
      <c r="C70" s="402" t="s">
        <v>153</v>
      </c>
    </row>
    <row r="71" spans="1:3" ht="22.5" x14ac:dyDescent="0.25">
      <c r="A71" s="403" t="s">
        <v>37</v>
      </c>
      <c r="B71" s="404" t="s">
        <v>1048</v>
      </c>
      <c r="C71" s="610" t="s">
        <v>3086</v>
      </c>
    </row>
    <row r="72" spans="1:3" x14ac:dyDescent="0.25">
      <c r="A72" s="403" t="s">
        <v>3063</v>
      </c>
      <c r="B72" s="404" t="s">
        <v>3084</v>
      </c>
      <c r="C72" s="610"/>
    </row>
    <row r="73" spans="1:3" ht="15.75" thickBot="1" x14ac:dyDescent="0.3">
      <c r="A73" s="405" t="s">
        <v>828</v>
      </c>
      <c r="B73" s="406" t="s">
        <v>48</v>
      </c>
      <c r="C73" s="611"/>
    </row>
    <row r="74" spans="1:3" x14ac:dyDescent="0.25">
      <c r="A74" s="400" t="s">
        <v>46</v>
      </c>
      <c r="B74" s="401" t="s">
        <v>2603</v>
      </c>
      <c r="C74" s="402" t="s">
        <v>153</v>
      </c>
    </row>
    <row r="75" spans="1:3" ht="33.75" x14ac:dyDescent="0.25">
      <c r="A75" s="403" t="s">
        <v>37</v>
      </c>
      <c r="B75" s="404" t="s">
        <v>1058</v>
      </c>
      <c r="C75" s="610" t="s">
        <v>3087</v>
      </c>
    </row>
    <row r="76" spans="1:3" x14ac:dyDescent="0.25">
      <c r="A76" s="403" t="s">
        <v>3063</v>
      </c>
      <c r="B76" s="404" t="s">
        <v>3084</v>
      </c>
      <c r="C76" s="610"/>
    </row>
    <row r="77" spans="1:3" ht="15.75" thickBot="1" x14ac:dyDescent="0.3">
      <c r="A77" s="405" t="s">
        <v>828</v>
      </c>
      <c r="B77" s="406" t="s">
        <v>12</v>
      </c>
      <c r="C77" s="611"/>
    </row>
    <row r="78" spans="1:3" x14ac:dyDescent="0.25">
      <c r="A78" s="400" t="s">
        <v>46</v>
      </c>
      <c r="B78" s="401" t="s">
        <v>2690</v>
      </c>
      <c r="C78" s="402" t="s">
        <v>153</v>
      </c>
    </row>
    <row r="79" spans="1:3" ht="22.5" x14ac:dyDescent="0.25">
      <c r="A79" s="403" t="s">
        <v>37</v>
      </c>
      <c r="B79" s="404" t="s">
        <v>1130</v>
      </c>
      <c r="C79" s="610" t="s">
        <v>3088</v>
      </c>
    </row>
    <row r="80" spans="1:3" x14ac:dyDescent="0.25">
      <c r="A80" s="403" t="s">
        <v>3063</v>
      </c>
      <c r="B80" s="404" t="s">
        <v>3084</v>
      </c>
      <c r="C80" s="610"/>
    </row>
    <row r="81" spans="1:3" ht="15.75" thickBot="1" x14ac:dyDescent="0.3">
      <c r="A81" s="405" t="s">
        <v>828</v>
      </c>
      <c r="B81" s="406" t="s">
        <v>48</v>
      </c>
      <c r="C81" s="611"/>
    </row>
    <row r="82" spans="1:3" x14ac:dyDescent="0.25">
      <c r="A82" s="400" t="s">
        <v>46</v>
      </c>
      <c r="B82" s="401" t="s">
        <v>2052</v>
      </c>
      <c r="C82" s="402" t="s">
        <v>153</v>
      </c>
    </row>
    <row r="83" spans="1:3" x14ac:dyDescent="0.25">
      <c r="A83" s="403" t="s">
        <v>37</v>
      </c>
      <c r="B83" s="404" t="s">
        <v>857</v>
      </c>
      <c r="C83" s="610" t="s">
        <v>3089</v>
      </c>
    </row>
    <row r="84" spans="1:3" x14ac:dyDescent="0.25">
      <c r="A84" s="403" t="s">
        <v>3063</v>
      </c>
      <c r="B84" s="404" t="s">
        <v>3090</v>
      </c>
      <c r="C84" s="610"/>
    </row>
    <row r="85" spans="1:3" ht="15.75" thickBot="1" x14ac:dyDescent="0.3">
      <c r="A85" s="405" t="s">
        <v>828</v>
      </c>
      <c r="B85" s="406" t="s">
        <v>775</v>
      </c>
      <c r="C85" s="611"/>
    </row>
    <row r="86" spans="1:3" x14ac:dyDescent="0.25">
      <c r="A86" s="400" t="s">
        <v>46</v>
      </c>
      <c r="B86" s="401" t="s">
        <v>2044</v>
      </c>
      <c r="C86" s="402" t="s">
        <v>153</v>
      </c>
    </row>
    <row r="87" spans="1:3" x14ac:dyDescent="0.25">
      <c r="A87" s="403" t="s">
        <v>37</v>
      </c>
      <c r="B87" s="404" t="s">
        <v>3091</v>
      </c>
      <c r="C87" s="610" t="s">
        <v>3092</v>
      </c>
    </row>
    <row r="88" spans="1:3" x14ac:dyDescent="0.25">
      <c r="A88" s="403" t="s">
        <v>3063</v>
      </c>
      <c r="B88" s="404" t="s">
        <v>3090</v>
      </c>
      <c r="C88" s="610"/>
    </row>
    <row r="89" spans="1:3" ht="15.75" thickBot="1" x14ac:dyDescent="0.3">
      <c r="A89" s="405" t="s">
        <v>828</v>
      </c>
      <c r="B89" s="406" t="s">
        <v>775</v>
      </c>
      <c r="C89" s="611"/>
    </row>
    <row r="90" spans="1:3" x14ac:dyDescent="0.25">
      <c r="A90" s="400" t="s">
        <v>46</v>
      </c>
      <c r="B90" s="401" t="s">
        <v>2028</v>
      </c>
      <c r="C90" s="402" t="s">
        <v>153</v>
      </c>
    </row>
    <row r="91" spans="1:3" ht="22.5" x14ac:dyDescent="0.25">
      <c r="A91" s="403" t="s">
        <v>37</v>
      </c>
      <c r="B91" s="404" t="s">
        <v>3093</v>
      </c>
      <c r="C91" s="610" t="s">
        <v>3094</v>
      </c>
    </row>
    <row r="92" spans="1:3" x14ac:dyDescent="0.25">
      <c r="A92" s="403" t="s">
        <v>3063</v>
      </c>
      <c r="B92" s="404" t="s">
        <v>3090</v>
      </c>
      <c r="C92" s="610"/>
    </row>
    <row r="93" spans="1:3" ht="15.75" thickBot="1" x14ac:dyDescent="0.3">
      <c r="A93" s="405" t="s">
        <v>828</v>
      </c>
      <c r="B93" s="406" t="s">
        <v>775</v>
      </c>
      <c r="C93" s="611"/>
    </row>
    <row r="94" spans="1:3" x14ac:dyDescent="0.25">
      <c r="A94" s="400" t="s">
        <v>46</v>
      </c>
      <c r="B94" s="401" t="s">
        <v>2039</v>
      </c>
      <c r="C94" s="402" t="s">
        <v>153</v>
      </c>
    </row>
    <row r="95" spans="1:3" x14ac:dyDescent="0.25">
      <c r="A95" s="403" t="s">
        <v>37</v>
      </c>
      <c r="B95" s="404" t="s">
        <v>833</v>
      </c>
      <c r="C95" s="610" t="s">
        <v>3095</v>
      </c>
    </row>
    <row r="96" spans="1:3" x14ac:dyDescent="0.25">
      <c r="A96" s="403" t="s">
        <v>3063</v>
      </c>
      <c r="B96" s="404" t="s">
        <v>3090</v>
      </c>
      <c r="C96" s="610"/>
    </row>
    <row r="97" spans="1:3" ht="15.75" thickBot="1" x14ac:dyDescent="0.3">
      <c r="A97" s="405" t="s">
        <v>828</v>
      </c>
      <c r="B97" s="406" t="s">
        <v>775</v>
      </c>
      <c r="C97" s="611"/>
    </row>
    <row r="98" spans="1:3" x14ac:dyDescent="0.25">
      <c r="A98" s="400" t="s">
        <v>46</v>
      </c>
      <c r="B98" s="401" t="s">
        <v>2491</v>
      </c>
      <c r="C98" s="402" t="s">
        <v>153</v>
      </c>
    </row>
    <row r="99" spans="1:3" ht="22.5" x14ac:dyDescent="0.25">
      <c r="A99" s="403" t="s">
        <v>37</v>
      </c>
      <c r="B99" s="404" t="s">
        <v>990</v>
      </c>
      <c r="C99" s="610" t="s">
        <v>3096</v>
      </c>
    </row>
    <row r="100" spans="1:3" x14ac:dyDescent="0.25">
      <c r="A100" s="403" t="s">
        <v>3063</v>
      </c>
      <c r="B100" s="404" t="s">
        <v>3064</v>
      </c>
      <c r="C100" s="610"/>
    </row>
    <row r="101" spans="1:3" ht="15.75" thickBot="1" x14ac:dyDescent="0.3">
      <c r="A101" s="405" t="s">
        <v>828</v>
      </c>
      <c r="B101" s="406" t="s">
        <v>48</v>
      </c>
      <c r="C101" s="611"/>
    </row>
    <row r="102" spans="1:3" x14ac:dyDescent="0.25">
      <c r="A102" s="400" t="s">
        <v>46</v>
      </c>
      <c r="B102" s="401" t="s">
        <v>3037</v>
      </c>
      <c r="C102" s="402" t="s">
        <v>153</v>
      </c>
    </row>
    <row r="103" spans="1:3" ht="22.5" x14ac:dyDescent="0.25">
      <c r="A103" s="403" t="s">
        <v>37</v>
      </c>
      <c r="B103" s="404" t="s">
        <v>280</v>
      </c>
      <c r="C103" s="610" t="s">
        <v>3097</v>
      </c>
    </row>
    <row r="104" spans="1:3" x14ac:dyDescent="0.25">
      <c r="A104" s="403" t="s">
        <v>3063</v>
      </c>
      <c r="B104" s="404" t="s">
        <v>3098</v>
      </c>
      <c r="C104" s="610"/>
    </row>
    <row r="105" spans="1:3" ht="15.75" thickBot="1" x14ac:dyDescent="0.3">
      <c r="A105" s="405" t="s">
        <v>828</v>
      </c>
      <c r="B105" s="406" t="s">
        <v>48</v>
      </c>
      <c r="C105" s="611"/>
    </row>
    <row r="106" spans="1:3" x14ac:dyDescent="0.25">
      <c r="A106" s="400" t="s">
        <v>46</v>
      </c>
      <c r="B106" s="401" t="s">
        <v>3026</v>
      </c>
      <c r="C106" s="402" t="s">
        <v>153</v>
      </c>
    </row>
    <row r="107" spans="1:3" ht="22.5" x14ac:dyDescent="0.25">
      <c r="A107" s="403" t="s">
        <v>37</v>
      </c>
      <c r="B107" s="404" t="s">
        <v>276</v>
      </c>
      <c r="C107" s="610" t="s">
        <v>3099</v>
      </c>
    </row>
    <row r="108" spans="1:3" x14ac:dyDescent="0.25">
      <c r="A108" s="403" t="s">
        <v>3063</v>
      </c>
      <c r="B108" s="404" t="s">
        <v>3098</v>
      </c>
      <c r="C108" s="610"/>
    </row>
    <row r="109" spans="1:3" ht="15.75" thickBot="1" x14ac:dyDescent="0.3">
      <c r="A109" s="405" t="s">
        <v>828</v>
      </c>
      <c r="B109" s="406" t="s">
        <v>48</v>
      </c>
      <c r="C109" s="611"/>
    </row>
    <row r="110" spans="1:3" x14ac:dyDescent="0.25">
      <c r="A110" s="400" t="s">
        <v>46</v>
      </c>
      <c r="B110" s="401" t="s">
        <v>3043</v>
      </c>
      <c r="C110" s="402" t="s">
        <v>153</v>
      </c>
    </row>
    <row r="111" spans="1:3" ht="22.5" x14ac:dyDescent="0.25">
      <c r="A111" s="403" t="s">
        <v>37</v>
      </c>
      <c r="B111" s="404" t="s">
        <v>278</v>
      </c>
      <c r="C111" s="610" t="s">
        <v>3100</v>
      </c>
    </row>
    <row r="112" spans="1:3" x14ac:dyDescent="0.25">
      <c r="A112" s="403" t="s">
        <v>3063</v>
      </c>
      <c r="B112" s="404" t="s">
        <v>3098</v>
      </c>
      <c r="C112" s="610"/>
    </row>
    <row r="113" spans="1:3" ht="15.75" thickBot="1" x14ac:dyDescent="0.3">
      <c r="A113" s="405" t="s">
        <v>828</v>
      </c>
      <c r="B113" s="406" t="s">
        <v>775</v>
      </c>
      <c r="C113" s="611"/>
    </row>
    <row r="114" spans="1:3" x14ac:dyDescent="0.25">
      <c r="A114" s="400" t="s">
        <v>46</v>
      </c>
      <c r="B114" s="401" t="s">
        <v>2706</v>
      </c>
      <c r="C114" s="402" t="s">
        <v>153</v>
      </c>
    </row>
    <row r="115" spans="1:3" x14ac:dyDescent="0.25">
      <c r="A115" s="403" t="s">
        <v>37</v>
      </c>
      <c r="B115" s="404" t="s">
        <v>1140</v>
      </c>
      <c r="C115" s="610" t="s">
        <v>3101</v>
      </c>
    </row>
    <row r="116" spans="1:3" x14ac:dyDescent="0.25">
      <c r="A116" s="403" t="s">
        <v>3063</v>
      </c>
      <c r="B116" s="404" t="s">
        <v>3084</v>
      </c>
      <c r="C116" s="610"/>
    </row>
    <row r="117" spans="1:3" ht="15.75" thickBot="1" x14ac:dyDescent="0.3">
      <c r="A117" s="405" t="s">
        <v>828</v>
      </c>
      <c r="B117" s="406" t="s">
        <v>48</v>
      </c>
      <c r="C117" s="611"/>
    </row>
    <row r="118" spans="1:3" x14ac:dyDescent="0.25">
      <c r="A118" s="400" t="s">
        <v>46</v>
      </c>
      <c r="B118" s="401" t="s">
        <v>3031</v>
      </c>
      <c r="C118" s="402" t="s">
        <v>153</v>
      </c>
    </row>
    <row r="119" spans="1:3" ht="22.5" x14ac:dyDescent="0.25">
      <c r="A119" s="403" t="s">
        <v>37</v>
      </c>
      <c r="B119" s="404" t="s">
        <v>1256</v>
      </c>
      <c r="C119" s="610" t="s">
        <v>3102</v>
      </c>
    </row>
    <row r="120" spans="1:3" x14ac:dyDescent="0.25">
      <c r="A120" s="403" t="s">
        <v>3063</v>
      </c>
      <c r="B120" s="404" t="s">
        <v>3098</v>
      </c>
      <c r="C120" s="610"/>
    </row>
    <row r="121" spans="1:3" ht="15.75" thickBot="1" x14ac:dyDescent="0.3">
      <c r="A121" s="405" t="s">
        <v>828</v>
      </c>
      <c r="B121" s="406" t="s">
        <v>48</v>
      </c>
      <c r="C121" s="611"/>
    </row>
    <row r="122" spans="1:3" x14ac:dyDescent="0.25">
      <c r="A122" s="400" t="s">
        <v>46</v>
      </c>
      <c r="B122" s="401" t="s">
        <v>2957</v>
      </c>
      <c r="C122" s="402" t="s">
        <v>153</v>
      </c>
    </row>
    <row r="123" spans="1:3" ht="22.5" x14ac:dyDescent="0.25">
      <c r="A123" s="403" t="s">
        <v>37</v>
      </c>
      <c r="B123" s="404" t="s">
        <v>1214</v>
      </c>
      <c r="C123" s="610" t="s">
        <v>3103</v>
      </c>
    </row>
    <row r="124" spans="1:3" x14ac:dyDescent="0.25">
      <c r="A124" s="403" t="s">
        <v>3063</v>
      </c>
      <c r="B124" s="404" t="s">
        <v>3064</v>
      </c>
      <c r="C124" s="610"/>
    </row>
    <row r="125" spans="1:3" ht="15.75" thickBot="1" x14ac:dyDescent="0.3">
      <c r="A125" s="405" t="s">
        <v>828</v>
      </c>
      <c r="B125" s="406" t="s">
        <v>48</v>
      </c>
      <c r="C125" s="611"/>
    </row>
    <row r="126" spans="1:3" x14ac:dyDescent="0.25">
      <c r="A126" s="400" t="s">
        <v>46</v>
      </c>
      <c r="B126" s="401" t="s">
        <v>2579</v>
      </c>
      <c r="C126" s="402" t="s">
        <v>153</v>
      </c>
    </row>
    <row r="127" spans="1:3" ht="33.75" x14ac:dyDescent="0.25">
      <c r="A127" s="403" t="s">
        <v>37</v>
      </c>
      <c r="B127" s="404" t="s">
        <v>1052</v>
      </c>
      <c r="C127" s="610" t="s">
        <v>3104</v>
      </c>
    </row>
    <row r="128" spans="1:3" x14ac:dyDescent="0.25">
      <c r="A128" s="403" t="s">
        <v>3063</v>
      </c>
      <c r="B128" s="404" t="s">
        <v>3084</v>
      </c>
      <c r="C128" s="610"/>
    </row>
    <row r="129" spans="1:3" ht="15.75" thickBot="1" x14ac:dyDescent="0.3">
      <c r="A129" s="405" t="s">
        <v>828</v>
      </c>
      <c r="B129" s="406" t="s">
        <v>12</v>
      </c>
      <c r="C129" s="611"/>
    </row>
    <row r="130" spans="1:3" x14ac:dyDescent="0.25">
      <c r="A130" s="400" t="s">
        <v>46</v>
      </c>
      <c r="B130" s="401" t="s">
        <v>2056</v>
      </c>
      <c r="C130" s="402" t="s">
        <v>153</v>
      </c>
    </row>
    <row r="131" spans="1:3" ht="22.5" x14ac:dyDescent="0.25">
      <c r="A131" s="403" t="s">
        <v>37</v>
      </c>
      <c r="B131" s="404" t="s">
        <v>3105</v>
      </c>
      <c r="C131" s="610" t="s">
        <v>3106</v>
      </c>
    </row>
    <row r="132" spans="1:3" x14ac:dyDescent="0.25">
      <c r="A132" s="403" t="s">
        <v>3063</v>
      </c>
      <c r="B132" s="404" t="s">
        <v>3107</v>
      </c>
      <c r="C132" s="610"/>
    </row>
    <row r="133" spans="1:3" ht="15.75" thickBot="1" x14ac:dyDescent="0.3">
      <c r="A133" s="405" t="s">
        <v>828</v>
      </c>
      <c r="B133" s="406" t="s">
        <v>242</v>
      </c>
      <c r="C133" s="611"/>
    </row>
    <row r="134" spans="1:3" x14ac:dyDescent="0.25">
      <c r="A134" s="400" t="s">
        <v>46</v>
      </c>
      <c r="B134" s="401" t="s">
        <v>2061</v>
      </c>
      <c r="C134" s="402" t="s">
        <v>153</v>
      </c>
    </row>
    <row r="135" spans="1:3" x14ac:dyDescent="0.25">
      <c r="A135" s="403" t="s">
        <v>37</v>
      </c>
      <c r="B135" s="404" t="s">
        <v>247</v>
      </c>
      <c r="C135" s="610" t="s">
        <v>3108</v>
      </c>
    </row>
    <row r="136" spans="1:3" x14ac:dyDescent="0.25">
      <c r="A136" s="403" t="s">
        <v>3063</v>
      </c>
      <c r="B136" s="404" t="s">
        <v>3107</v>
      </c>
      <c r="C136" s="610"/>
    </row>
    <row r="137" spans="1:3" ht="15.75" thickBot="1" x14ac:dyDescent="0.3">
      <c r="A137" s="405" t="s">
        <v>828</v>
      </c>
      <c r="B137" s="406" t="s">
        <v>48</v>
      </c>
      <c r="C137" s="611"/>
    </row>
    <row r="138" spans="1:3" x14ac:dyDescent="0.25">
      <c r="A138" s="400" t="s">
        <v>46</v>
      </c>
      <c r="B138" s="401" t="s">
        <v>2856</v>
      </c>
      <c r="C138" s="402" t="s">
        <v>153</v>
      </c>
    </row>
    <row r="139" spans="1:3" ht="22.5" x14ac:dyDescent="0.25">
      <c r="A139" s="403" t="s">
        <v>37</v>
      </c>
      <c r="B139" s="404" t="s">
        <v>632</v>
      </c>
      <c r="C139" s="610" t="s">
        <v>3109</v>
      </c>
    </row>
    <row r="140" spans="1:3" x14ac:dyDescent="0.25">
      <c r="A140" s="403" t="s">
        <v>3063</v>
      </c>
      <c r="B140" s="404" t="s">
        <v>3098</v>
      </c>
      <c r="C140" s="610"/>
    </row>
    <row r="141" spans="1:3" ht="15.75" thickBot="1" x14ac:dyDescent="0.3">
      <c r="A141" s="405" t="s">
        <v>828</v>
      </c>
      <c r="B141" s="406" t="s">
        <v>48</v>
      </c>
      <c r="C141" s="611"/>
    </row>
    <row r="142" spans="1:3" x14ac:dyDescent="0.25">
      <c r="A142" s="400" t="s">
        <v>46</v>
      </c>
      <c r="B142" s="401" t="s">
        <v>2861</v>
      </c>
      <c r="C142" s="402" t="s">
        <v>153</v>
      </c>
    </row>
    <row r="143" spans="1:3" ht="33.75" x14ac:dyDescent="0.25">
      <c r="A143" s="403" t="s">
        <v>37</v>
      </c>
      <c r="B143" s="404" t="s">
        <v>635</v>
      </c>
      <c r="C143" s="610" t="s">
        <v>3110</v>
      </c>
    </row>
    <row r="144" spans="1:3" x14ac:dyDescent="0.25">
      <c r="A144" s="403" t="s">
        <v>3063</v>
      </c>
      <c r="B144" s="404" t="s">
        <v>3098</v>
      </c>
      <c r="C144" s="610"/>
    </row>
    <row r="145" spans="1:3" ht="15.75" thickBot="1" x14ac:dyDescent="0.3">
      <c r="A145" s="405" t="s">
        <v>828</v>
      </c>
      <c r="B145" s="406" t="s">
        <v>48</v>
      </c>
      <c r="C145" s="611"/>
    </row>
    <row r="146" spans="1:3" x14ac:dyDescent="0.25">
      <c r="A146" s="400" t="s">
        <v>46</v>
      </c>
      <c r="B146" s="401" t="s">
        <v>2872</v>
      </c>
      <c r="C146" s="402" t="s">
        <v>153</v>
      </c>
    </row>
    <row r="147" spans="1:3" ht="22.5" x14ac:dyDescent="0.25">
      <c r="A147" s="403" t="s">
        <v>37</v>
      </c>
      <c r="B147" s="404" t="s">
        <v>1190</v>
      </c>
      <c r="C147" s="610" t="s">
        <v>3111</v>
      </c>
    </row>
    <row r="148" spans="1:3" x14ac:dyDescent="0.25">
      <c r="A148" s="403" t="s">
        <v>3063</v>
      </c>
      <c r="B148" s="404" t="s">
        <v>3112</v>
      </c>
      <c r="C148" s="610"/>
    </row>
    <row r="149" spans="1:3" ht="15.75" thickBot="1" x14ac:dyDescent="0.3">
      <c r="A149" s="405" t="s">
        <v>828</v>
      </c>
      <c r="B149" s="406" t="s">
        <v>48</v>
      </c>
      <c r="C149" s="611"/>
    </row>
    <row r="150" spans="1:3" x14ac:dyDescent="0.25">
      <c r="A150" s="400" t="s">
        <v>46</v>
      </c>
      <c r="B150" s="401" t="s">
        <v>2878</v>
      </c>
      <c r="C150" s="402" t="s">
        <v>153</v>
      </c>
    </row>
    <row r="151" spans="1:3" ht="22.5" x14ac:dyDescent="0.25">
      <c r="A151" s="403" t="s">
        <v>37</v>
      </c>
      <c r="B151" s="404" t="s">
        <v>1192</v>
      </c>
      <c r="C151" s="610" t="s">
        <v>3113</v>
      </c>
    </row>
    <row r="152" spans="1:3" x14ac:dyDescent="0.25">
      <c r="A152" s="403" t="s">
        <v>3063</v>
      </c>
      <c r="B152" s="404" t="s">
        <v>3112</v>
      </c>
      <c r="C152" s="610"/>
    </row>
    <row r="153" spans="1:3" ht="15.75" thickBot="1" x14ac:dyDescent="0.3">
      <c r="A153" s="405" t="s">
        <v>828</v>
      </c>
      <c r="B153" s="406" t="s">
        <v>48</v>
      </c>
      <c r="C153" s="611"/>
    </row>
    <row r="154" spans="1:3" x14ac:dyDescent="0.25">
      <c r="A154" s="400" t="s">
        <v>46</v>
      </c>
      <c r="B154" s="401" t="s">
        <v>2884</v>
      </c>
      <c r="C154" s="402" t="s">
        <v>153</v>
      </c>
    </row>
    <row r="155" spans="1:3" ht="22.5" x14ac:dyDescent="0.25">
      <c r="A155" s="403" t="s">
        <v>37</v>
      </c>
      <c r="B155" s="404" t="s">
        <v>1194</v>
      </c>
      <c r="C155" s="610" t="s">
        <v>3114</v>
      </c>
    </row>
    <row r="156" spans="1:3" x14ac:dyDescent="0.25">
      <c r="A156" s="403" t="s">
        <v>3063</v>
      </c>
      <c r="B156" s="404" t="s">
        <v>3112</v>
      </c>
      <c r="C156" s="610"/>
    </row>
    <row r="157" spans="1:3" ht="15.75" thickBot="1" x14ac:dyDescent="0.3">
      <c r="A157" s="405" t="s">
        <v>828</v>
      </c>
      <c r="B157" s="406" t="s">
        <v>48</v>
      </c>
      <c r="C157" s="611"/>
    </row>
    <row r="158" spans="1:3" x14ac:dyDescent="0.25">
      <c r="A158" s="400" t="s">
        <v>46</v>
      </c>
      <c r="B158" s="401" t="s">
        <v>2890</v>
      </c>
      <c r="C158" s="402" t="s">
        <v>153</v>
      </c>
    </row>
    <row r="159" spans="1:3" ht="22.5" x14ac:dyDescent="0.25">
      <c r="A159" s="403" t="s">
        <v>37</v>
      </c>
      <c r="B159" s="404" t="s">
        <v>1196</v>
      </c>
      <c r="C159" s="610" t="s">
        <v>3115</v>
      </c>
    </row>
    <row r="160" spans="1:3" x14ac:dyDescent="0.25">
      <c r="A160" s="403" t="s">
        <v>3063</v>
      </c>
      <c r="B160" s="404" t="s">
        <v>3112</v>
      </c>
      <c r="C160" s="610"/>
    </row>
    <row r="161" spans="1:3" ht="15.75" thickBot="1" x14ac:dyDescent="0.3">
      <c r="A161" s="405" t="s">
        <v>828</v>
      </c>
      <c r="B161" s="406" t="s">
        <v>48</v>
      </c>
      <c r="C161" s="611"/>
    </row>
    <row r="162" spans="1:3" x14ac:dyDescent="0.25">
      <c r="A162" s="400" t="s">
        <v>46</v>
      </c>
      <c r="B162" s="401" t="s">
        <v>2897</v>
      </c>
      <c r="C162" s="402" t="s">
        <v>153</v>
      </c>
    </row>
    <row r="163" spans="1:3" ht="33.75" x14ac:dyDescent="0.25">
      <c r="A163" s="403" t="s">
        <v>37</v>
      </c>
      <c r="B163" s="404" t="s">
        <v>1200</v>
      </c>
      <c r="C163" s="610" t="s">
        <v>3109</v>
      </c>
    </row>
    <row r="164" spans="1:3" x14ac:dyDescent="0.25">
      <c r="A164" s="403" t="s">
        <v>3063</v>
      </c>
      <c r="B164" s="404" t="s">
        <v>3112</v>
      </c>
      <c r="C164" s="610"/>
    </row>
    <row r="165" spans="1:3" ht="15.75" thickBot="1" x14ac:dyDescent="0.3">
      <c r="A165" s="405" t="s">
        <v>828</v>
      </c>
      <c r="B165" s="406" t="s">
        <v>48</v>
      </c>
      <c r="C165" s="611"/>
    </row>
    <row r="166" spans="1:3" x14ac:dyDescent="0.25">
      <c r="A166" s="400" t="s">
        <v>46</v>
      </c>
      <c r="B166" s="401" t="s">
        <v>2964</v>
      </c>
      <c r="C166" s="402" t="s">
        <v>153</v>
      </c>
    </row>
    <row r="167" spans="1:3" ht="22.5" x14ac:dyDescent="0.25">
      <c r="A167" s="403" t="s">
        <v>37</v>
      </c>
      <c r="B167" s="404" t="s">
        <v>3116</v>
      </c>
      <c r="C167" s="610" t="s">
        <v>3117</v>
      </c>
    </row>
    <row r="168" spans="1:3" x14ac:dyDescent="0.25">
      <c r="A168" s="403" t="s">
        <v>3063</v>
      </c>
      <c r="B168" s="404" t="s">
        <v>3112</v>
      </c>
      <c r="C168" s="610"/>
    </row>
    <row r="169" spans="1:3" ht="15.75" thickBot="1" x14ac:dyDescent="0.3">
      <c r="A169" s="405" t="s">
        <v>828</v>
      </c>
      <c r="B169" s="406" t="s">
        <v>48</v>
      </c>
      <c r="C169" s="611"/>
    </row>
    <row r="170" spans="1:3" x14ac:dyDescent="0.25">
      <c r="A170" s="400" t="s">
        <v>46</v>
      </c>
      <c r="B170" s="401" t="s">
        <v>3118</v>
      </c>
      <c r="C170" s="402" t="s">
        <v>153</v>
      </c>
    </row>
    <row r="171" spans="1:3" x14ac:dyDescent="0.25">
      <c r="A171" s="403" t="s">
        <v>37</v>
      </c>
      <c r="B171" s="404" t="s">
        <v>1183</v>
      </c>
      <c r="C171" s="610" t="s">
        <v>3119</v>
      </c>
    </row>
    <row r="172" spans="1:3" x14ac:dyDescent="0.25">
      <c r="A172" s="403" t="s">
        <v>3063</v>
      </c>
      <c r="B172" s="404" t="s">
        <v>3084</v>
      </c>
      <c r="C172" s="610"/>
    </row>
    <row r="173" spans="1:3" ht="15.75" thickBot="1" x14ac:dyDescent="0.3">
      <c r="A173" s="405" t="s">
        <v>828</v>
      </c>
      <c r="B173" s="406" t="s">
        <v>48</v>
      </c>
      <c r="C173" s="611"/>
    </row>
    <row r="174" spans="1:3" x14ac:dyDescent="0.25">
      <c r="A174" s="400" t="s">
        <v>46</v>
      </c>
      <c r="B174" s="401" t="s">
        <v>3120</v>
      </c>
      <c r="C174" s="402" t="s">
        <v>153</v>
      </c>
    </row>
    <row r="175" spans="1:3" x14ac:dyDescent="0.25">
      <c r="A175" s="403" t="s">
        <v>37</v>
      </c>
      <c r="B175" s="404" t="s">
        <v>1074</v>
      </c>
      <c r="C175" s="610" t="s">
        <v>3121</v>
      </c>
    </row>
    <row r="176" spans="1:3" x14ac:dyDescent="0.25">
      <c r="A176" s="403" t="s">
        <v>3063</v>
      </c>
      <c r="B176" s="404" t="s">
        <v>3084</v>
      </c>
      <c r="C176" s="610"/>
    </row>
    <row r="177" spans="1:3" ht="15.75" thickBot="1" x14ac:dyDescent="0.3">
      <c r="A177" s="405" t="s">
        <v>828</v>
      </c>
      <c r="B177" s="406" t="s">
        <v>48</v>
      </c>
      <c r="C177" s="611"/>
    </row>
    <row r="178" spans="1:3" x14ac:dyDescent="0.25">
      <c r="A178" s="400" t="s">
        <v>46</v>
      </c>
      <c r="B178" s="401" t="s">
        <v>3122</v>
      </c>
      <c r="C178" s="402" t="s">
        <v>153</v>
      </c>
    </row>
    <row r="179" spans="1:3" x14ac:dyDescent="0.25">
      <c r="A179" s="403" t="s">
        <v>37</v>
      </c>
      <c r="B179" s="404" t="s">
        <v>1088</v>
      </c>
      <c r="C179" s="610" t="s">
        <v>3123</v>
      </c>
    </row>
    <row r="180" spans="1:3" x14ac:dyDescent="0.25">
      <c r="A180" s="403" t="s">
        <v>3063</v>
      </c>
      <c r="B180" s="404" t="s">
        <v>3084</v>
      </c>
      <c r="C180" s="610"/>
    </row>
    <row r="181" spans="1:3" ht="15.75" thickBot="1" x14ac:dyDescent="0.3">
      <c r="A181" s="405" t="s">
        <v>828</v>
      </c>
      <c r="B181" s="406" t="s">
        <v>48</v>
      </c>
      <c r="C181" s="611"/>
    </row>
    <row r="182" spans="1:3" x14ac:dyDescent="0.25">
      <c r="A182" s="400" t="s">
        <v>46</v>
      </c>
      <c r="B182" s="401" t="s">
        <v>3124</v>
      </c>
      <c r="C182" s="402" t="s">
        <v>153</v>
      </c>
    </row>
    <row r="183" spans="1:3" ht="22.5" x14ac:dyDescent="0.25">
      <c r="A183" s="403" t="s">
        <v>37</v>
      </c>
      <c r="B183" s="404" t="s">
        <v>1118</v>
      </c>
      <c r="C183" s="610" t="s">
        <v>3125</v>
      </c>
    </row>
    <row r="184" spans="1:3" x14ac:dyDescent="0.25">
      <c r="A184" s="403" t="s">
        <v>3063</v>
      </c>
      <c r="B184" s="404" t="s">
        <v>3084</v>
      </c>
      <c r="C184" s="610"/>
    </row>
    <row r="185" spans="1:3" ht="15.75" thickBot="1" x14ac:dyDescent="0.3">
      <c r="A185" s="405" t="s">
        <v>828</v>
      </c>
      <c r="B185" s="406" t="s">
        <v>48</v>
      </c>
      <c r="C185" s="611"/>
    </row>
    <row r="186" spans="1:3" x14ac:dyDescent="0.25">
      <c r="A186" s="400" t="s">
        <v>46</v>
      </c>
      <c r="B186" s="401" t="s">
        <v>3126</v>
      </c>
      <c r="C186" s="402" t="s">
        <v>153</v>
      </c>
    </row>
    <row r="187" spans="1:3" ht="45" x14ac:dyDescent="0.25">
      <c r="A187" s="403" t="s">
        <v>37</v>
      </c>
      <c r="B187" s="404" t="s">
        <v>1212</v>
      </c>
      <c r="C187" s="610" t="s">
        <v>3127</v>
      </c>
    </row>
    <row r="188" spans="1:3" x14ac:dyDescent="0.25">
      <c r="A188" s="403" t="s">
        <v>3063</v>
      </c>
      <c r="B188" s="404" t="s">
        <v>3112</v>
      </c>
      <c r="C188" s="610"/>
    </row>
    <row r="189" spans="1:3" ht="15.75" thickBot="1" x14ac:dyDescent="0.3">
      <c r="A189" s="405" t="s">
        <v>828</v>
      </c>
      <c r="B189" s="406" t="s">
        <v>48</v>
      </c>
      <c r="C189" s="611"/>
    </row>
    <row r="190" spans="1:3" x14ac:dyDescent="0.25">
      <c r="A190" s="400" t="s">
        <v>46</v>
      </c>
      <c r="B190" s="401" t="s">
        <v>3128</v>
      </c>
      <c r="C190" s="402" t="s">
        <v>153</v>
      </c>
    </row>
    <row r="191" spans="1:3" x14ac:dyDescent="0.25">
      <c r="A191" s="403" t="s">
        <v>37</v>
      </c>
      <c r="B191" s="404" t="s">
        <v>1005</v>
      </c>
      <c r="C191" s="610" t="s">
        <v>3129</v>
      </c>
    </row>
    <row r="192" spans="1:3" x14ac:dyDescent="0.25">
      <c r="A192" s="403" t="s">
        <v>3063</v>
      </c>
      <c r="B192" s="404" t="s">
        <v>3064</v>
      </c>
      <c r="C192" s="610"/>
    </row>
    <row r="193" spans="1:3" ht="15.75" thickBot="1" x14ac:dyDescent="0.3">
      <c r="A193" s="405" t="s">
        <v>828</v>
      </c>
      <c r="B193" s="406" t="s">
        <v>48</v>
      </c>
      <c r="C193" s="611"/>
    </row>
    <row r="194" spans="1:3" x14ac:dyDescent="0.25">
      <c r="A194" s="400" t="s">
        <v>46</v>
      </c>
      <c r="B194" s="401" t="s">
        <v>1205</v>
      </c>
      <c r="C194" s="402" t="s">
        <v>153</v>
      </c>
    </row>
    <row r="195" spans="1:3" ht="22.5" x14ac:dyDescent="0.25">
      <c r="A195" s="403" t="s">
        <v>37</v>
      </c>
      <c r="B195" s="404" t="s">
        <v>1206</v>
      </c>
      <c r="C195" s="614" t="s">
        <v>3130</v>
      </c>
    </row>
    <row r="196" spans="1:3" x14ac:dyDescent="0.25">
      <c r="A196" s="403" t="s">
        <v>3063</v>
      </c>
      <c r="B196" s="404" t="s">
        <v>3112</v>
      </c>
      <c r="C196" s="615"/>
    </row>
    <row r="197" spans="1:3" ht="15.75" thickBot="1" x14ac:dyDescent="0.3">
      <c r="A197" s="405" t="s">
        <v>828</v>
      </c>
      <c r="B197" s="406" t="s">
        <v>48</v>
      </c>
      <c r="C197" s="616"/>
    </row>
    <row r="198" spans="1:3" x14ac:dyDescent="0.25">
      <c r="A198" s="400" t="s">
        <v>46</v>
      </c>
      <c r="B198" s="401" t="s">
        <v>1203</v>
      </c>
      <c r="C198" s="402" t="s">
        <v>153</v>
      </c>
    </row>
    <row r="199" spans="1:3" ht="22.5" x14ac:dyDescent="0.25">
      <c r="A199" s="403" t="s">
        <v>37</v>
      </c>
      <c r="B199" s="404" t="s">
        <v>1204</v>
      </c>
      <c r="C199" s="614" t="s">
        <v>3131</v>
      </c>
    </row>
    <row r="200" spans="1:3" x14ac:dyDescent="0.25">
      <c r="A200" s="403" t="s">
        <v>3063</v>
      </c>
      <c r="B200" s="404" t="s">
        <v>3112</v>
      </c>
      <c r="C200" s="615"/>
    </row>
    <row r="201" spans="1:3" ht="15.75" thickBot="1" x14ac:dyDescent="0.3">
      <c r="A201" s="405" t="s">
        <v>828</v>
      </c>
      <c r="B201" s="406" t="s">
        <v>48</v>
      </c>
      <c r="C201" s="616"/>
    </row>
    <row r="202" spans="1:3" x14ac:dyDescent="0.25">
      <c r="A202" s="400" t="s">
        <v>46</v>
      </c>
      <c r="B202" s="401" t="s">
        <v>3132</v>
      </c>
      <c r="C202" s="402" t="s">
        <v>153</v>
      </c>
    </row>
    <row r="203" spans="1:3" ht="22.5" x14ac:dyDescent="0.25">
      <c r="A203" s="403" t="s">
        <v>37</v>
      </c>
      <c r="B203" s="404" t="s">
        <v>1210</v>
      </c>
      <c r="C203" s="610" t="s">
        <v>3133</v>
      </c>
    </row>
    <row r="204" spans="1:3" x14ac:dyDescent="0.25">
      <c r="A204" s="403" t="s">
        <v>3063</v>
      </c>
      <c r="B204" s="404" t="s">
        <v>3084</v>
      </c>
      <c r="C204" s="610"/>
    </row>
    <row r="205" spans="1:3" ht="15.75" thickBot="1" x14ac:dyDescent="0.3">
      <c r="A205" s="405" t="s">
        <v>828</v>
      </c>
      <c r="B205" s="406" t="s">
        <v>48</v>
      </c>
      <c r="C205" s="611"/>
    </row>
    <row r="206" spans="1:3" x14ac:dyDescent="0.25">
      <c r="A206" s="400" t="s">
        <v>46</v>
      </c>
      <c r="B206" s="401" t="s">
        <v>2241</v>
      </c>
      <c r="C206" s="402" t="s">
        <v>153</v>
      </c>
    </row>
    <row r="207" spans="1:3" ht="22.5" x14ac:dyDescent="0.25">
      <c r="A207" s="403" t="s">
        <v>37</v>
      </c>
      <c r="B207" s="404" t="s">
        <v>897</v>
      </c>
      <c r="C207" s="610" t="s">
        <v>3081</v>
      </c>
    </row>
    <row r="208" spans="1:3" x14ac:dyDescent="0.25">
      <c r="A208" s="403" t="s">
        <v>3063</v>
      </c>
      <c r="B208" s="404" t="s">
        <v>3082</v>
      </c>
      <c r="C208" s="610"/>
    </row>
    <row r="209" spans="1:3" ht="15.75" thickBot="1" x14ac:dyDescent="0.3">
      <c r="A209" s="405" t="s">
        <v>828</v>
      </c>
      <c r="B209" s="406" t="s">
        <v>48</v>
      </c>
      <c r="C209" s="611"/>
    </row>
    <row r="210" spans="1:3" x14ac:dyDescent="0.25">
      <c r="A210" s="400" t="s">
        <v>46</v>
      </c>
      <c r="B210" s="401" t="s">
        <v>612</v>
      </c>
      <c r="C210" s="402" t="s">
        <v>153</v>
      </c>
    </row>
    <row r="211" spans="1:3" x14ac:dyDescent="0.25">
      <c r="A211" s="403" t="s">
        <v>37</v>
      </c>
      <c r="B211" s="404" t="s">
        <v>613</v>
      </c>
      <c r="C211" s="610" t="s">
        <v>3134</v>
      </c>
    </row>
    <row r="212" spans="1:3" x14ac:dyDescent="0.25">
      <c r="A212" s="403" t="s">
        <v>3063</v>
      </c>
      <c r="B212" s="404" t="s">
        <v>3112</v>
      </c>
      <c r="C212" s="610"/>
    </row>
    <row r="213" spans="1:3" ht="15.75" thickBot="1" x14ac:dyDescent="0.3">
      <c r="A213" s="405" t="s">
        <v>828</v>
      </c>
      <c r="B213" s="406" t="s">
        <v>48</v>
      </c>
      <c r="C213" s="611"/>
    </row>
    <row r="214" spans="1:3" x14ac:dyDescent="0.25">
      <c r="A214" s="400" t="s">
        <v>46</v>
      </c>
      <c r="B214" s="401" t="s">
        <v>610</v>
      </c>
      <c r="C214" s="402" t="s">
        <v>153</v>
      </c>
    </row>
    <row r="215" spans="1:3" x14ac:dyDescent="0.25">
      <c r="A215" s="403" t="s">
        <v>37</v>
      </c>
      <c r="B215" s="404" t="s">
        <v>611</v>
      </c>
      <c r="C215" s="610" t="s">
        <v>3135</v>
      </c>
    </row>
    <row r="216" spans="1:3" x14ac:dyDescent="0.25">
      <c r="A216" s="403" t="s">
        <v>3063</v>
      </c>
      <c r="B216" s="404" t="s">
        <v>3112</v>
      </c>
      <c r="C216" s="610"/>
    </row>
    <row r="217" spans="1:3" ht="15.75" thickBot="1" x14ac:dyDescent="0.3">
      <c r="A217" s="405" t="s">
        <v>828</v>
      </c>
      <c r="B217" s="406" t="s">
        <v>48</v>
      </c>
      <c r="C217" s="611"/>
    </row>
    <row r="218" spans="1:3" x14ac:dyDescent="0.25">
      <c r="A218" s="400" t="s">
        <v>46</v>
      </c>
      <c r="B218" s="401" t="s">
        <v>606</v>
      </c>
      <c r="C218" s="402" t="s">
        <v>153</v>
      </c>
    </row>
    <row r="219" spans="1:3" x14ac:dyDescent="0.25">
      <c r="A219" s="403" t="s">
        <v>37</v>
      </c>
      <c r="B219" s="404" t="s">
        <v>607</v>
      </c>
      <c r="C219" s="610" t="s">
        <v>3136</v>
      </c>
    </row>
    <row r="220" spans="1:3" x14ac:dyDescent="0.25">
      <c r="A220" s="403" t="s">
        <v>3063</v>
      </c>
      <c r="B220" s="404" t="s">
        <v>3112</v>
      </c>
      <c r="C220" s="610"/>
    </row>
    <row r="221" spans="1:3" ht="15.75" thickBot="1" x14ac:dyDescent="0.3">
      <c r="A221" s="405" t="s">
        <v>828</v>
      </c>
      <c r="B221" s="406" t="s">
        <v>48</v>
      </c>
      <c r="C221" s="611"/>
    </row>
    <row r="222" spans="1:3" x14ac:dyDescent="0.25">
      <c r="A222" s="400" t="s">
        <v>46</v>
      </c>
      <c r="B222" s="401" t="s">
        <v>3137</v>
      </c>
      <c r="C222" s="402" t="s">
        <v>153</v>
      </c>
    </row>
    <row r="223" spans="1:3" ht="22.5" x14ac:dyDescent="0.25">
      <c r="A223" s="403" t="s">
        <v>37</v>
      </c>
      <c r="B223" s="404" t="s">
        <v>658</v>
      </c>
      <c r="C223" s="610" t="s">
        <v>3138</v>
      </c>
    </row>
    <row r="224" spans="1:3" x14ac:dyDescent="0.25">
      <c r="A224" s="403" t="s">
        <v>3063</v>
      </c>
      <c r="B224" s="404" t="s">
        <v>3084</v>
      </c>
      <c r="C224" s="610"/>
    </row>
    <row r="225" spans="1:3" ht="15.75" thickBot="1" x14ac:dyDescent="0.3">
      <c r="A225" s="405" t="s">
        <v>828</v>
      </c>
      <c r="B225" s="406" t="s">
        <v>48</v>
      </c>
      <c r="C225" s="611"/>
    </row>
    <row r="226" spans="1:3" x14ac:dyDescent="0.25">
      <c r="A226" s="400" t="s">
        <v>46</v>
      </c>
      <c r="B226" s="401" t="s">
        <v>3139</v>
      </c>
      <c r="C226" s="402" t="s">
        <v>153</v>
      </c>
    </row>
    <row r="227" spans="1:3" ht="33.75" x14ac:dyDescent="0.25">
      <c r="A227" s="403" t="s">
        <v>37</v>
      </c>
      <c r="B227" s="404" t="s">
        <v>3140</v>
      </c>
      <c r="C227" s="610" t="s">
        <v>3141</v>
      </c>
    </row>
    <row r="228" spans="1:3" x14ac:dyDescent="0.25">
      <c r="A228" s="403" t="s">
        <v>3063</v>
      </c>
      <c r="B228" s="404" t="s">
        <v>3064</v>
      </c>
      <c r="C228" s="610"/>
    </row>
    <row r="229" spans="1:3" ht="15.75" thickBot="1" x14ac:dyDescent="0.3">
      <c r="A229" s="405" t="s">
        <v>828</v>
      </c>
      <c r="B229" s="406" t="s">
        <v>48</v>
      </c>
      <c r="C229" s="611"/>
    </row>
    <row r="230" spans="1:3" x14ac:dyDescent="0.25">
      <c r="A230" s="400" t="s">
        <v>46</v>
      </c>
      <c r="B230" s="401" t="s">
        <v>880</v>
      </c>
      <c r="C230" s="402" t="s">
        <v>153</v>
      </c>
    </row>
    <row r="231" spans="1:3" ht="33.75" x14ac:dyDescent="0.25">
      <c r="A231" s="403" t="s">
        <v>37</v>
      </c>
      <c r="B231" s="404" t="s">
        <v>881</v>
      </c>
      <c r="C231" s="610" t="s">
        <v>3142</v>
      </c>
    </row>
    <row r="232" spans="1:3" x14ac:dyDescent="0.25">
      <c r="A232" s="403" t="s">
        <v>3063</v>
      </c>
      <c r="B232" s="404" t="s">
        <v>3098</v>
      </c>
      <c r="C232" s="610"/>
    </row>
    <row r="233" spans="1:3" ht="15.75" thickBot="1" x14ac:dyDescent="0.3">
      <c r="A233" s="405" t="s">
        <v>828</v>
      </c>
      <c r="B233" s="406" t="s">
        <v>775</v>
      </c>
      <c r="C233" s="611"/>
    </row>
    <row r="234" spans="1:3" x14ac:dyDescent="0.25">
      <c r="A234" s="400" t="s">
        <v>46</v>
      </c>
      <c r="B234" s="401" t="s">
        <v>390</v>
      </c>
      <c r="C234" s="402" t="s">
        <v>153</v>
      </c>
    </row>
    <row r="235" spans="1:3" ht="33.75" x14ac:dyDescent="0.25">
      <c r="A235" s="403" t="s">
        <v>37</v>
      </c>
      <c r="B235" s="404" t="s">
        <v>3143</v>
      </c>
      <c r="C235" s="610" t="s">
        <v>3144</v>
      </c>
    </row>
    <row r="236" spans="1:3" x14ac:dyDescent="0.25">
      <c r="A236" s="403" t="s">
        <v>3063</v>
      </c>
      <c r="B236" s="404" t="s">
        <v>3145</v>
      </c>
      <c r="C236" s="610"/>
    </row>
    <row r="237" spans="1:3" ht="15.75" thickBot="1" x14ac:dyDescent="0.3">
      <c r="A237" s="405" t="s">
        <v>828</v>
      </c>
      <c r="B237" s="406" t="s">
        <v>3146</v>
      </c>
      <c r="C237" s="611"/>
    </row>
    <row r="238" spans="1:3" x14ac:dyDescent="0.25">
      <c r="A238" s="400" t="s">
        <v>46</v>
      </c>
      <c r="B238" s="401" t="s">
        <v>970</v>
      </c>
      <c r="C238" s="402" t="s">
        <v>153</v>
      </c>
    </row>
    <row r="239" spans="1:3" x14ac:dyDescent="0.25">
      <c r="A239" s="403" t="s">
        <v>37</v>
      </c>
      <c r="B239" s="404" t="s">
        <v>3147</v>
      </c>
      <c r="C239" s="610" t="s">
        <v>3148</v>
      </c>
    </row>
    <row r="240" spans="1:3" x14ac:dyDescent="0.25">
      <c r="A240" s="403" t="s">
        <v>3063</v>
      </c>
      <c r="B240" s="404" t="s">
        <v>3149</v>
      </c>
      <c r="C240" s="610"/>
    </row>
    <row r="241" spans="1:3" ht="15.75" thickBot="1" x14ac:dyDescent="0.3">
      <c r="A241" s="405" t="s">
        <v>828</v>
      </c>
      <c r="B241" s="406" t="s">
        <v>48</v>
      </c>
      <c r="C241" s="611"/>
    </row>
    <row r="242" spans="1:3" x14ac:dyDescent="0.25">
      <c r="A242" s="400" t="s">
        <v>46</v>
      </c>
      <c r="B242" s="401" t="s">
        <v>3150</v>
      </c>
      <c r="C242" s="402" t="s">
        <v>153</v>
      </c>
    </row>
    <row r="243" spans="1:3" ht="22.5" x14ac:dyDescent="0.25">
      <c r="A243" s="403" t="s">
        <v>37</v>
      </c>
      <c r="B243" s="404" t="s">
        <v>1208</v>
      </c>
      <c r="C243" s="610" t="s">
        <v>3151</v>
      </c>
    </row>
    <row r="244" spans="1:3" x14ac:dyDescent="0.25">
      <c r="A244" s="403" t="s">
        <v>3063</v>
      </c>
      <c r="B244" s="404" t="s">
        <v>3084</v>
      </c>
      <c r="C244" s="610"/>
    </row>
    <row r="245" spans="1:3" ht="15.75" thickBot="1" x14ac:dyDescent="0.3">
      <c r="A245" s="405" t="s">
        <v>828</v>
      </c>
      <c r="B245" s="406" t="s">
        <v>12</v>
      </c>
      <c r="C245" s="611"/>
    </row>
    <row r="246" spans="1:3" x14ac:dyDescent="0.25">
      <c r="A246" s="400" t="s">
        <v>46</v>
      </c>
      <c r="B246" s="401" t="s">
        <v>3152</v>
      </c>
      <c r="C246" s="402" t="s">
        <v>153</v>
      </c>
    </row>
    <row r="247" spans="1:3" x14ac:dyDescent="0.25">
      <c r="A247" s="403" t="s">
        <v>37</v>
      </c>
      <c r="B247" s="404" t="s">
        <v>364</v>
      </c>
      <c r="C247" s="610" t="s">
        <v>3153</v>
      </c>
    </row>
    <row r="248" spans="1:3" x14ac:dyDescent="0.25">
      <c r="A248" s="403" t="s">
        <v>3063</v>
      </c>
      <c r="B248" s="404" t="s">
        <v>3078</v>
      </c>
      <c r="C248" s="610"/>
    </row>
    <row r="249" spans="1:3" ht="15.75" thickBot="1" x14ac:dyDescent="0.3">
      <c r="A249" s="405" t="s">
        <v>828</v>
      </c>
      <c r="B249" s="406" t="s">
        <v>48</v>
      </c>
      <c r="C249" s="611"/>
    </row>
    <row r="250" spans="1:3" x14ac:dyDescent="0.25">
      <c r="A250" s="400" t="s">
        <v>46</v>
      </c>
      <c r="B250" s="401" t="s">
        <v>3154</v>
      </c>
      <c r="C250" s="402" t="s">
        <v>153</v>
      </c>
    </row>
    <row r="251" spans="1:3" ht="22.5" x14ac:dyDescent="0.25">
      <c r="A251" s="403" t="s">
        <v>37</v>
      </c>
      <c r="B251" s="404" t="s">
        <v>861</v>
      </c>
      <c r="C251" s="610" t="s">
        <v>3155</v>
      </c>
    </row>
    <row r="252" spans="1:3" x14ac:dyDescent="0.25">
      <c r="A252" s="403" t="s">
        <v>3063</v>
      </c>
      <c r="B252" s="404" t="s">
        <v>3084</v>
      </c>
      <c r="C252" s="610"/>
    </row>
    <row r="253" spans="1:3" ht="15.75" thickBot="1" x14ac:dyDescent="0.3">
      <c r="A253" s="405" t="s">
        <v>828</v>
      </c>
      <c r="B253" s="406" t="s">
        <v>48</v>
      </c>
      <c r="C253" s="611"/>
    </row>
    <row r="254" spans="1:3" x14ac:dyDescent="0.25">
      <c r="A254" s="400" t="s">
        <v>46</v>
      </c>
      <c r="B254" s="401" t="s">
        <v>872</v>
      </c>
      <c r="C254" s="402" t="s">
        <v>153</v>
      </c>
    </row>
    <row r="255" spans="1:3" ht="33.75" x14ac:dyDescent="0.25">
      <c r="A255" s="403" t="s">
        <v>37</v>
      </c>
      <c r="B255" s="404" t="s">
        <v>3156</v>
      </c>
      <c r="C255" s="610" t="s">
        <v>3157</v>
      </c>
    </row>
    <row r="256" spans="1:3" x14ac:dyDescent="0.25">
      <c r="A256" s="403" t="s">
        <v>3063</v>
      </c>
      <c r="B256" s="404" t="s">
        <v>3078</v>
      </c>
      <c r="C256" s="610"/>
    </row>
    <row r="257" spans="1:3" ht="15.75" thickBot="1" x14ac:dyDescent="0.3">
      <c r="A257" s="405" t="s">
        <v>828</v>
      </c>
      <c r="B257" s="406" t="s">
        <v>25</v>
      </c>
      <c r="C257" s="611"/>
    </row>
    <row r="258" spans="1:3" x14ac:dyDescent="0.25">
      <c r="A258" s="400" t="s">
        <v>46</v>
      </c>
      <c r="B258" s="401" t="s">
        <v>1223</v>
      </c>
      <c r="C258" s="402" t="s">
        <v>153</v>
      </c>
    </row>
    <row r="259" spans="1:3" ht="33.75" x14ac:dyDescent="0.25">
      <c r="A259" s="403" t="s">
        <v>37</v>
      </c>
      <c r="B259" s="404" t="s">
        <v>1224</v>
      </c>
      <c r="C259" s="610" t="s">
        <v>3158</v>
      </c>
    </row>
    <row r="260" spans="1:3" x14ac:dyDescent="0.25">
      <c r="A260" s="403" t="s">
        <v>3063</v>
      </c>
      <c r="B260" s="404" t="s">
        <v>3064</v>
      </c>
      <c r="C260" s="610"/>
    </row>
    <row r="261" spans="1:3" ht="15.75" thickBot="1" x14ac:dyDescent="0.3">
      <c r="A261" s="405" t="s">
        <v>828</v>
      </c>
      <c r="B261" s="406" t="s">
        <v>12</v>
      </c>
      <c r="C261" s="611"/>
    </row>
    <row r="262" spans="1:3" x14ac:dyDescent="0.25">
      <c r="A262" s="400" t="s">
        <v>46</v>
      </c>
      <c r="B262" s="401" t="s">
        <v>1053</v>
      </c>
      <c r="C262" s="402" t="s">
        <v>153</v>
      </c>
    </row>
    <row r="263" spans="1:3" ht="33.75" x14ac:dyDescent="0.25">
      <c r="A263" s="403" t="s">
        <v>37</v>
      </c>
      <c r="B263" s="404" t="s">
        <v>1054</v>
      </c>
      <c r="C263" s="610" t="s">
        <v>3159</v>
      </c>
    </row>
    <row r="264" spans="1:3" x14ac:dyDescent="0.25">
      <c r="A264" s="403" t="s">
        <v>3063</v>
      </c>
      <c r="B264" s="404" t="s">
        <v>3084</v>
      </c>
      <c r="C264" s="610"/>
    </row>
    <row r="265" spans="1:3" ht="15.75" thickBot="1" x14ac:dyDescent="0.3">
      <c r="A265" s="405" t="s">
        <v>828</v>
      </c>
      <c r="B265" s="406" t="s">
        <v>12</v>
      </c>
      <c r="C265" s="611"/>
    </row>
    <row r="266" spans="1:3" x14ac:dyDescent="0.25">
      <c r="A266" s="400" t="s">
        <v>46</v>
      </c>
      <c r="B266" s="401" t="s">
        <v>1249</v>
      </c>
      <c r="C266" s="402" t="s">
        <v>153</v>
      </c>
    </row>
    <row r="267" spans="1:3" x14ac:dyDescent="0.25">
      <c r="A267" s="403" t="s">
        <v>37</v>
      </c>
      <c r="B267" s="404" t="s">
        <v>1250</v>
      </c>
      <c r="C267" s="610" t="s">
        <v>3160</v>
      </c>
    </row>
    <row r="268" spans="1:3" x14ac:dyDescent="0.25">
      <c r="A268" s="403" t="s">
        <v>3063</v>
      </c>
      <c r="B268" s="404" t="s">
        <v>3064</v>
      </c>
      <c r="C268" s="610"/>
    </row>
    <row r="269" spans="1:3" ht="15.75" thickBot="1" x14ac:dyDescent="0.3">
      <c r="A269" s="405" t="s">
        <v>828</v>
      </c>
      <c r="B269" s="406" t="s">
        <v>48</v>
      </c>
      <c r="C269" s="611"/>
    </row>
    <row r="270" spans="1:3" x14ac:dyDescent="0.25">
      <c r="A270" s="400" t="s">
        <v>46</v>
      </c>
      <c r="B270" s="401" t="s">
        <v>512</v>
      </c>
      <c r="C270" s="402" t="s">
        <v>153</v>
      </c>
    </row>
    <row r="271" spans="1:3" x14ac:dyDescent="0.25">
      <c r="A271" s="403" t="s">
        <v>37</v>
      </c>
      <c r="B271" s="404" t="s">
        <v>513</v>
      </c>
      <c r="C271" s="610" t="s">
        <v>3161</v>
      </c>
    </row>
    <row r="272" spans="1:3" x14ac:dyDescent="0.25">
      <c r="A272" s="403" t="s">
        <v>3063</v>
      </c>
      <c r="B272" s="404" t="s">
        <v>3149</v>
      </c>
      <c r="C272" s="610"/>
    </row>
    <row r="273" spans="1:3" ht="15.75" thickBot="1" x14ac:dyDescent="0.3">
      <c r="A273" s="405" t="s">
        <v>828</v>
      </c>
      <c r="B273" s="406" t="s">
        <v>48</v>
      </c>
      <c r="C273" s="611"/>
    </row>
    <row r="274" spans="1:3" x14ac:dyDescent="0.25">
      <c r="A274" s="400" t="s">
        <v>46</v>
      </c>
      <c r="B274" s="401" t="s">
        <v>3162</v>
      </c>
      <c r="C274" s="402" t="s">
        <v>153</v>
      </c>
    </row>
    <row r="275" spans="1:3" x14ac:dyDescent="0.25">
      <c r="A275" s="403" t="s">
        <v>37</v>
      </c>
      <c r="B275" s="404" t="s">
        <v>646</v>
      </c>
      <c r="C275" s="610" t="s">
        <v>3163</v>
      </c>
    </row>
    <row r="276" spans="1:3" x14ac:dyDescent="0.25">
      <c r="A276" s="403" t="s">
        <v>3063</v>
      </c>
      <c r="B276" s="404" t="s">
        <v>3064</v>
      </c>
      <c r="C276" s="610"/>
    </row>
    <row r="277" spans="1:3" ht="15.75" thickBot="1" x14ac:dyDescent="0.3">
      <c r="A277" s="405" t="s">
        <v>828</v>
      </c>
      <c r="B277" s="406" t="s">
        <v>230</v>
      </c>
      <c r="C277" s="611"/>
    </row>
    <row r="278" spans="1:3" x14ac:dyDescent="0.25">
      <c r="A278" s="400" t="s">
        <v>46</v>
      </c>
      <c r="B278" s="401" t="s">
        <v>499</v>
      </c>
      <c r="C278" s="402" t="s">
        <v>153</v>
      </c>
    </row>
    <row r="279" spans="1:3" ht="33.75" x14ac:dyDescent="0.25">
      <c r="A279" s="403" t="s">
        <v>37</v>
      </c>
      <c r="B279" s="404" t="s">
        <v>500</v>
      </c>
      <c r="C279" s="610" t="s">
        <v>3141</v>
      </c>
    </row>
    <row r="280" spans="1:3" x14ac:dyDescent="0.25">
      <c r="A280" s="403" t="s">
        <v>3063</v>
      </c>
      <c r="B280" s="404" t="s">
        <v>3064</v>
      </c>
      <c r="C280" s="610"/>
    </row>
    <row r="281" spans="1:3" ht="15.75" thickBot="1" x14ac:dyDescent="0.3">
      <c r="A281" s="405" t="s">
        <v>828</v>
      </c>
      <c r="B281" s="406" t="s">
        <v>48</v>
      </c>
      <c r="C281" s="611"/>
    </row>
    <row r="282" spans="1:3" x14ac:dyDescent="0.25">
      <c r="A282" s="400" t="s">
        <v>46</v>
      </c>
      <c r="B282" s="401" t="s">
        <v>581</v>
      </c>
      <c r="C282" s="402" t="s">
        <v>153</v>
      </c>
    </row>
    <row r="283" spans="1:3" x14ac:dyDescent="0.25">
      <c r="A283" s="403" t="s">
        <v>37</v>
      </c>
      <c r="B283" s="404" t="s">
        <v>2667</v>
      </c>
      <c r="C283" s="576" t="s">
        <v>3164</v>
      </c>
    </row>
    <row r="284" spans="1:3" x14ac:dyDescent="0.25">
      <c r="A284" s="403" t="s">
        <v>3063</v>
      </c>
      <c r="B284" s="404" t="s">
        <v>3084</v>
      </c>
      <c r="C284" s="576"/>
    </row>
    <row r="285" spans="1:3" ht="15.75" thickBot="1" x14ac:dyDescent="0.3">
      <c r="A285" s="405" t="s">
        <v>828</v>
      </c>
      <c r="B285" s="406" t="s">
        <v>48</v>
      </c>
      <c r="C285" s="576"/>
    </row>
    <row r="286" spans="1:3" x14ac:dyDescent="0.25">
      <c r="A286" s="400" t="s">
        <v>46</v>
      </c>
      <c r="B286" s="401" t="s">
        <v>3165</v>
      </c>
      <c r="C286" s="402" t="s">
        <v>153</v>
      </c>
    </row>
    <row r="287" spans="1:3" x14ac:dyDescent="0.25">
      <c r="A287" s="403" t="s">
        <v>37</v>
      </c>
      <c r="B287" s="404" t="s">
        <v>3166</v>
      </c>
      <c r="C287" s="576" t="s">
        <v>3167</v>
      </c>
    </row>
    <row r="288" spans="1:3" x14ac:dyDescent="0.25">
      <c r="A288" s="403" t="s">
        <v>3063</v>
      </c>
      <c r="B288" s="404" t="s">
        <v>3084</v>
      </c>
      <c r="C288" s="576"/>
    </row>
    <row r="289" spans="1:3" ht="15.75" thickBot="1" x14ac:dyDescent="0.3">
      <c r="A289" s="405" t="s">
        <v>828</v>
      </c>
      <c r="B289" s="406" t="s">
        <v>48</v>
      </c>
      <c r="C289" s="576"/>
    </row>
    <row r="290" spans="1:3" x14ac:dyDescent="0.25">
      <c r="A290" s="400" t="s">
        <v>46</v>
      </c>
      <c r="B290" s="401" t="s">
        <v>3168</v>
      </c>
      <c r="C290" s="402" t="s">
        <v>153</v>
      </c>
    </row>
    <row r="291" spans="1:3" x14ac:dyDescent="0.25">
      <c r="A291" s="403" t="s">
        <v>37</v>
      </c>
      <c r="B291" s="404" t="s">
        <v>3169</v>
      </c>
      <c r="C291" s="576" t="s">
        <v>3170</v>
      </c>
    </row>
    <row r="292" spans="1:3" x14ac:dyDescent="0.25">
      <c r="A292" s="403" t="s">
        <v>3063</v>
      </c>
      <c r="B292" s="404" t="s">
        <v>3084</v>
      </c>
      <c r="C292" s="576"/>
    </row>
    <row r="293" spans="1:3" ht="15.75" thickBot="1" x14ac:dyDescent="0.3">
      <c r="A293" s="405" t="s">
        <v>828</v>
      </c>
      <c r="B293" s="406" t="s">
        <v>48</v>
      </c>
      <c r="C293" s="576"/>
    </row>
    <row r="294" spans="1:3" x14ac:dyDescent="0.25">
      <c r="A294" s="400" t="s">
        <v>46</v>
      </c>
      <c r="B294" s="401" t="s">
        <v>3171</v>
      </c>
      <c r="C294" s="402" t="s">
        <v>153</v>
      </c>
    </row>
    <row r="295" spans="1:3" x14ac:dyDescent="0.25">
      <c r="A295" s="403" t="s">
        <v>37</v>
      </c>
      <c r="B295" s="404" t="s">
        <v>3172</v>
      </c>
      <c r="C295" s="576" t="s">
        <v>3173</v>
      </c>
    </row>
    <row r="296" spans="1:3" x14ac:dyDescent="0.25">
      <c r="A296" s="403" t="s">
        <v>3063</v>
      </c>
      <c r="B296" s="404" t="s">
        <v>3084</v>
      </c>
      <c r="C296" s="576"/>
    </row>
    <row r="297" spans="1:3" ht="15.75" thickBot="1" x14ac:dyDescent="0.3">
      <c r="A297" s="405" t="s">
        <v>828</v>
      </c>
      <c r="B297" s="406" t="s">
        <v>48</v>
      </c>
      <c r="C297" s="576"/>
    </row>
    <row r="298" spans="1:3" x14ac:dyDescent="0.25">
      <c r="A298" s="400" t="s">
        <v>46</v>
      </c>
      <c r="B298" s="401" t="s">
        <v>3174</v>
      </c>
      <c r="C298" s="402" t="s">
        <v>153</v>
      </c>
    </row>
    <row r="299" spans="1:3" x14ac:dyDescent="0.25">
      <c r="A299" s="403" t="s">
        <v>37</v>
      </c>
      <c r="B299" s="404" t="s">
        <v>2640</v>
      </c>
      <c r="C299" s="576" t="s">
        <v>3175</v>
      </c>
    </row>
    <row r="300" spans="1:3" x14ac:dyDescent="0.25">
      <c r="A300" s="403" t="s">
        <v>3063</v>
      </c>
      <c r="B300" s="404" t="s">
        <v>3084</v>
      </c>
      <c r="C300" s="576"/>
    </row>
    <row r="301" spans="1:3" ht="15.75" thickBot="1" x14ac:dyDescent="0.3">
      <c r="A301" s="405" t="s">
        <v>828</v>
      </c>
      <c r="B301" s="406" t="s">
        <v>48</v>
      </c>
      <c r="C301" s="576"/>
    </row>
    <row r="302" spans="1:3" x14ac:dyDescent="0.25">
      <c r="A302" s="400" t="s">
        <v>46</v>
      </c>
      <c r="B302" s="401" t="s">
        <v>3176</v>
      </c>
      <c r="C302" s="402" t="s">
        <v>153</v>
      </c>
    </row>
    <row r="303" spans="1:3" x14ac:dyDescent="0.25">
      <c r="A303" s="403" t="s">
        <v>37</v>
      </c>
      <c r="B303" s="404" t="s">
        <v>2755</v>
      </c>
      <c r="C303" s="576" t="s">
        <v>3177</v>
      </c>
    </row>
    <row r="304" spans="1:3" x14ac:dyDescent="0.25">
      <c r="A304" s="403" t="s">
        <v>3063</v>
      </c>
      <c r="B304" s="404" t="s">
        <v>3084</v>
      </c>
      <c r="C304" s="576"/>
    </row>
    <row r="305" spans="1:3" ht="15.75" thickBot="1" x14ac:dyDescent="0.3">
      <c r="A305" s="405" t="s">
        <v>828</v>
      </c>
      <c r="B305" s="406" t="s">
        <v>48</v>
      </c>
      <c r="C305" s="576"/>
    </row>
    <row r="306" spans="1:3" x14ac:dyDescent="0.25">
      <c r="A306" s="400" t="s">
        <v>46</v>
      </c>
      <c r="B306" s="401" t="s">
        <v>3178</v>
      </c>
      <c r="C306" s="402" t="s">
        <v>153</v>
      </c>
    </row>
    <row r="307" spans="1:3" x14ac:dyDescent="0.25">
      <c r="A307" s="403" t="s">
        <v>37</v>
      </c>
      <c r="B307" s="404" t="s">
        <v>3179</v>
      </c>
      <c r="C307" s="576" t="s">
        <v>3180</v>
      </c>
    </row>
    <row r="308" spans="1:3" x14ac:dyDescent="0.25">
      <c r="A308" s="403" t="s">
        <v>3063</v>
      </c>
      <c r="B308" s="404" t="s">
        <v>3084</v>
      </c>
      <c r="C308" s="576"/>
    </row>
    <row r="309" spans="1:3" ht="15.75" thickBot="1" x14ac:dyDescent="0.3">
      <c r="A309" s="405" t="s">
        <v>828</v>
      </c>
      <c r="B309" s="406" t="s">
        <v>48</v>
      </c>
      <c r="C309" s="576"/>
    </row>
    <row r="310" spans="1:3" x14ac:dyDescent="0.25">
      <c r="A310" s="400" t="s">
        <v>46</v>
      </c>
      <c r="B310" s="401" t="s">
        <v>3181</v>
      </c>
      <c r="C310" s="402" t="s">
        <v>153</v>
      </c>
    </row>
    <row r="311" spans="1:3" x14ac:dyDescent="0.25">
      <c r="A311" s="403" t="s">
        <v>37</v>
      </c>
      <c r="B311" s="404" t="s">
        <v>2803</v>
      </c>
      <c r="C311" s="576" t="s">
        <v>3182</v>
      </c>
    </row>
    <row r="312" spans="1:3" x14ac:dyDescent="0.25">
      <c r="A312" s="403" t="s">
        <v>3063</v>
      </c>
      <c r="B312" s="404" t="s">
        <v>3084</v>
      </c>
      <c r="C312" s="576"/>
    </row>
    <row r="313" spans="1:3" ht="15.75" thickBot="1" x14ac:dyDescent="0.3">
      <c r="A313" s="405" t="s">
        <v>828</v>
      </c>
      <c r="B313" s="406" t="s">
        <v>48</v>
      </c>
      <c r="C313" s="576"/>
    </row>
    <row r="314" spans="1:3" x14ac:dyDescent="0.25">
      <c r="A314" s="400" t="s">
        <v>46</v>
      </c>
      <c r="B314" s="401" t="s">
        <v>3183</v>
      </c>
      <c r="C314" s="402" t="s">
        <v>153</v>
      </c>
    </row>
    <row r="315" spans="1:3" x14ac:dyDescent="0.25">
      <c r="A315" s="403" t="s">
        <v>37</v>
      </c>
      <c r="B315" s="404" t="s">
        <v>2730</v>
      </c>
      <c r="C315" s="576" t="s">
        <v>3184</v>
      </c>
    </row>
    <row r="316" spans="1:3" x14ac:dyDescent="0.25">
      <c r="A316" s="403" t="s">
        <v>3063</v>
      </c>
      <c r="B316" s="404" t="s">
        <v>3084</v>
      </c>
      <c r="C316" s="576"/>
    </row>
    <row r="317" spans="1:3" ht="15.75" thickBot="1" x14ac:dyDescent="0.3">
      <c r="A317" s="405" t="s">
        <v>828</v>
      </c>
      <c r="B317" s="406" t="s">
        <v>48</v>
      </c>
      <c r="C317" s="576"/>
    </row>
    <row r="318" spans="1:3" x14ac:dyDescent="0.25">
      <c r="A318" s="400" t="s">
        <v>46</v>
      </c>
      <c r="B318" s="401" t="s">
        <v>3185</v>
      </c>
      <c r="C318" s="402" t="s">
        <v>153</v>
      </c>
    </row>
    <row r="319" spans="1:3" x14ac:dyDescent="0.25">
      <c r="A319" s="403" t="s">
        <v>37</v>
      </c>
      <c r="B319" s="404" t="s">
        <v>2810</v>
      </c>
      <c r="C319" s="576" t="s">
        <v>3186</v>
      </c>
    </row>
    <row r="320" spans="1:3" x14ac:dyDescent="0.25">
      <c r="A320" s="403" t="s">
        <v>3063</v>
      </c>
      <c r="B320" s="404" t="s">
        <v>3084</v>
      </c>
      <c r="C320" s="576"/>
    </row>
    <row r="321" spans="1:3" ht="15.75" thickBot="1" x14ac:dyDescent="0.3">
      <c r="A321" s="405" t="s">
        <v>828</v>
      </c>
      <c r="B321" s="406" t="s">
        <v>48</v>
      </c>
      <c r="C321" s="576"/>
    </row>
    <row r="322" spans="1:3" x14ac:dyDescent="0.25">
      <c r="A322" s="400" t="s">
        <v>46</v>
      </c>
      <c r="B322" s="401" t="s">
        <v>3187</v>
      </c>
      <c r="C322" s="402" t="s">
        <v>153</v>
      </c>
    </row>
    <row r="323" spans="1:3" x14ac:dyDescent="0.25">
      <c r="A323" s="403" t="s">
        <v>37</v>
      </c>
      <c r="B323" s="404" t="s">
        <v>2803</v>
      </c>
      <c r="C323" s="576" t="s">
        <v>3188</v>
      </c>
    </row>
    <row r="324" spans="1:3" x14ac:dyDescent="0.25">
      <c r="A324" s="403" t="s">
        <v>3063</v>
      </c>
      <c r="B324" s="404" t="s">
        <v>3084</v>
      </c>
      <c r="C324" s="576"/>
    </row>
    <row r="325" spans="1:3" ht="15.75" thickBot="1" x14ac:dyDescent="0.3">
      <c r="A325" s="405" t="s">
        <v>828</v>
      </c>
      <c r="B325" s="406" t="s">
        <v>48</v>
      </c>
      <c r="C325" s="576"/>
    </row>
    <row r="326" spans="1:3" x14ac:dyDescent="0.25">
      <c r="A326" s="400" t="s">
        <v>46</v>
      </c>
      <c r="B326" s="401" t="s">
        <v>3189</v>
      </c>
      <c r="C326" s="402" t="s">
        <v>153</v>
      </c>
    </row>
    <row r="327" spans="1:3" x14ac:dyDescent="0.25">
      <c r="A327" s="403" t="s">
        <v>37</v>
      </c>
      <c r="B327" s="404" t="s">
        <v>2798</v>
      </c>
      <c r="C327" s="576" t="s">
        <v>3190</v>
      </c>
    </row>
    <row r="328" spans="1:3" x14ac:dyDescent="0.25">
      <c r="A328" s="403" t="s">
        <v>3063</v>
      </c>
      <c r="B328" s="404" t="s">
        <v>3084</v>
      </c>
      <c r="C328" s="576"/>
    </row>
    <row r="329" spans="1:3" ht="15.75" thickBot="1" x14ac:dyDescent="0.3">
      <c r="A329" s="405" t="s">
        <v>828</v>
      </c>
      <c r="B329" s="406" t="s">
        <v>48</v>
      </c>
      <c r="C329" s="576"/>
    </row>
    <row r="330" spans="1:3" x14ac:dyDescent="0.25">
      <c r="A330" s="400" t="s">
        <v>46</v>
      </c>
      <c r="B330" s="401" t="s">
        <v>3191</v>
      </c>
      <c r="C330" s="402" t="s">
        <v>153</v>
      </c>
    </row>
    <row r="331" spans="1:3" x14ac:dyDescent="0.25">
      <c r="A331" s="403" t="s">
        <v>37</v>
      </c>
      <c r="B331" s="404" t="s">
        <v>2793</v>
      </c>
      <c r="C331" s="576" t="s">
        <v>3190</v>
      </c>
    </row>
    <row r="332" spans="1:3" x14ac:dyDescent="0.25">
      <c r="A332" s="403" t="s">
        <v>3063</v>
      </c>
      <c r="B332" s="404" t="s">
        <v>3084</v>
      </c>
      <c r="C332" s="576"/>
    </row>
    <row r="333" spans="1:3" ht="15.75" thickBot="1" x14ac:dyDescent="0.3">
      <c r="A333" s="405" t="s">
        <v>828</v>
      </c>
      <c r="B333" s="406" t="s">
        <v>48</v>
      </c>
      <c r="C333" s="576"/>
    </row>
    <row r="334" spans="1:3" x14ac:dyDescent="0.25">
      <c r="A334" s="400" t="s">
        <v>46</v>
      </c>
      <c r="B334" s="401" t="s">
        <v>641</v>
      </c>
      <c r="C334" s="402" t="s">
        <v>153</v>
      </c>
    </row>
    <row r="335" spans="1:3" ht="33.75" x14ac:dyDescent="0.25">
      <c r="A335" s="403" t="s">
        <v>37</v>
      </c>
      <c r="B335" s="404" t="s">
        <v>642</v>
      </c>
      <c r="C335" s="576" t="s">
        <v>3192</v>
      </c>
    </row>
    <row r="336" spans="1:3" x14ac:dyDescent="0.25">
      <c r="A336" s="403" t="s">
        <v>3063</v>
      </c>
      <c r="B336" s="404" t="s">
        <v>3112</v>
      </c>
      <c r="C336" s="576"/>
    </row>
    <row r="337" spans="1:3" ht="15.75" thickBot="1" x14ac:dyDescent="0.3">
      <c r="A337" s="405" t="s">
        <v>828</v>
      </c>
      <c r="B337" s="406" t="s">
        <v>12</v>
      </c>
      <c r="C337" s="576"/>
    </row>
    <row r="338" spans="1:3" x14ac:dyDescent="0.25">
      <c r="A338" s="400" t="s">
        <v>46</v>
      </c>
      <c r="B338" s="401" t="s">
        <v>586</v>
      </c>
      <c r="C338" s="402" t="s">
        <v>153</v>
      </c>
    </row>
    <row r="339" spans="1:3" ht="22.5" x14ac:dyDescent="0.25">
      <c r="A339" s="403" t="s">
        <v>37</v>
      </c>
      <c r="B339" s="404" t="s">
        <v>587</v>
      </c>
      <c r="C339" s="576" t="s">
        <v>3193</v>
      </c>
    </row>
    <row r="340" spans="1:3" x14ac:dyDescent="0.25">
      <c r="A340" s="403" t="s">
        <v>3063</v>
      </c>
      <c r="B340" s="404" t="s">
        <v>3084</v>
      </c>
      <c r="C340" s="576"/>
    </row>
    <row r="341" spans="1:3" ht="15.75" thickBot="1" x14ac:dyDescent="0.3">
      <c r="A341" s="405" t="s">
        <v>828</v>
      </c>
      <c r="B341" s="406" t="s">
        <v>48</v>
      </c>
      <c r="C341" s="576"/>
    </row>
    <row r="342" spans="1:3" x14ac:dyDescent="0.25">
      <c r="A342" s="400" t="s">
        <v>46</v>
      </c>
      <c r="B342" s="401" t="s">
        <v>3194</v>
      </c>
      <c r="C342" s="402" t="s">
        <v>153</v>
      </c>
    </row>
    <row r="343" spans="1:3" ht="22.5" x14ac:dyDescent="0.25">
      <c r="A343" s="403" t="s">
        <v>37</v>
      </c>
      <c r="B343" s="404" t="s">
        <v>3195</v>
      </c>
      <c r="C343" s="576" t="s">
        <v>3196</v>
      </c>
    </row>
    <row r="344" spans="1:3" x14ac:dyDescent="0.25">
      <c r="A344" s="403" t="s">
        <v>3063</v>
      </c>
      <c r="B344" s="404" t="s">
        <v>3084</v>
      </c>
      <c r="C344" s="576"/>
    </row>
    <row r="345" spans="1:3" ht="15.75" thickBot="1" x14ac:dyDescent="0.3">
      <c r="A345" s="405" t="s">
        <v>828</v>
      </c>
      <c r="B345" s="406" t="s">
        <v>48</v>
      </c>
      <c r="C345" s="576"/>
    </row>
    <row r="346" spans="1:3" x14ac:dyDescent="0.25">
      <c r="A346" s="400" t="s">
        <v>46</v>
      </c>
      <c r="B346" s="401" t="s">
        <v>614</v>
      </c>
      <c r="C346" s="402" t="s">
        <v>153</v>
      </c>
    </row>
    <row r="347" spans="1:3" x14ac:dyDescent="0.25">
      <c r="A347" s="403" t="s">
        <v>37</v>
      </c>
      <c r="B347" s="404" t="s">
        <v>615</v>
      </c>
      <c r="C347" s="576" t="s">
        <v>3197</v>
      </c>
    </row>
    <row r="348" spans="1:3" x14ac:dyDescent="0.25">
      <c r="A348" s="403" t="s">
        <v>3063</v>
      </c>
      <c r="B348" s="404" t="s">
        <v>3198</v>
      </c>
      <c r="C348" s="576"/>
    </row>
    <row r="349" spans="1:3" ht="15.75" thickBot="1" x14ac:dyDescent="0.3">
      <c r="A349" s="405" t="s">
        <v>828</v>
      </c>
      <c r="B349" s="406" t="s">
        <v>48</v>
      </c>
      <c r="C349" s="576"/>
    </row>
    <row r="350" spans="1:3" x14ac:dyDescent="0.25">
      <c r="A350" s="400" t="s">
        <v>46</v>
      </c>
      <c r="B350" s="401" t="s">
        <v>3199</v>
      </c>
      <c r="C350" s="402" t="s">
        <v>153</v>
      </c>
    </row>
    <row r="351" spans="1:3" ht="22.5" x14ac:dyDescent="0.25">
      <c r="A351" s="403" t="s">
        <v>37</v>
      </c>
      <c r="B351" s="404" t="s">
        <v>3200</v>
      </c>
      <c r="C351" s="576" t="s">
        <v>3201</v>
      </c>
    </row>
    <row r="352" spans="1:3" x14ac:dyDescent="0.25">
      <c r="A352" s="403" t="s">
        <v>3063</v>
      </c>
      <c r="B352" s="404" t="s">
        <v>3198</v>
      </c>
      <c r="C352" s="576"/>
    </row>
    <row r="353" spans="1:3" ht="15.75" thickBot="1" x14ac:dyDescent="0.3">
      <c r="A353" s="405" t="s">
        <v>828</v>
      </c>
      <c r="B353" s="406" t="s">
        <v>12</v>
      </c>
      <c r="C353" s="576"/>
    </row>
    <row r="354" spans="1:3" x14ac:dyDescent="0.25">
      <c r="A354" s="400" t="s">
        <v>46</v>
      </c>
      <c r="B354" s="401" t="s">
        <v>1251</v>
      </c>
      <c r="C354" s="402" t="s">
        <v>153</v>
      </c>
    </row>
    <row r="355" spans="1:3" x14ac:dyDescent="0.25">
      <c r="A355" s="403" t="s">
        <v>37</v>
      </c>
      <c r="B355" s="404" t="s">
        <v>1252</v>
      </c>
      <c r="C355" s="576" t="s">
        <v>3202</v>
      </c>
    </row>
    <row r="356" spans="1:3" x14ac:dyDescent="0.25">
      <c r="A356" s="403" t="s">
        <v>3063</v>
      </c>
      <c r="B356" s="404" t="s">
        <v>3198</v>
      </c>
      <c r="C356" s="576"/>
    </row>
    <row r="357" spans="1:3" ht="15.75" thickBot="1" x14ac:dyDescent="0.3">
      <c r="A357" s="405" t="s">
        <v>828</v>
      </c>
      <c r="B357" s="406" t="s">
        <v>168</v>
      </c>
      <c r="C357" s="576"/>
    </row>
    <row r="358" spans="1:3" x14ac:dyDescent="0.25">
      <c r="A358" s="400" t="s">
        <v>46</v>
      </c>
      <c r="B358" s="401" t="s">
        <v>1243</v>
      </c>
      <c r="C358" s="402" t="s">
        <v>153</v>
      </c>
    </row>
    <row r="359" spans="1:3" ht="22.5" x14ac:dyDescent="0.25">
      <c r="A359" s="403" t="s">
        <v>37</v>
      </c>
      <c r="B359" s="404" t="s">
        <v>1244</v>
      </c>
      <c r="C359" s="576" t="s">
        <v>3203</v>
      </c>
    </row>
    <row r="360" spans="1:3" x14ac:dyDescent="0.25">
      <c r="A360" s="403" t="s">
        <v>3063</v>
      </c>
      <c r="B360" s="404" t="s">
        <v>3198</v>
      </c>
      <c r="C360" s="576"/>
    </row>
    <row r="361" spans="1:3" ht="15.75" thickBot="1" x14ac:dyDescent="0.3">
      <c r="A361" s="405" t="s">
        <v>828</v>
      </c>
      <c r="B361" s="406" t="s">
        <v>168</v>
      </c>
      <c r="C361" s="576"/>
    </row>
    <row r="362" spans="1:3" x14ac:dyDescent="0.25">
      <c r="A362" s="400" t="s">
        <v>46</v>
      </c>
      <c r="B362" s="401" t="s">
        <v>1173</v>
      </c>
      <c r="C362" s="402" t="s">
        <v>153</v>
      </c>
    </row>
    <row r="363" spans="1:3" ht="22.5" x14ac:dyDescent="0.25">
      <c r="A363" s="403" t="s">
        <v>37</v>
      </c>
      <c r="B363" s="404" t="s">
        <v>1174</v>
      </c>
      <c r="C363" s="576" t="s">
        <v>3204</v>
      </c>
    </row>
    <row r="364" spans="1:3" x14ac:dyDescent="0.25">
      <c r="A364" s="403" t="s">
        <v>3063</v>
      </c>
      <c r="B364" s="404" t="s">
        <v>3198</v>
      </c>
      <c r="C364" s="576"/>
    </row>
    <row r="365" spans="1:3" ht="15.75" thickBot="1" x14ac:dyDescent="0.3">
      <c r="A365" s="405" t="s">
        <v>828</v>
      </c>
      <c r="B365" s="406" t="s">
        <v>12</v>
      </c>
      <c r="C365" s="576"/>
    </row>
    <row r="366" spans="1:3" x14ac:dyDescent="0.25">
      <c r="A366" s="400" t="s">
        <v>46</v>
      </c>
      <c r="B366" s="401" t="s">
        <v>1176</v>
      </c>
      <c r="C366" s="402" t="s">
        <v>153</v>
      </c>
    </row>
    <row r="367" spans="1:3" ht="22.5" x14ac:dyDescent="0.25">
      <c r="A367" s="403" t="s">
        <v>37</v>
      </c>
      <c r="B367" s="404" t="s">
        <v>1177</v>
      </c>
      <c r="C367" s="576" t="s">
        <v>3205</v>
      </c>
    </row>
    <row r="368" spans="1:3" x14ac:dyDescent="0.25">
      <c r="A368" s="403" t="s">
        <v>3063</v>
      </c>
      <c r="B368" s="404" t="s">
        <v>3198</v>
      </c>
      <c r="C368" s="576"/>
    </row>
    <row r="369" spans="1:3" ht="15.75" thickBot="1" x14ac:dyDescent="0.3">
      <c r="A369" s="405" t="s">
        <v>828</v>
      </c>
      <c r="B369" s="406" t="s">
        <v>12</v>
      </c>
      <c r="C369" s="576"/>
    </row>
    <row r="370" spans="1:3" x14ac:dyDescent="0.25">
      <c r="A370" s="400" t="s">
        <v>46</v>
      </c>
      <c r="B370" s="401" t="s">
        <v>1179</v>
      </c>
      <c r="C370" s="402" t="s">
        <v>153</v>
      </c>
    </row>
    <row r="371" spans="1:3" ht="22.5" x14ac:dyDescent="0.25">
      <c r="A371" s="403" t="s">
        <v>37</v>
      </c>
      <c r="B371" s="404" t="s">
        <v>1180</v>
      </c>
      <c r="C371" s="576" t="s">
        <v>3206</v>
      </c>
    </row>
    <row r="372" spans="1:3" x14ac:dyDescent="0.25">
      <c r="A372" s="403" t="s">
        <v>3063</v>
      </c>
      <c r="B372" s="404" t="s">
        <v>3198</v>
      </c>
      <c r="C372" s="576"/>
    </row>
    <row r="373" spans="1:3" ht="15.75" thickBot="1" x14ac:dyDescent="0.3">
      <c r="A373" s="405" t="s">
        <v>828</v>
      </c>
      <c r="B373" s="406" t="s">
        <v>26</v>
      </c>
      <c r="C373" s="576"/>
    </row>
    <row r="374" spans="1:3" x14ac:dyDescent="0.25">
      <c r="A374" s="400" t="s">
        <v>46</v>
      </c>
      <c r="B374" s="401" t="s">
        <v>1006</v>
      </c>
      <c r="C374" s="402" t="s">
        <v>153</v>
      </c>
    </row>
    <row r="375" spans="1:3" ht="33.75" x14ac:dyDescent="0.25">
      <c r="A375" s="403" t="s">
        <v>37</v>
      </c>
      <c r="B375" s="404" t="s">
        <v>1007</v>
      </c>
      <c r="C375" s="610" t="s">
        <v>3207</v>
      </c>
    </row>
    <row r="376" spans="1:3" x14ac:dyDescent="0.25">
      <c r="A376" s="403" t="s">
        <v>3063</v>
      </c>
      <c r="B376" s="404" t="s">
        <v>3064</v>
      </c>
      <c r="C376" s="610"/>
    </row>
    <row r="377" spans="1:3" ht="15.75" thickBot="1" x14ac:dyDescent="0.3">
      <c r="A377" s="405" t="s">
        <v>828</v>
      </c>
      <c r="B377" s="406" t="s">
        <v>48</v>
      </c>
      <c r="C377" s="611"/>
    </row>
    <row r="378" spans="1:3" x14ac:dyDescent="0.25">
      <c r="A378" s="400" t="s">
        <v>46</v>
      </c>
      <c r="B378" s="401" t="s">
        <v>1131</v>
      </c>
      <c r="C378" s="402" t="s">
        <v>153</v>
      </c>
    </row>
    <row r="379" spans="1:3" ht="22.5" x14ac:dyDescent="0.25">
      <c r="A379" s="403" t="s">
        <v>37</v>
      </c>
      <c r="B379" s="404" t="s">
        <v>1132</v>
      </c>
      <c r="C379" s="610" t="s">
        <v>3208</v>
      </c>
    </row>
    <row r="380" spans="1:3" x14ac:dyDescent="0.25">
      <c r="A380" s="403" t="s">
        <v>3063</v>
      </c>
      <c r="B380" s="404" t="s">
        <v>3084</v>
      </c>
      <c r="C380" s="610"/>
    </row>
    <row r="381" spans="1:3" ht="15.75" thickBot="1" x14ac:dyDescent="0.3">
      <c r="A381" s="405" t="s">
        <v>828</v>
      </c>
      <c r="B381" s="406" t="s">
        <v>12</v>
      </c>
      <c r="C381" s="611"/>
    </row>
    <row r="382" spans="1:3" x14ac:dyDescent="0.25">
      <c r="A382" s="400" t="s">
        <v>46</v>
      </c>
      <c r="B382" s="401" t="s">
        <v>598</v>
      </c>
      <c r="C382" s="402" t="s">
        <v>153</v>
      </c>
    </row>
    <row r="383" spans="1:3" x14ac:dyDescent="0.25">
      <c r="A383" s="403" t="s">
        <v>37</v>
      </c>
      <c r="B383" s="404" t="s">
        <v>599</v>
      </c>
      <c r="C383" s="610" t="s">
        <v>3209</v>
      </c>
    </row>
    <row r="384" spans="1:3" x14ac:dyDescent="0.25">
      <c r="A384" s="403" t="s">
        <v>3063</v>
      </c>
      <c r="B384" s="404" t="s">
        <v>3084</v>
      </c>
      <c r="C384" s="610"/>
    </row>
    <row r="385" spans="1:3" ht="15.75" thickBot="1" x14ac:dyDescent="0.3">
      <c r="A385" s="405" t="s">
        <v>828</v>
      </c>
      <c r="B385" s="406" t="s">
        <v>12</v>
      </c>
      <c r="C385" s="611"/>
    </row>
    <row r="386" spans="1:3" x14ac:dyDescent="0.25">
      <c r="A386" s="400" t="s">
        <v>46</v>
      </c>
      <c r="B386" s="401" t="s">
        <v>602</v>
      </c>
      <c r="C386" s="402" t="s">
        <v>153</v>
      </c>
    </row>
    <row r="387" spans="1:3" x14ac:dyDescent="0.25">
      <c r="A387" s="403" t="s">
        <v>37</v>
      </c>
      <c r="B387" s="404" t="s">
        <v>2853</v>
      </c>
      <c r="C387" s="610" t="s">
        <v>3210</v>
      </c>
    </row>
    <row r="388" spans="1:3" x14ac:dyDescent="0.25">
      <c r="A388" s="403" t="s">
        <v>3063</v>
      </c>
      <c r="B388" s="404" t="s">
        <v>3084</v>
      </c>
      <c r="C388" s="610"/>
    </row>
    <row r="389" spans="1:3" ht="15.75" thickBot="1" x14ac:dyDescent="0.3">
      <c r="A389" s="405" t="s">
        <v>828</v>
      </c>
      <c r="B389" s="406" t="s">
        <v>48</v>
      </c>
      <c r="C389" s="611"/>
    </row>
    <row r="390" spans="1:3" x14ac:dyDescent="0.25">
      <c r="A390" s="400" t="s">
        <v>46</v>
      </c>
      <c r="B390" s="401" t="s">
        <v>1151</v>
      </c>
      <c r="C390" s="402" t="s">
        <v>153</v>
      </c>
    </row>
    <row r="391" spans="1:3" x14ac:dyDescent="0.25">
      <c r="A391" s="403" t="s">
        <v>37</v>
      </c>
      <c r="B391" s="404" t="s">
        <v>2739</v>
      </c>
      <c r="C391" s="610"/>
    </row>
    <row r="392" spans="1:3" x14ac:dyDescent="0.25">
      <c r="A392" s="403" t="s">
        <v>3063</v>
      </c>
      <c r="B392" s="404" t="s">
        <v>3084</v>
      </c>
      <c r="C392" s="610"/>
    </row>
    <row r="393" spans="1:3" ht="15.75" thickBot="1" x14ac:dyDescent="0.3">
      <c r="A393" s="405" t="s">
        <v>828</v>
      </c>
      <c r="B393" s="406" t="s">
        <v>48</v>
      </c>
      <c r="C393" s="611"/>
    </row>
    <row r="394" spans="1:3" x14ac:dyDescent="0.25">
      <c r="A394" s="400" t="s">
        <v>46</v>
      </c>
      <c r="B394" s="401" t="s">
        <v>1157</v>
      </c>
      <c r="C394" s="402" t="s">
        <v>153</v>
      </c>
    </row>
    <row r="395" spans="1:3" x14ac:dyDescent="0.25">
      <c r="A395" s="403" t="s">
        <v>37</v>
      </c>
      <c r="B395" s="404" t="s">
        <v>1158</v>
      </c>
      <c r="C395" s="610" t="s">
        <v>3211</v>
      </c>
    </row>
    <row r="396" spans="1:3" x14ac:dyDescent="0.25">
      <c r="A396" s="403" t="s">
        <v>3063</v>
      </c>
      <c r="B396" s="404" t="s">
        <v>3084</v>
      </c>
      <c r="C396" s="610"/>
    </row>
    <row r="397" spans="1:3" ht="15.75" thickBot="1" x14ac:dyDescent="0.3">
      <c r="A397" s="405" t="s">
        <v>828</v>
      </c>
      <c r="B397" s="406" t="s">
        <v>48</v>
      </c>
      <c r="C397" s="611"/>
    </row>
  </sheetData>
  <mergeCells count="100">
    <mergeCell ref="C11:C13"/>
    <mergeCell ref="C15:C17"/>
    <mergeCell ref="C19:C21"/>
    <mergeCell ref="C3:C5"/>
    <mergeCell ref="C7:C9"/>
    <mergeCell ref="C35:C37"/>
    <mergeCell ref="C39:C41"/>
    <mergeCell ref="C43:C45"/>
    <mergeCell ref="C23:C25"/>
    <mergeCell ref="C27:C29"/>
    <mergeCell ref="C31:C33"/>
    <mergeCell ref="C59:C61"/>
    <mergeCell ref="C63:C65"/>
    <mergeCell ref="C67:C69"/>
    <mergeCell ref="C47:C49"/>
    <mergeCell ref="C51:C53"/>
    <mergeCell ref="C55:C57"/>
    <mergeCell ref="C83:C85"/>
    <mergeCell ref="C87:C89"/>
    <mergeCell ref="C91:C93"/>
    <mergeCell ref="C71:C73"/>
    <mergeCell ref="C75:C77"/>
    <mergeCell ref="C79:C81"/>
    <mergeCell ref="C107:C109"/>
    <mergeCell ref="C111:C113"/>
    <mergeCell ref="C115:C117"/>
    <mergeCell ref="C95:C97"/>
    <mergeCell ref="C99:C101"/>
    <mergeCell ref="C103:C105"/>
    <mergeCell ref="C131:C133"/>
    <mergeCell ref="C135:C137"/>
    <mergeCell ref="C139:C141"/>
    <mergeCell ref="C119:C121"/>
    <mergeCell ref="C123:C125"/>
    <mergeCell ref="C127:C129"/>
    <mergeCell ref="C155:C157"/>
    <mergeCell ref="C159:C161"/>
    <mergeCell ref="C163:C165"/>
    <mergeCell ref="C143:C145"/>
    <mergeCell ref="C147:C149"/>
    <mergeCell ref="C151:C153"/>
    <mergeCell ref="C179:C181"/>
    <mergeCell ref="C183:C185"/>
    <mergeCell ref="C187:C189"/>
    <mergeCell ref="C167:C169"/>
    <mergeCell ref="C171:C173"/>
    <mergeCell ref="C175:C177"/>
    <mergeCell ref="C203:C205"/>
    <mergeCell ref="C207:C209"/>
    <mergeCell ref="C211:C213"/>
    <mergeCell ref="C191:C193"/>
    <mergeCell ref="C195:C197"/>
    <mergeCell ref="C199:C201"/>
    <mergeCell ref="C227:C229"/>
    <mergeCell ref="C231:C233"/>
    <mergeCell ref="C235:C237"/>
    <mergeCell ref="C215:C217"/>
    <mergeCell ref="C219:C221"/>
    <mergeCell ref="C223:C225"/>
    <mergeCell ref="C251:C253"/>
    <mergeCell ref="C255:C257"/>
    <mergeCell ref="C259:C261"/>
    <mergeCell ref="C239:C241"/>
    <mergeCell ref="C243:C245"/>
    <mergeCell ref="C247:C249"/>
    <mergeCell ref="C275:C277"/>
    <mergeCell ref="C279:C281"/>
    <mergeCell ref="C283:C285"/>
    <mergeCell ref="C263:C265"/>
    <mergeCell ref="C267:C269"/>
    <mergeCell ref="C271:C273"/>
    <mergeCell ref="C299:C301"/>
    <mergeCell ref="C303:C305"/>
    <mergeCell ref="C307:C309"/>
    <mergeCell ref="C287:C289"/>
    <mergeCell ref="C291:C293"/>
    <mergeCell ref="C295:C297"/>
    <mergeCell ref="C343:C345"/>
    <mergeCell ref="C323:C325"/>
    <mergeCell ref="C327:C329"/>
    <mergeCell ref="C331:C333"/>
    <mergeCell ref="C311:C313"/>
    <mergeCell ref="C315:C317"/>
    <mergeCell ref="C319:C321"/>
    <mergeCell ref="C383:C385"/>
    <mergeCell ref="C387:C389"/>
    <mergeCell ref="C391:C393"/>
    <mergeCell ref="C395:C397"/>
    <mergeCell ref="A1:C1"/>
    <mergeCell ref="C371:C373"/>
    <mergeCell ref="C375:C377"/>
    <mergeCell ref="C379:C381"/>
    <mergeCell ref="C359:C361"/>
    <mergeCell ref="C363:C365"/>
    <mergeCell ref="C367:C369"/>
    <mergeCell ref="C347:C349"/>
    <mergeCell ref="C351:C353"/>
    <mergeCell ref="C355:C357"/>
    <mergeCell ref="C335:C337"/>
    <mergeCell ref="C339:C341"/>
  </mergeCells>
  <pageMargins left="1.1354166666666667" right="0.51181102362204722" top="1.2598425196850394" bottom="0.78740157480314965" header="0.31496062992125984" footer="0.31496062992125984"/>
  <pageSetup paperSize="9" fitToHeight="0" orientation="portrait" r:id="rId1"/>
  <headerFooter>
    <oddHeader>&amp;L&amp;G&amp;R&amp;G</oddHeader>
    <oddFooter>&amp;L&amp;9&amp;K01+049Superintendência Administrativa
Coordenadoria de Obras e Reformas.
Fone: 3613 5474 / 5431 – geobras@ses.mt.gov.br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11</vt:i4>
      </vt:variant>
    </vt:vector>
  </HeadingPairs>
  <TitlesOfParts>
    <vt:vector size="29" baseType="lpstr">
      <vt:lpstr>Arquitetura</vt:lpstr>
      <vt:lpstr>Estrutural</vt:lpstr>
      <vt:lpstr>Metálica</vt:lpstr>
      <vt:lpstr>Sanitário</vt:lpstr>
      <vt:lpstr>Hidraulico</vt:lpstr>
      <vt:lpstr>Incendio</vt:lpstr>
      <vt:lpstr>Drenagem</vt:lpstr>
      <vt:lpstr>Elétrica</vt:lpstr>
      <vt:lpstr>LÓGICA</vt:lpstr>
      <vt:lpstr>Planilha Orçamentária </vt:lpstr>
      <vt:lpstr>RESUMO</vt:lpstr>
      <vt:lpstr>CRONOGRAMA</vt:lpstr>
      <vt:lpstr>MAPA DE COTAÇÃO</vt:lpstr>
      <vt:lpstr>ENCARGOS SOCIAIS</vt:lpstr>
      <vt:lpstr>BDI - Aliquota ISSQN - 5,0%</vt:lpstr>
      <vt:lpstr>Composições</vt:lpstr>
      <vt:lpstr>Referencia composição</vt:lpstr>
      <vt:lpstr>Plan1</vt:lpstr>
      <vt:lpstr>Arquitetura!Area_de_impressao</vt:lpstr>
      <vt:lpstr>'BDI - Aliquota ISSQN - 5,0%'!Area_de_impressao</vt:lpstr>
      <vt:lpstr>Composições!Area_de_impressao</vt:lpstr>
      <vt:lpstr>CRONOGRAMA!Area_de_impressao</vt:lpstr>
      <vt:lpstr>Drenagem!Area_de_impressao</vt:lpstr>
      <vt:lpstr>'ENCARGOS SOCIAIS'!Area_de_impressao</vt:lpstr>
      <vt:lpstr>Estrutural!Area_de_impressao</vt:lpstr>
      <vt:lpstr>Incendio!Area_de_impressao</vt:lpstr>
      <vt:lpstr>'MAPA DE COTAÇÃO'!Area_de_impressao</vt:lpstr>
      <vt:lpstr>'Planilha Orçamentária '!Area_de_impressao</vt:lpstr>
      <vt:lpstr>RESUMO!Area_de_impressao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Ferreira Fava</dc:creator>
  <cp:lastModifiedBy>Vinicius Ferreira Fava</cp:lastModifiedBy>
  <cp:lastPrinted>2018-08-28T13:41:34Z</cp:lastPrinted>
  <dcterms:created xsi:type="dcterms:W3CDTF">2018-04-24T10:22:33Z</dcterms:created>
  <dcterms:modified xsi:type="dcterms:W3CDTF">2018-09-25T17:53:24Z</dcterms:modified>
</cp:coreProperties>
</file>